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yects\pythonDataIngestionProcess\data_errors\"/>
    </mc:Choice>
  </mc:AlternateContent>
  <xr:revisionPtr revIDLastSave="0" documentId="13_ncr:1_{96FF79E7-5E92-43BA-8B51-7FB00B5A9E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ras" sheetId="2" r:id="rId1"/>
    <sheet name="Precios" sheetId="3" r:id="rId2"/>
  </sheets>
  <definedNames>
    <definedName name="_xlnm._FilterDatabase" localSheetId="1" hidden="1">Precios!$A$1:$M$2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Q205" i="2" l="1"/>
  <c r="T205" i="2" s="1"/>
  <c r="G205" i="2"/>
  <c r="D205" i="2"/>
  <c r="F205" i="3" s="1"/>
  <c r="Q204" i="2"/>
  <c r="T204" i="2" s="1"/>
  <c r="G204" i="2"/>
  <c r="D204" i="2"/>
  <c r="F204" i="3" s="1"/>
  <c r="Q203" i="2"/>
  <c r="T203" i="2" s="1"/>
  <c r="G203" i="2"/>
  <c r="D203" i="2"/>
  <c r="F203" i="3" s="1"/>
  <c r="B191" i="3"/>
  <c r="E191" i="3"/>
  <c r="G191" i="3"/>
  <c r="I191" i="3"/>
  <c r="B192" i="3"/>
  <c r="E192" i="3"/>
  <c r="F192" i="3"/>
  <c r="G192" i="3"/>
  <c r="I192" i="3"/>
  <c r="B193" i="3"/>
  <c r="E193" i="3"/>
  <c r="G193" i="3"/>
  <c r="I193" i="3"/>
  <c r="B194" i="3"/>
  <c r="E194" i="3"/>
  <c r="G194" i="3"/>
  <c r="I194" i="3"/>
  <c r="B195" i="3"/>
  <c r="E195" i="3"/>
  <c r="G195" i="3"/>
  <c r="I195" i="3"/>
  <c r="B196" i="3"/>
  <c r="E196" i="3"/>
  <c r="F196" i="3"/>
  <c r="G196" i="3"/>
  <c r="I196" i="3"/>
  <c r="B197" i="3"/>
  <c r="E197" i="3"/>
  <c r="G197" i="3"/>
  <c r="I197" i="3"/>
  <c r="B198" i="3"/>
  <c r="E198" i="3"/>
  <c r="G198" i="3"/>
  <c r="H198" i="3"/>
  <c r="I198" i="3"/>
  <c r="B199" i="3"/>
  <c r="E199" i="3"/>
  <c r="G199" i="3"/>
  <c r="H199" i="3"/>
  <c r="I199" i="3"/>
  <c r="B200" i="3"/>
  <c r="E200" i="3"/>
  <c r="F200" i="3"/>
  <c r="G200" i="3"/>
  <c r="I200" i="3"/>
  <c r="B201" i="3"/>
  <c r="E201" i="3"/>
  <c r="F201" i="3"/>
  <c r="G201" i="3"/>
  <c r="H201" i="3"/>
  <c r="I201" i="3"/>
  <c r="B202" i="3"/>
  <c r="E202" i="3"/>
  <c r="G202" i="3"/>
  <c r="I202" i="3"/>
  <c r="B203" i="3"/>
  <c r="E203" i="3"/>
  <c r="G203" i="3"/>
  <c r="I203" i="3"/>
  <c r="B204" i="3"/>
  <c r="E204" i="3"/>
  <c r="G204" i="3"/>
  <c r="I204" i="3"/>
  <c r="B205" i="3"/>
  <c r="E205" i="3"/>
  <c r="G205" i="3"/>
  <c r="H205" i="3"/>
  <c r="I205" i="3"/>
  <c r="I198" i="2"/>
  <c r="Q198" i="2" s="1"/>
  <c r="T198" i="2" s="1"/>
  <c r="I197" i="2"/>
  <c r="I196" i="2"/>
  <c r="Q196" i="2" s="1"/>
  <c r="I195" i="2"/>
  <c r="I193" i="2"/>
  <c r="I194" i="2"/>
  <c r="Q194" i="2" s="1"/>
  <c r="I192" i="2"/>
  <c r="I191" i="2"/>
  <c r="I190" i="2"/>
  <c r="Q190" i="2" s="1"/>
  <c r="T190" i="2" s="1"/>
  <c r="I189" i="2"/>
  <c r="I188" i="2"/>
  <c r="Q202" i="2"/>
  <c r="T202" i="2" s="1"/>
  <c r="G202" i="2"/>
  <c r="D202" i="2"/>
  <c r="F202" i="3" s="1"/>
  <c r="Q201" i="2"/>
  <c r="T201" i="2" s="1"/>
  <c r="G201" i="2"/>
  <c r="D201" i="2"/>
  <c r="Q200" i="2"/>
  <c r="T200" i="2" s="1"/>
  <c r="G200" i="2"/>
  <c r="D200" i="2"/>
  <c r="Q199" i="2"/>
  <c r="T199" i="2" s="1"/>
  <c r="G199" i="2"/>
  <c r="D199" i="2"/>
  <c r="F199" i="3" s="1"/>
  <c r="G198" i="2"/>
  <c r="D198" i="2"/>
  <c r="F198" i="3" s="1"/>
  <c r="Q197" i="2"/>
  <c r="T197" i="2" s="1"/>
  <c r="G197" i="2"/>
  <c r="D197" i="2"/>
  <c r="F197" i="3" s="1"/>
  <c r="G196" i="2"/>
  <c r="D196" i="2"/>
  <c r="Q195" i="2"/>
  <c r="T195" i="2" s="1"/>
  <c r="G195" i="2"/>
  <c r="D195" i="2"/>
  <c r="F195" i="3" s="1"/>
  <c r="G194" i="2"/>
  <c r="D194" i="2"/>
  <c r="F194" i="3" s="1"/>
  <c r="Q193" i="2"/>
  <c r="T193" i="2" s="1"/>
  <c r="G193" i="2"/>
  <c r="D193" i="2"/>
  <c r="F193" i="3" s="1"/>
  <c r="Q192" i="2"/>
  <c r="T192" i="2" s="1"/>
  <c r="G192" i="2"/>
  <c r="D192" i="2"/>
  <c r="Q191" i="2"/>
  <c r="T191" i="2" s="1"/>
  <c r="G191" i="2"/>
  <c r="D191" i="2"/>
  <c r="F191" i="3" s="1"/>
  <c r="I187" i="2"/>
  <c r="Q183" i="2"/>
  <c r="T183" i="2" s="1"/>
  <c r="G183" i="2"/>
  <c r="D183" i="2"/>
  <c r="F183" i="3" s="1"/>
  <c r="Q182" i="2"/>
  <c r="T182" i="2" s="1"/>
  <c r="G182" i="2"/>
  <c r="D182" i="2"/>
  <c r="F182" i="3" s="1"/>
  <c r="O181" i="2"/>
  <c r="I181" i="2"/>
  <c r="F181" i="2"/>
  <c r="C181" i="2"/>
  <c r="E181" i="3" s="1"/>
  <c r="O180" i="2"/>
  <c r="I180" i="2"/>
  <c r="F180" i="2"/>
  <c r="C180" i="2"/>
  <c r="E180" i="3" s="1"/>
  <c r="O179" i="2"/>
  <c r="Q179" i="2" s="1"/>
  <c r="T179" i="2" s="1"/>
  <c r="O178" i="2"/>
  <c r="O177" i="2"/>
  <c r="Q177" i="2" s="1"/>
  <c r="T177" i="2" s="1"/>
  <c r="B173" i="3"/>
  <c r="E173" i="3"/>
  <c r="G173" i="3"/>
  <c r="I173" i="3"/>
  <c r="B174" i="3"/>
  <c r="E174" i="3"/>
  <c r="G174" i="3"/>
  <c r="I174" i="3"/>
  <c r="B175" i="3"/>
  <c r="E175" i="3"/>
  <c r="G175" i="3"/>
  <c r="I175" i="3"/>
  <c r="B176" i="3"/>
  <c r="E176" i="3"/>
  <c r="G176" i="3"/>
  <c r="I176" i="3"/>
  <c r="B177" i="3"/>
  <c r="E177" i="3"/>
  <c r="G177" i="3"/>
  <c r="I177" i="3"/>
  <c r="B178" i="3"/>
  <c r="E178" i="3"/>
  <c r="G178" i="3"/>
  <c r="I178" i="3"/>
  <c r="B179" i="3"/>
  <c r="E179" i="3"/>
  <c r="G179" i="3"/>
  <c r="I179" i="3"/>
  <c r="B180" i="3"/>
  <c r="G180" i="3"/>
  <c r="I180" i="3"/>
  <c r="B181" i="3"/>
  <c r="G181" i="3"/>
  <c r="I181" i="3"/>
  <c r="B182" i="3"/>
  <c r="E182" i="3"/>
  <c r="G182" i="3"/>
  <c r="I182" i="3"/>
  <c r="B183" i="3"/>
  <c r="E183" i="3"/>
  <c r="G183" i="3"/>
  <c r="I183" i="3"/>
  <c r="B184" i="3"/>
  <c r="E184" i="3"/>
  <c r="G184" i="3"/>
  <c r="I184" i="3"/>
  <c r="B185" i="3"/>
  <c r="E185" i="3"/>
  <c r="G185" i="3"/>
  <c r="I185" i="3"/>
  <c r="B186" i="3"/>
  <c r="E186" i="3"/>
  <c r="G186" i="3"/>
  <c r="I186" i="3"/>
  <c r="B187" i="3"/>
  <c r="E187" i="3"/>
  <c r="G187" i="3"/>
  <c r="I187" i="3"/>
  <c r="B188" i="3"/>
  <c r="E188" i="3"/>
  <c r="G188" i="3"/>
  <c r="I188" i="3"/>
  <c r="B189" i="3"/>
  <c r="E189" i="3"/>
  <c r="G189" i="3"/>
  <c r="I189" i="3"/>
  <c r="B190" i="3"/>
  <c r="E190" i="3"/>
  <c r="G190" i="3"/>
  <c r="I190" i="3"/>
  <c r="O172" i="2"/>
  <c r="O173" i="2"/>
  <c r="D175" i="2"/>
  <c r="F175" i="3" s="1"/>
  <c r="G175" i="2"/>
  <c r="Q175" i="2"/>
  <c r="T175" i="2" s="1"/>
  <c r="D176" i="2"/>
  <c r="F176" i="3" s="1"/>
  <c r="G176" i="2"/>
  <c r="Q176" i="2"/>
  <c r="T176" i="2" s="1"/>
  <c r="D177" i="2"/>
  <c r="F177" i="3" s="1"/>
  <c r="G177" i="2"/>
  <c r="D178" i="2"/>
  <c r="F178" i="3" s="1"/>
  <c r="G178" i="2"/>
  <c r="Q178" i="2"/>
  <c r="T178" i="2" s="1"/>
  <c r="D179" i="2"/>
  <c r="F179" i="3" s="1"/>
  <c r="G179" i="2"/>
  <c r="D181" i="2"/>
  <c r="F181" i="3" s="1"/>
  <c r="G181" i="2"/>
  <c r="D184" i="2"/>
  <c r="F184" i="3" s="1"/>
  <c r="G184" i="2"/>
  <c r="Q184" i="2"/>
  <c r="H184" i="3" s="1"/>
  <c r="D185" i="2"/>
  <c r="F185" i="3" s="1"/>
  <c r="G185" i="2"/>
  <c r="Q185" i="2"/>
  <c r="T185" i="2" s="1"/>
  <c r="D186" i="2"/>
  <c r="F186" i="3" s="1"/>
  <c r="G186" i="2"/>
  <c r="Q186" i="2"/>
  <c r="H186" i="3" s="1"/>
  <c r="D187" i="2"/>
  <c r="F187" i="3" s="1"/>
  <c r="G187" i="2"/>
  <c r="Q187" i="2"/>
  <c r="T187" i="2" s="1"/>
  <c r="D188" i="2"/>
  <c r="F188" i="3" s="1"/>
  <c r="G188" i="2"/>
  <c r="Q188" i="2"/>
  <c r="H188" i="3" s="1"/>
  <c r="D189" i="2"/>
  <c r="F189" i="3" s="1"/>
  <c r="G189" i="2"/>
  <c r="Q189" i="2"/>
  <c r="T189" i="2" s="1"/>
  <c r="D190" i="2"/>
  <c r="F190" i="3" s="1"/>
  <c r="G190" i="2"/>
  <c r="T194" i="2" l="1"/>
  <c r="H194" i="3"/>
  <c r="T196" i="2"/>
  <c r="H196" i="3"/>
  <c r="M196" i="3" s="1"/>
  <c r="K196" i="3" s="1"/>
  <c r="L196" i="3" s="1"/>
  <c r="Q180" i="2"/>
  <c r="T180" i="2" s="1"/>
  <c r="Q181" i="2"/>
  <c r="H181" i="3" s="1"/>
  <c r="H191" i="3"/>
  <c r="H175" i="3"/>
  <c r="H193" i="3"/>
  <c r="M193" i="3" s="1"/>
  <c r="K193" i="3" s="1"/>
  <c r="L193" i="3" s="1"/>
  <c r="M198" i="3"/>
  <c r="K198" i="3" s="1"/>
  <c r="L198" i="3" s="1"/>
  <c r="H197" i="3"/>
  <c r="T184" i="2"/>
  <c r="H195" i="3"/>
  <c r="M195" i="3" s="1"/>
  <c r="K195" i="3" s="1"/>
  <c r="L195" i="3" s="1"/>
  <c r="H192" i="3"/>
  <c r="M192" i="3" s="1"/>
  <c r="K192" i="3" s="1"/>
  <c r="L192" i="3" s="1"/>
  <c r="H200" i="3"/>
  <c r="M200" i="3" s="1"/>
  <c r="K200" i="3" s="1"/>
  <c r="L200" i="3" s="1"/>
  <c r="M197" i="3"/>
  <c r="K197" i="3" s="1"/>
  <c r="L197" i="3" s="1"/>
  <c r="M201" i="3"/>
  <c r="K201" i="3" s="1"/>
  <c r="L201" i="3" s="1"/>
  <c r="M199" i="3"/>
  <c r="K199" i="3" s="1"/>
  <c r="L199" i="3" s="1"/>
  <c r="M194" i="3"/>
  <c r="K194" i="3" s="1"/>
  <c r="L194" i="3" s="1"/>
  <c r="M191" i="3"/>
  <c r="K191" i="3" s="1"/>
  <c r="L191" i="3" s="1"/>
  <c r="H203" i="3"/>
  <c r="M203" i="3" s="1"/>
  <c r="K203" i="3" s="1"/>
  <c r="L203" i="3" s="1"/>
  <c r="H202" i="3"/>
  <c r="M202" i="3" s="1"/>
  <c r="K202" i="3" s="1"/>
  <c r="L202" i="3" s="1"/>
  <c r="M205" i="3"/>
  <c r="K205" i="3" s="1"/>
  <c r="L205" i="3" s="1"/>
  <c r="H204" i="3"/>
  <c r="M204" i="3" s="1"/>
  <c r="K204" i="3" s="1"/>
  <c r="L204" i="3" s="1"/>
  <c r="H189" i="3"/>
  <c r="M189" i="3" s="1"/>
  <c r="K189" i="3" s="1"/>
  <c r="L189" i="3" s="1"/>
  <c r="T188" i="2"/>
  <c r="G180" i="2"/>
  <c r="T186" i="2"/>
  <c r="H190" i="3"/>
  <c r="M190" i="3" s="1"/>
  <c r="K190" i="3" s="1"/>
  <c r="L190" i="3" s="1"/>
  <c r="H185" i="3"/>
  <c r="M185" i="3" s="1"/>
  <c r="K185" i="3" s="1"/>
  <c r="L185" i="3" s="1"/>
  <c r="H183" i="3"/>
  <c r="M183" i="3" s="1"/>
  <c r="K183" i="3" s="1"/>
  <c r="L183" i="3" s="1"/>
  <c r="D180" i="2"/>
  <c r="F180" i="3" s="1"/>
  <c r="H187" i="3"/>
  <c r="M187" i="3" s="1"/>
  <c r="K187" i="3" s="1"/>
  <c r="L187" i="3" s="1"/>
  <c r="H182" i="3"/>
  <c r="M182" i="3" s="1"/>
  <c r="K182" i="3" s="1"/>
  <c r="L182" i="3" s="1"/>
  <c r="M184" i="3"/>
  <c r="K184" i="3" s="1"/>
  <c r="L184" i="3" s="1"/>
  <c r="M181" i="3"/>
  <c r="K181" i="3" s="1"/>
  <c r="L181" i="3" s="1"/>
  <c r="M188" i="3"/>
  <c r="K188" i="3" s="1"/>
  <c r="L188" i="3" s="1"/>
  <c r="M186" i="3"/>
  <c r="K186" i="3" s="1"/>
  <c r="L186" i="3" s="1"/>
  <c r="M175" i="3"/>
  <c r="K175" i="3" s="1"/>
  <c r="L175" i="3" s="1"/>
  <c r="T181" i="2"/>
  <c r="H180" i="3"/>
  <c r="M180" i="3" s="1"/>
  <c r="K180" i="3" s="1"/>
  <c r="L180" i="3" s="1"/>
  <c r="H179" i="3"/>
  <c r="M179" i="3" s="1"/>
  <c r="K179" i="3" s="1"/>
  <c r="L179" i="3" s="1"/>
  <c r="H178" i="3"/>
  <c r="M178" i="3" s="1"/>
  <c r="K178" i="3" s="1"/>
  <c r="L178" i="3" s="1"/>
  <c r="H177" i="3"/>
  <c r="M177" i="3" s="1"/>
  <c r="K177" i="3" s="1"/>
  <c r="L177" i="3" s="1"/>
  <c r="H176" i="3"/>
  <c r="M176" i="3" s="1"/>
  <c r="K176" i="3" s="1"/>
  <c r="L176" i="3" s="1"/>
  <c r="B81" i="3"/>
  <c r="E81" i="3"/>
  <c r="G81" i="3"/>
  <c r="I81" i="3"/>
  <c r="O81" i="2"/>
  <c r="Q81" i="2"/>
  <c r="T81" i="2" s="1"/>
  <c r="G81" i="2"/>
  <c r="D81" i="2"/>
  <c r="F81" i="3" s="1"/>
  <c r="B77" i="3"/>
  <c r="E77" i="3"/>
  <c r="G77" i="3"/>
  <c r="I77" i="3"/>
  <c r="B78" i="3"/>
  <c r="E78" i="3"/>
  <c r="G78" i="3"/>
  <c r="I78" i="3"/>
  <c r="O78" i="2"/>
  <c r="Q78" i="2" s="1"/>
  <c r="T78" i="2" s="1"/>
  <c r="O77" i="2"/>
  <c r="Q77" i="2" s="1"/>
  <c r="G78" i="2"/>
  <c r="D78" i="2"/>
  <c r="F78" i="3" s="1"/>
  <c r="G77" i="2"/>
  <c r="D77" i="2"/>
  <c r="F77" i="3" s="1"/>
  <c r="D72" i="2"/>
  <c r="G72" i="2"/>
  <c r="D73" i="2"/>
  <c r="G73" i="2"/>
  <c r="D74" i="2"/>
  <c r="G74" i="2"/>
  <c r="H81" i="3" l="1"/>
  <c r="M81" i="3" s="1"/>
  <c r="K81" i="3" s="1"/>
  <c r="L81" i="3" s="1"/>
  <c r="T77" i="2"/>
  <c r="H77" i="3"/>
  <c r="M77" i="3" s="1"/>
  <c r="K77" i="3" s="1"/>
  <c r="L77" i="3" s="1"/>
  <c r="H78" i="3"/>
  <c r="M78" i="3" s="1"/>
  <c r="K78" i="3" s="1"/>
  <c r="L78" i="3" s="1"/>
  <c r="O170" i="2" l="1"/>
  <c r="O169" i="2"/>
  <c r="O168" i="2"/>
  <c r="B166" i="3"/>
  <c r="E166" i="3"/>
  <c r="G166" i="3"/>
  <c r="I166" i="3"/>
  <c r="B167" i="3"/>
  <c r="E167" i="3"/>
  <c r="G167" i="3"/>
  <c r="I167" i="3"/>
  <c r="B168" i="3"/>
  <c r="E168" i="3"/>
  <c r="G168" i="3"/>
  <c r="I168" i="3"/>
  <c r="B169" i="3"/>
  <c r="E169" i="3"/>
  <c r="G169" i="3"/>
  <c r="I169" i="3"/>
  <c r="B170" i="3"/>
  <c r="E170" i="3"/>
  <c r="G170" i="3"/>
  <c r="I170" i="3"/>
  <c r="B171" i="3"/>
  <c r="E171" i="3"/>
  <c r="G171" i="3"/>
  <c r="I171" i="3"/>
  <c r="B172" i="3"/>
  <c r="E172" i="3"/>
  <c r="G172" i="3"/>
  <c r="I172" i="3"/>
  <c r="O166" i="2"/>
  <c r="Q166" i="2" s="1"/>
  <c r="T166" i="2" s="1"/>
  <c r="O165" i="2"/>
  <c r="O163" i="2"/>
  <c r="Q163" i="2" s="1"/>
  <c r="T163" i="2" s="1"/>
  <c r="Q174" i="2"/>
  <c r="G174" i="2"/>
  <c r="D174" i="2"/>
  <c r="F174" i="3" s="1"/>
  <c r="Q173" i="2"/>
  <c r="G173" i="2"/>
  <c r="D173" i="2"/>
  <c r="F173" i="3" s="1"/>
  <c r="Q172" i="2"/>
  <c r="H172" i="3" s="1"/>
  <c r="G172" i="2"/>
  <c r="D172" i="2"/>
  <c r="F172" i="3" s="1"/>
  <c r="Q171" i="2"/>
  <c r="H171" i="3" s="1"/>
  <c r="G171" i="2"/>
  <c r="D171" i="2"/>
  <c r="F171" i="3" s="1"/>
  <c r="Q170" i="2"/>
  <c r="H170" i="3" s="1"/>
  <c r="G170" i="2"/>
  <c r="D170" i="2"/>
  <c r="F170" i="3" s="1"/>
  <c r="Q169" i="2"/>
  <c r="T169" i="2" s="1"/>
  <c r="G169" i="2"/>
  <c r="D169" i="2"/>
  <c r="F169" i="3" s="1"/>
  <c r="B162" i="3"/>
  <c r="E162" i="3"/>
  <c r="G162" i="3"/>
  <c r="I162" i="3"/>
  <c r="B163" i="3"/>
  <c r="E163" i="3"/>
  <c r="G163" i="3"/>
  <c r="I163" i="3"/>
  <c r="B164" i="3"/>
  <c r="E164" i="3"/>
  <c r="G164" i="3"/>
  <c r="I164" i="3"/>
  <c r="B165" i="3"/>
  <c r="E165" i="3"/>
  <c r="G165" i="3"/>
  <c r="I165" i="3"/>
  <c r="O162" i="2"/>
  <c r="Q162" i="2" s="1"/>
  <c r="T162" i="2" s="1"/>
  <c r="O161" i="2"/>
  <c r="Q161" i="2" s="1"/>
  <c r="T161" i="2" s="1"/>
  <c r="G162" i="2"/>
  <c r="D162" i="2"/>
  <c r="F162" i="3" s="1"/>
  <c r="D152" i="2"/>
  <c r="F152" i="3" s="1"/>
  <c r="B147" i="3"/>
  <c r="E147" i="3"/>
  <c r="G147" i="3"/>
  <c r="I147" i="3"/>
  <c r="B148" i="3"/>
  <c r="E148" i="3"/>
  <c r="G148" i="3"/>
  <c r="I148" i="3"/>
  <c r="F148" i="2"/>
  <c r="Q148" i="2" s="1"/>
  <c r="F147" i="2"/>
  <c r="Q147" i="2" s="1"/>
  <c r="B149" i="3"/>
  <c r="E149" i="3"/>
  <c r="G149" i="3"/>
  <c r="I149" i="3"/>
  <c r="B150" i="3"/>
  <c r="E150" i="3"/>
  <c r="G150" i="3"/>
  <c r="I150" i="3"/>
  <c r="B151" i="3"/>
  <c r="E151" i="3"/>
  <c r="G151" i="3"/>
  <c r="I151" i="3"/>
  <c r="B152" i="3"/>
  <c r="E152" i="3"/>
  <c r="G152" i="3"/>
  <c r="I152" i="3"/>
  <c r="B153" i="3"/>
  <c r="E153" i="3"/>
  <c r="G153" i="3"/>
  <c r="I153" i="3"/>
  <c r="B154" i="3"/>
  <c r="E154" i="3"/>
  <c r="G154" i="3"/>
  <c r="I154" i="3"/>
  <c r="B155" i="3"/>
  <c r="E155" i="3"/>
  <c r="G155" i="3"/>
  <c r="I155" i="3"/>
  <c r="B156" i="3"/>
  <c r="E156" i="3"/>
  <c r="G156" i="3"/>
  <c r="I156" i="3"/>
  <c r="B157" i="3"/>
  <c r="E157" i="3"/>
  <c r="G157" i="3"/>
  <c r="I157" i="3"/>
  <c r="B158" i="3"/>
  <c r="E158" i="3"/>
  <c r="G158" i="3"/>
  <c r="I158" i="3"/>
  <c r="B159" i="3"/>
  <c r="E159" i="3"/>
  <c r="G159" i="3"/>
  <c r="I159" i="3"/>
  <c r="B160" i="3"/>
  <c r="E160" i="3"/>
  <c r="G160" i="3"/>
  <c r="I160" i="3"/>
  <c r="B161" i="3"/>
  <c r="E161" i="3"/>
  <c r="G161" i="3"/>
  <c r="I161" i="3"/>
  <c r="O160" i="2"/>
  <c r="Q160" i="2" s="1"/>
  <c r="T160" i="2" s="1"/>
  <c r="O159" i="2"/>
  <c r="Q159" i="2" s="1"/>
  <c r="O158" i="2"/>
  <c r="Q158" i="2" s="1"/>
  <c r="T158" i="2" s="1"/>
  <c r="O157" i="2"/>
  <c r="Q157" i="2" s="1"/>
  <c r="T157" i="2" s="1"/>
  <c r="O156" i="2"/>
  <c r="Q156" i="2" s="1"/>
  <c r="T156" i="2" s="1"/>
  <c r="O155" i="2"/>
  <c r="Q155" i="2" s="1"/>
  <c r="T155" i="2" s="1"/>
  <c r="O154" i="2"/>
  <c r="Q154" i="2" s="1"/>
  <c r="O153" i="2"/>
  <c r="Q153" i="2" s="1"/>
  <c r="O152" i="2"/>
  <c r="Q152" i="2" s="1"/>
  <c r="O151" i="2"/>
  <c r="Q151" i="2" s="1"/>
  <c r="T151" i="2" s="1"/>
  <c r="O149" i="2"/>
  <c r="Q149" i="2" s="1"/>
  <c r="T149" i="2" s="1"/>
  <c r="Q168" i="2"/>
  <c r="T168" i="2" s="1"/>
  <c r="G168" i="2"/>
  <c r="D168" i="2"/>
  <c r="F168" i="3" s="1"/>
  <c r="Q167" i="2"/>
  <c r="T167" i="2" s="1"/>
  <c r="G167" i="2"/>
  <c r="D167" i="2"/>
  <c r="F167" i="3" s="1"/>
  <c r="G166" i="2"/>
  <c r="D166" i="2"/>
  <c r="F166" i="3" s="1"/>
  <c r="Q165" i="2"/>
  <c r="T165" i="2" s="1"/>
  <c r="G165" i="2"/>
  <c r="D165" i="2"/>
  <c r="F165" i="3" s="1"/>
  <c r="Q164" i="2"/>
  <c r="T164" i="2" s="1"/>
  <c r="G164" i="2"/>
  <c r="D164" i="2"/>
  <c r="F164" i="3" s="1"/>
  <c r="G163" i="2"/>
  <c r="D163" i="2"/>
  <c r="F163" i="3" s="1"/>
  <c r="G161" i="2"/>
  <c r="D161" i="2"/>
  <c r="F161" i="3" s="1"/>
  <c r="G160" i="2"/>
  <c r="D160" i="2"/>
  <c r="F160" i="3" s="1"/>
  <c r="G159" i="2"/>
  <c r="D159" i="2"/>
  <c r="F159" i="3" s="1"/>
  <c r="G158" i="2"/>
  <c r="D158" i="2"/>
  <c r="F158" i="3" s="1"/>
  <c r="G157" i="2"/>
  <c r="D157" i="2"/>
  <c r="F157" i="3" s="1"/>
  <c r="G156" i="2"/>
  <c r="D156" i="2"/>
  <c r="F156" i="3" s="1"/>
  <c r="G155" i="2"/>
  <c r="D155" i="2"/>
  <c r="F155" i="3" s="1"/>
  <c r="B134" i="3"/>
  <c r="E134" i="3"/>
  <c r="G134" i="3"/>
  <c r="I134" i="3"/>
  <c r="B135" i="3"/>
  <c r="E135" i="3"/>
  <c r="G135" i="3"/>
  <c r="I135" i="3"/>
  <c r="B136" i="3"/>
  <c r="E136" i="3"/>
  <c r="G136" i="3"/>
  <c r="I136" i="3"/>
  <c r="B137" i="3"/>
  <c r="E137" i="3"/>
  <c r="G137" i="3"/>
  <c r="I137" i="3"/>
  <c r="B138" i="3"/>
  <c r="E138" i="3"/>
  <c r="G138" i="3"/>
  <c r="I138" i="3"/>
  <c r="B139" i="3"/>
  <c r="E139" i="3"/>
  <c r="G139" i="3"/>
  <c r="I139" i="3"/>
  <c r="B140" i="3"/>
  <c r="E140" i="3"/>
  <c r="G140" i="3"/>
  <c r="I140" i="3"/>
  <c r="B141" i="3"/>
  <c r="E141" i="3"/>
  <c r="G141" i="3"/>
  <c r="I141" i="3"/>
  <c r="B142" i="3"/>
  <c r="E142" i="3"/>
  <c r="G142" i="3"/>
  <c r="I142" i="3"/>
  <c r="B143" i="3"/>
  <c r="E143" i="3"/>
  <c r="G143" i="3"/>
  <c r="I143" i="3"/>
  <c r="B144" i="3"/>
  <c r="E144" i="3"/>
  <c r="G144" i="3"/>
  <c r="I144" i="3"/>
  <c r="B145" i="3"/>
  <c r="E145" i="3"/>
  <c r="G145" i="3"/>
  <c r="I145" i="3"/>
  <c r="B146" i="3"/>
  <c r="E146" i="3"/>
  <c r="G146" i="3"/>
  <c r="I146" i="3"/>
  <c r="O145" i="2"/>
  <c r="Q145" i="2" s="1"/>
  <c r="O144" i="2"/>
  <c r="Q144" i="2" s="1"/>
  <c r="O143" i="2"/>
  <c r="Q143" i="2" s="1"/>
  <c r="T143" i="2" s="1"/>
  <c r="O142" i="2"/>
  <c r="G154" i="2"/>
  <c r="D154" i="2"/>
  <c r="F154" i="3" s="1"/>
  <c r="G153" i="2"/>
  <c r="D153" i="2"/>
  <c r="F153" i="3" s="1"/>
  <c r="G152" i="2"/>
  <c r="G151" i="2"/>
  <c r="D151" i="2"/>
  <c r="F151" i="3" s="1"/>
  <c r="Q150" i="2"/>
  <c r="T150" i="2" s="1"/>
  <c r="G150" i="2"/>
  <c r="D150" i="2"/>
  <c r="F150" i="3" s="1"/>
  <c r="G149" i="2"/>
  <c r="D149" i="2"/>
  <c r="F149" i="3" s="1"/>
  <c r="Q146" i="2"/>
  <c r="T146" i="2" s="1"/>
  <c r="G146" i="2"/>
  <c r="D146" i="2"/>
  <c r="F146" i="3" s="1"/>
  <c r="G145" i="2"/>
  <c r="D145" i="2"/>
  <c r="F145" i="3" s="1"/>
  <c r="G144" i="2"/>
  <c r="D144" i="2"/>
  <c r="F144" i="3" s="1"/>
  <c r="G143" i="2"/>
  <c r="D143" i="2"/>
  <c r="F143" i="3" s="1"/>
  <c r="O141" i="2"/>
  <c r="O140" i="2"/>
  <c r="T173" i="2" l="1"/>
  <c r="H173" i="3"/>
  <c r="M173" i="3" s="1"/>
  <c r="K173" i="3" s="1"/>
  <c r="L173" i="3" s="1"/>
  <c r="T174" i="2"/>
  <c r="H174" i="3"/>
  <c r="M174" i="3" s="1"/>
  <c r="K174" i="3" s="1"/>
  <c r="L174" i="3" s="1"/>
  <c r="T172" i="2"/>
  <c r="T171" i="2"/>
  <c r="M172" i="3"/>
  <c r="K172" i="3" s="1"/>
  <c r="L172" i="3" s="1"/>
  <c r="H169" i="3"/>
  <c r="M169" i="3" s="1"/>
  <c r="K169" i="3" s="1"/>
  <c r="L169" i="3" s="1"/>
  <c r="H166" i="3"/>
  <c r="M166" i="3" s="1"/>
  <c r="K166" i="3" s="1"/>
  <c r="L166" i="3" s="1"/>
  <c r="H162" i="3"/>
  <c r="M162" i="3" s="1"/>
  <c r="K162" i="3" s="1"/>
  <c r="L162" i="3" s="1"/>
  <c r="D148" i="2"/>
  <c r="F148" i="3" s="1"/>
  <c r="M171" i="3"/>
  <c r="K171" i="3" s="1"/>
  <c r="L171" i="3" s="1"/>
  <c r="T170" i="2"/>
  <c r="M170" i="3"/>
  <c r="K170" i="3" s="1"/>
  <c r="L170" i="3" s="1"/>
  <c r="H168" i="3"/>
  <c r="M168" i="3" s="1"/>
  <c r="K168" i="3" s="1"/>
  <c r="L168" i="3" s="1"/>
  <c r="H167" i="3"/>
  <c r="M167" i="3" s="1"/>
  <c r="K167" i="3" s="1"/>
  <c r="L167" i="3" s="1"/>
  <c r="H165" i="3"/>
  <c r="M165" i="3" s="1"/>
  <c r="K165" i="3" s="1"/>
  <c r="L165" i="3" s="1"/>
  <c r="H164" i="3"/>
  <c r="M164" i="3" s="1"/>
  <c r="K164" i="3" s="1"/>
  <c r="L164" i="3" s="1"/>
  <c r="H163" i="3"/>
  <c r="M163" i="3" s="1"/>
  <c r="K163" i="3" s="1"/>
  <c r="L163" i="3" s="1"/>
  <c r="G147" i="2"/>
  <c r="T148" i="2"/>
  <c r="H148" i="3"/>
  <c r="M148" i="3" s="1"/>
  <c r="K148" i="3" s="1"/>
  <c r="L148" i="3" s="1"/>
  <c r="T147" i="2"/>
  <c r="H147" i="3"/>
  <c r="M147" i="3" s="1"/>
  <c r="K147" i="3" s="1"/>
  <c r="L147" i="3" s="1"/>
  <c r="H146" i="3"/>
  <c r="M146" i="3" s="1"/>
  <c r="K146" i="3" s="1"/>
  <c r="L146" i="3" s="1"/>
  <c r="D147" i="2"/>
  <c r="F147" i="3" s="1"/>
  <c r="G148" i="2"/>
  <c r="T153" i="2"/>
  <c r="H153" i="3"/>
  <c r="M153" i="3" s="1"/>
  <c r="K153" i="3" s="1"/>
  <c r="L153" i="3" s="1"/>
  <c r="T159" i="2"/>
  <c r="H159" i="3"/>
  <c r="M159" i="3" s="1"/>
  <c r="K159" i="3" s="1"/>
  <c r="L159" i="3" s="1"/>
  <c r="T154" i="2"/>
  <c r="H154" i="3"/>
  <c r="M154" i="3" s="1"/>
  <c r="K154" i="3" s="1"/>
  <c r="L154" i="3" s="1"/>
  <c r="T152" i="2"/>
  <c r="H152" i="3"/>
  <c r="M152" i="3" s="1"/>
  <c r="K152" i="3" s="1"/>
  <c r="L152" i="3" s="1"/>
  <c r="T145" i="2"/>
  <c r="H145" i="3"/>
  <c r="M145" i="3" s="1"/>
  <c r="K145" i="3" s="1"/>
  <c r="L145" i="3" s="1"/>
  <c r="T144" i="2"/>
  <c r="H144" i="3"/>
  <c r="M144" i="3" s="1"/>
  <c r="K144" i="3" s="1"/>
  <c r="L144" i="3" s="1"/>
  <c r="H158" i="3"/>
  <c r="M158" i="3" s="1"/>
  <c r="K158" i="3" s="1"/>
  <c r="L158" i="3" s="1"/>
  <c r="H150" i="3"/>
  <c r="M150" i="3" s="1"/>
  <c r="K150" i="3" s="1"/>
  <c r="L150" i="3" s="1"/>
  <c r="H160" i="3"/>
  <c r="M160" i="3" s="1"/>
  <c r="K160" i="3" s="1"/>
  <c r="L160" i="3" s="1"/>
  <c r="H155" i="3"/>
  <c r="M155" i="3" s="1"/>
  <c r="K155" i="3" s="1"/>
  <c r="L155" i="3" s="1"/>
  <c r="H143" i="3"/>
  <c r="M143" i="3" s="1"/>
  <c r="K143" i="3" s="1"/>
  <c r="L143" i="3" s="1"/>
  <c r="H157" i="3"/>
  <c r="M157" i="3" s="1"/>
  <c r="K157" i="3" s="1"/>
  <c r="L157" i="3" s="1"/>
  <c r="H149" i="3"/>
  <c r="M149" i="3" s="1"/>
  <c r="K149" i="3" s="1"/>
  <c r="L149" i="3" s="1"/>
  <c r="H151" i="3"/>
  <c r="M151" i="3" s="1"/>
  <c r="K151" i="3" s="1"/>
  <c r="L151" i="3" s="1"/>
  <c r="H161" i="3"/>
  <c r="M161" i="3" s="1"/>
  <c r="K161" i="3" s="1"/>
  <c r="L161" i="3" s="1"/>
  <c r="H156" i="3"/>
  <c r="M156" i="3" s="1"/>
  <c r="K156" i="3" s="1"/>
  <c r="L156" i="3" s="1"/>
  <c r="B4" i="3" l="1"/>
  <c r="E4" i="3"/>
  <c r="G4" i="3"/>
  <c r="I4" i="3"/>
  <c r="B5" i="3"/>
  <c r="E5" i="3"/>
  <c r="G5" i="3"/>
  <c r="I5" i="3"/>
  <c r="B6" i="3"/>
  <c r="F129" i="2"/>
  <c r="F128" i="2"/>
  <c r="F131" i="2"/>
  <c r="F130" i="2"/>
  <c r="B130" i="3"/>
  <c r="E130" i="3"/>
  <c r="G130" i="3"/>
  <c r="I130" i="3"/>
  <c r="B131" i="3"/>
  <c r="E131" i="3"/>
  <c r="G131" i="3"/>
  <c r="I131" i="3"/>
  <c r="B132" i="3"/>
  <c r="E132" i="3"/>
  <c r="G132" i="3"/>
  <c r="I132" i="3"/>
  <c r="B133" i="3"/>
  <c r="E133" i="3"/>
  <c r="G133" i="3"/>
  <c r="I133" i="3"/>
  <c r="Q142" i="2"/>
  <c r="G142" i="2"/>
  <c r="D142" i="2"/>
  <c r="F142" i="3" s="1"/>
  <c r="Q141" i="2"/>
  <c r="G141" i="2"/>
  <c r="D141" i="2"/>
  <c r="F141" i="3" s="1"/>
  <c r="Q140" i="2"/>
  <c r="G140" i="2"/>
  <c r="D140" i="2"/>
  <c r="F140" i="3" s="1"/>
  <c r="Q139" i="2"/>
  <c r="G139" i="2"/>
  <c r="D139" i="2"/>
  <c r="F139" i="3" s="1"/>
  <c r="Q138" i="2"/>
  <c r="G138" i="2"/>
  <c r="D138" i="2"/>
  <c r="F138" i="3" s="1"/>
  <c r="Q137" i="2"/>
  <c r="G137" i="2"/>
  <c r="D137" i="2"/>
  <c r="F137" i="3" s="1"/>
  <c r="Q136" i="2"/>
  <c r="G136" i="2"/>
  <c r="D136" i="2"/>
  <c r="F136" i="3" s="1"/>
  <c r="Q135" i="2"/>
  <c r="G135" i="2"/>
  <c r="D135" i="2"/>
  <c r="F135" i="3" s="1"/>
  <c r="Q134" i="2"/>
  <c r="G134" i="2"/>
  <c r="D134" i="2"/>
  <c r="F134" i="3" s="1"/>
  <c r="Q133" i="2"/>
  <c r="T133" i="2" s="1"/>
  <c r="G133" i="2"/>
  <c r="D133" i="2"/>
  <c r="F133" i="3" s="1"/>
  <c r="Q132" i="2"/>
  <c r="T132" i="2" s="1"/>
  <c r="G132" i="2"/>
  <c r="D132" i="2"/>
  <c r="F132" i="3" s="1"/>
  <c r="F2" i="2"/>
  <c r="F4" i="2"/>
  <c r="H132" i="3" l="1"/>
  <c r="M132" i="3" s="1"/>
  <c r="K132" i="3" s="1"/>
  <c r="L132" i="3" s="1"/>
  <c r="T140" i="2"/>
  <c r="H140" i="3"/>
  <c r="M140" i="3" s="1"/>
  <c r="K140" i="3" s="1"/>
  <c r="L140" i="3" s="1"/>
  <c r="T141" i="2"/>
  <c r="H141" i="3"/>
  <c r="M141" i="3" s="1"/>
  <c r="K141" i="3" s="1"/>
  <c r="L141" i="3" s="1"/>
  <c r="T139" i="2"/>
  <c r="H139" i="3"/>
  <c r="M139" i="3" s="1"/>
  <c r="K139" i="3" s="1"/>
  <c r="L139" i="3" s="1"/>
  <c r="T136" i="2"/>
  <c r="H136" i="3"/>
  <c r="M136" i="3" s="1"/>
  <c r="K136" i="3" s="1"/>
  <c r="L136" i="3" s="1"/>
  <c r="T137" i="2"/>
  <c r="H137" i="3"/>
  <c r="M137" i="3" s="1"/>
  <c r="K137" i="3" s="1"/>
  <c r="L137" i="3" s="1"/>
  <c r="T134" i="2"/>
  <c r="H134" i="3"/>
  <c r="M134" i="3" s="1"/>
  <c r="K134" i="3" s="1"/>
  <c r="L134" i="3" s="1"/>
  <c r="T135" i="2"/>
  <c r="H135" i="3"/>
  <c r="M135" i="3" s="1"/>
  <c r="K135" i="3" s="1"/>
  <c r="L135" i="3" s="1"/>
  <c r="T142" i="2"/>
  <c r="H142" i="3"/>
  <c r="M142" i="3" s="1"/>
  <c r="K142" i="3" s="1"/>
  <c r="L142" i="3" s="1"/>
  <c r="T138" i="2"/>
  <c r="H138" i="3"/>
  <c r="M138" i="3" s="1"/>
  <c r="K138" i="3" s="1"/>
  <c r="L138" i="3" s="1"/>
  <c r="H133" i="3"/>
  <c r="M133" i="3"/>
  <c r="K133" i="3" s="1"/>
  <c r="L133" i="3" s="1"/>
  <c r="B32" i="3" l="1"/>
  <c r="E32" i="3"/>
  <c r="G32" i="3"/>
  <c r="I32" i="3"/>
  <c r="B33" i="3"/>
  <c r="E33" i="3"/>
  <c r="G33" i="3"/>
  <c r="I33" i="3"/>
  <c r="B34" i="3"/>
  <c r="E34" i="3"/>
  <c r="G34" i="3"/>
  <c r="I34" i="3"/>
  <c r="B35" i="3"/>
  <c r="E35" i="3"/>
  <c r="G35" i="3"/>
  <c r="I35" i="3"/>
  <c r="B36" i="3"/>
  <c r="E36" i="3"/>
  <c r="G36" i="3"/>
  <c r="I36" i="3"/>
  <c r="B37" i="3"/>
  <c r="E37" i="3"/>
  <c r="G37" i="3"/>
  <c r="I37" i="3"/>
  <c r="B38" i="3"/>
  <c r="E38" i="3"/>
  <c r="G38" i="3"/>
  <c r="I38" i="3"/>
  <c r="B39" i="3"/>
  <c r="E39" i="3"/>
  <c r="G39" i="3"/>
  <c r="I39" i="3"/>
  <c r="B40" i="3"/>
  <c r="E40" i="3"/>
  <c r="G40" i="3"/>
  <c r="I40" i="3"/>
  <c r="B41" i="3"/>
  <c r="E41" i="3"/>
  <c r="G41" i="3"/>
  <c r="I41" i="3"/>
  <c r="B42" i="3"/>
  <c r="E42" i="3"/>
  <c r="G42" i="3"/>
  <c r="I42" i="3"/>
  <c r="B43" i="3"/>
  <c r="E43" i="3"/>
  <c r="G43" i="3"/>
  <c r="I43" i="3"/>
  <c r="B44" i="3"/>
  <c r="E44" i="3"/>
  <c r="G44" i="3"/>
  <c r="I44" i="3"/>
  <c r="B45" i="3"/>
  <c r="E45" i="3"/>
  <c r="G45" i="3"/>
  <c r="I45" i="3"/>
  <c r="B46" i="3"/>
  <c r="E46" i="3"/>
  <c r="G46" i="3"/>
  <c r="I46" i="3"/>
  <c r="B47" i="3"/>
  <c r="E47" i="3"/>
  <c r="G47" i="3"/>
  <c r="I47" i="3"/>
  <c r="B48" i="3"/>
  <c r="E48" i="3"/>
  <c r="G48" i="3"/>
  <c r="I48" i="3"/>
  <c r="B49" i="3"/>
  <c r="E49" i="3"/>
  <c r="G49" i="3"/>
  <c r="I49" i="3"/>
  <c r="B50" i="3"/>
  <c r="E50" i="3"/>
  <c r="G50" i="3"/>
  <c r="I50" i="3"/>
  <c r="B51" i="3"/>
  <c r="E51" i="3"/>
  <c r="G51" i="3"/>
  <c r="I51" i="3"/>
  <c r="B52" i="3"/>
  <c r="E52" i="3"/>
  <c r="G52" i="3"/>
  <c r="I52" i="3"/>
  <c r="B53" i="3"/>
  <c r="E53" i="3"/>
  <c r="G53" i="3"/>
  <c r="I53" i="3"/>
  <c r="B54" i="3"/>
  <c r="E54" i="3"/>
  <c r="G54" i="3"/>
  <c r="I54" i="3"/>
  <c r="B55" i="3"/>
  <c r="E55" i="3"/>
  <c r="G55" i="3"/>
  <c r="I55" i="3"/>
  <c r="B56" i="3"/>
  <c r="E56" i="3"/>
  <c r="G56" i="3"/>
  <c r="I56" i="3"/>
  <c r="B57" i="3"/>
  <c r="E57" i="3"/>
  <c r="G57" i="3"/>
  <c r="I57" i="3"/>
  <c r="B58" i="3"/>
  <c r="E58" i="3"/>
  <c r="G58" i="3"/>
  <c r="I58" i="3"/>
  <c r="B59" i="3"/>
  <c r="E59" i="3"/>
  <c r="G59" i="3"/>
  <c r="I59" i="3"/>
  <c r="B60" i="3"/>
  <c r="E60" i="3"/>
  <c r="G60" i="3"/>
  <c r="I60" i="3"/>
  <c r="B61" i="3"/>
  <c r="E61" i="3"/>
  <c r="G61" i="3"/>
  <c r="I61" i="3"/>
  <c r="B62" i="3"/>
  <c r="E62" i="3"/>
  <c r="G62" i="3"/>
  <c r="I62" i="3"/>
  <c r="B63" i="3"/>
  <c r="E63" i="3"/>
  <c r="G63" i="3"/>
  <c r="I63" i="3"/>
  <c r="B64" i="3"/>
  <c r="E64" i="3"/>
  <c r="G64" i="3"/>
  <c r="I64" i="3"/>
  <c r="B65" i="3"/>
  <c r="E65" i="3"/>
  <c r="G65" i="3"/>
  <c r="I65" i="3"/>
  <c r="B66" i="3"/>
  <c r="E66" i="3"/>
  <c r="G66" i="3"/>
  <c r="I66" i="3"/>
  <c r="B67" i="3"/>
  <c r="E67" i="3"/>
  <c r="G67" i="3"/>
  <c r="I67" i="3"/>
  <c r="B68" i="3"/>
  <c r="E68" i="3"/>
  <c r="G68" i="3"/>
  <c r="I68" i="3"/>
  <c r="B69" i="3"/>
  <c r="E69" i="3"/>
  <c r="G69" i="3"/>
  <c r="I69" i="3"/>
  <c r="B70" i="3"/>
  <c r="E70" i="3"/>
  <c r="G70" i="3"/>
  <c r="I70" i="3"/>
  <c r="B71" i="3"/>
  <c r="E71" i="3"/>
  <c r="G71" i="3"/>
  <c r="I71" i="3"/>
  <c r="B72" i="3"/>
  <c r="E72" i="3"/>
  <c r="G72" i="3"/>
  <c r="I72" i="3"/>
  <c r="B73" i="3"/>
  <c r="E73" i="3"/>
  <c r="G73" i="3"/>
  <c r="I73" i="3"/>
  <c r="B74" i="3"/>
  <c r="E74" i="3"/>
  <c r="G74" i="3"/>
  <c r="I74" i="3"/>
  <c r="B75" i="3"/>
  <c r="E75" i="3"/>
  <c r="G75" i="3"/>
  <c r="I75" i="3"/>
  <c r="B76" i="3"/>
  <c r="E76" i="3"/>
  <c r="G76" i="3"/>
  <c r="I76" i="3"/>
  <c r="B79" i="3"/>
  <c r="E79" i="3"/>
  <c r="G79" i="3"/>
  <c r="I79" i="3"/>
  <c r="B80" i="3"/>
  <c r="E80" i="3"/>
  <c r="G80" i="3"/>
  <c r="I80" i="3"/>
  <c r="B82" i="3"/>
  <c r="E82" i="3"/>
  <c r="G82" i="3"/>
  <c r="I82" i="3"/>
  <c r="B83" i="3"/>
  <c r="E83" i="3"/>
  <c r="G83" i="3"/>
  <c r="I83" i="3"/>
  <c r="B84" i="3"/>
  <c r="E84" i="3"/>
  <c r="G84" i="3"/>
  <c r="I84" i="3"/>
  <c r="B85" i="3"/>
  <c r="E85" i="3"/>
  <c r="G85" i="3"/>
  <c r="I85" i="3"/>
  <c r="B86" i="3"/>
  <c r="E86" i="3"/>
  <c r="G86" i="3"/>
  <c r="I86" i="3"/>
  <c r="B87" i="3"/>
  <c r="E87" i="3"/>
  <c r="G87" i="3"/>
  <c r="I87" i="3"/>
  <c r="B88" i="3"/>
  <c r="E88" i="3"/>
  <c r="G88" i="3"/>
  <c r="I88" i="3"/>
  <c r="B89" i="3"/>
  <c r="E89" i="3"/>
  <c r="G89" i="3"/>
  <c r="I89" i="3"/>
  <c r="B90" i="3"/>
  <c r="E90" i="3"/>
  <c r="G90" i="3"/>
  <c r="I90" i="3"/>
  <c r="B91" i="3"/>
  <c r="E91" i="3"/>
  <c r="G91" i="3"/>
  <c r="I91" i="3"/>
  <c r="B92" i="3"/>
  <c r="E92" i="3"/>
  <c r="G92" i="3"/>
  <c r="I92" i="3"/>
  <c r="B93" i="3"/>
  <c r="E93" i="3"/>
  <c r="G93" i="3"/>
  <c r="I93" i="3"/>
  <c r="B94" i="3"/>
  <c r="E94" i="3"/>
  <c r="G94" i="3"/>
  <c r="I94" i="3"/>
  <c r="B95" i="3"/>
  <c r="E95" i="3"/>
  <c r="G95" i="3"/>
  <c r="I95" i="3"/>
  <c r="B96" i="3"/>
  <c r="E96" i="3"/>
  <c r="G96" i="3"/>
  <c r="I96" i="3"/>
  <c r="B97" i="3"/>
  <c r="E97" i="3"/>
  <c r="G97" i="3"/>
  <c r="I97" i="3"/>
  <c r="B98" i="3"/>
  <c r="E98" i="3"/>
  <c r="G98" i="3"/>
  <c r="I98" i="3"/>
  <c r="B99" i="3"/>
  <c r="E99" i="3"/>
  <c r="G99" i="3"/>
  <c r="I99" i="3"/>
  <c r="B100" i="3"/>
  <c r="E100" i="3"/>
  <c r="G100" i="3"/>
  <c r="I100" i="3"/>
  <c r="B101" i="3"/>
  <c r="E101" i="3"/>
  <c r="G101" i="3"/>
  <c r="I101" i="3"/>
  <c r="B102" i="3"/>
  <c r="E102" i="3"/>
  <c r="G102" i="3"/>
  <c r="I102" i="3"/>
  <c r="B103" i="3"/>
  <c r="E103" i="3"/>
  <c r="G103" i="3"/>
  <c r="I103" i="3"/>
  <c r="B104" i="3"/>
  <c r="E104" i="3"/>
  <c r="G104" i="3"/>
  <c r="I104" i="3"/>
  <c r="B105" i="3"/>
  <c r="E105" i="3"/>
  <c r="G105" i="3"/>
  <c r="I105" i="3"/>
  <c r="B106" i="3"/>
  <c r="E106" i="3"/>
  <c r="G106" i="3"/>
  <c r="I106" i="3"/>
  <c r="B107" i="3"/>
  <c r="E107" i="3"/>
  <c r="G107" i="3"/>
  <c r="I107" i="3"/>
  <c r="B108" i="3"/>
  <c r="E108" i="3"/>
  <c r="G108" i="3"/>
  <c r="I108" i="3"/>
  <c r="B109" i="3"/>
  <c r="E109" i="3"/>
  <c r="G109" i="3"/>
  <c r="I109" i="3"/>
  <c r="B110" i="3"/>
  <c r="E110" i="3"/>
  <c r="G110" i="3"/>
  <c r="I110" i="3"/>
  <c r="B111" i="3"/>
  <c r="E111" i="3"/>
  <c r="G111" i="3"/>
  <c r="I111" i="3"/>
  <c r="B112" i="3"/>
  <c r="E112" i="3"/>
  <c r="G112" i="3"/>
  <c r="I112" i="3"/>
  <c r="B113" i="3"/>
  <c r="E113" i="3"/>
  <c r="G113" i="3"/>
  <c r="I113" i="3"/>
  <c r="B114" i="3"/>
  <c r="E114" i="3"/>
  <c r="G114" i="3"/>
  <c r="I114" i="3"/>
  <c r="B115" i="3"/>
  <c r="E115" i="3"/>
  <c r="G115" i="3"/>
  <c r="I115" i="3"/>
  <c r="B116" i="3"/>
  <c r="E116" i="3"/>
  <c r="G116" i="3"/>
  <c r="I116" i="3"/>
  <c r="B117" i="3"/>
  <c r="E117" i="3"/>
  <c r="G117" i="3"/>
  <c r="I117" i="3"/>
  <c r="B118" i="3"/>
  <c r="E118" i="3"/>
  <c r="G118" i="3"/>
  <c r="I118" i="3"/>
  <c r="B119" i="3"/>
  <c r="E119" i="3"/>
  <c r="G119" i="3"/>
  <c r="I119" i="3"/>
  <c r="B120" i="3"/>
  <c r="E120" i="3"/>
  <c r="G120" i="3"/>
  <c r="I120" i="3"/>
  <c r="B121" i="3"/>
  <c r="E121" i="3"/>
  <c r="G121" i="3"/>
  <c r="I121" i="3"/>
  <c r="B122" i="3"/>
  <c r="E122" i="3"/>
  <c r="G122" i="3"/>
  <c r="I122" i="3"/>
  <c r="B123" i="3"/>
  <c r="E123" i="3"/>
  <c r="G123" i="3"/>
  <c r="I123" i="3"/>
  <c r="B124" i="3"/>
  <c r="E124" i="3"/>
  <c r="G124" i="3"/>
  <c r="I124" i="3"/>
  <c r="B125" i="3"/>
  <c r="E125" i="3"/>
  <c r="G125" i="3"/>
  <c r="I125" i="3"/>
  <c r="B126" i="3"/>
  <c r="E126" i="3"/>
  <c r="G126" i="3"/>
  <c r="I126" i="3"/>
  <c r="B127" i="3"/>
  <c r="E127" i="3"/>
  <c r="G127" i="3"/>
  <c r="I127" i="3"/>
  <c r="B128" i="3"/>
  <c r="E128" i="3"/>
  <c r="G128" i="3"/>
  <c r="I128" i="3"/>
  <c r="B129" i="3"/>
  <c r="E129" i="3"/>
  <c r="G129" i="3"/>
  <c r="I129" i="3"/>
  <c r="Q127" i="2"/>
  <c r="T127" i="2" s="1"/>
  <c r="G127" i="2"/>
  <c r="D127" i="2"/>
  <c r="F127" i="3" s="1"/>
  <c r="Q126" i="2"/>
  <c r="T126" i="2" s="1"/>
  <c r="G126" i="2"/>
  <c r="D126" i="2"/>
  <c r="F126" i="3" s="1"/>
  <c r="O99" i="2"/>
  <c r="Q99" i="2" s="1"/>
  <c r="T99" i="2" s="1"/>
  <c r="O98" i="2"/>
  <c r="Q98" i="2" s="1"/>
  <c r="T98" i="2" s="1"/>
  <c r="O101" i="2"/>
  <c r="Q101" i="2" s="1"/>
  <c r="O100" i="2"/>
  <c r="Q100" i="2" s="1"/>
  <c r="T100" i="2" s="1"/>
  <c r="G101" i="2"/>
  <c r="D101" i="2"/>
  <c r="F101" i="3" s="1"/>
  <c r="G100" i="2"/>
  <c r="D100" i="2"/>
  <c r="F100" i="3" s="1"/>
  <c r="G99" i="2"/>
  <c r="D99" i="2"/>
  <c r="F99" i="3" s="1"/>
  <c r="G98" i="2"/>
  <c r="D98" i="2"/>
  <c r="F98" i="3" s="1"/>
  <c r="Q60" i="2"/>
  <c r="T60" i="2" s="1"/>
  <c r="G60" i="2"/>
  <c r="D60" i="2"/>
  <c r="F60" i="3" s="1"/>
  <c r="Q59" i="2"/>
  <c r="T59" i="2" s="1"/>
  <c r="G59" i="2"/>
  <c r="D59" i="2"/>
  <c r="F59" i="3" s="1"/>
  <c r="Q58" i="2"/>
  <c r="T58" i="2" s="1"/>
  <c r="G58" i="2"/>
  <c r="D58" i="2"/>
  <c r="F58" i="3" s="1"/>
  <c r="Q57" i="2"/>
  <c r="T57" i="2" s="1"/>
  <c r="G57" i="2"/>
  <c r="D57" i="2"/>
  <c r="F57" i="3" s="1"/>
  <c r="Q56" i="2"/>
  <c r="T56" i="2" s="1"/>
  <c r="G56" i="2"/>
  <c r="D56" i="2"/>
  <c r="F56" i="3" s="1"/>
  <c r="Q55" i="2"/>
  <c r="T55" i="2" s="1"/>
  <c r="G55" i="2"/>
  <c r="D55" i="2"/>
  <c r="F55" i="3" s="1"/>
  <c r="Q54" i="2"/>
  <c r="T54" i="2" s="1"/>
  <c r="G54" i="2"/>
  <c r="D54" i="2"/>
  <c r="F54" i="3" s="1"/>
  <c r="Q53" i="2"/>
  <c r="T53" i="2" s="1"/>
  <c r="G53" i="2"/>
  <c r="D53" i="2"/>
  <c r="F53" i="3" s="1"/>
  <c r="Q52" i="2"/>
  <c r="T52" i="2" s="1"/>
  <c r="G52" i="2"/>
  <c r="D52" i="2"/>
  <c r="F52" i="3" s="1"/>
  <c r="Q51" i="2"/>
  <c r="T51" i="2" s="1"/>
  <c r="G51" i="2"/>
  <c r="D51" i="2"/>
  <c r="F51" i="3" s="1"/>
  <c r="Q50" i="2"/>
  <c r="T50" i="2" s="1"/>
  <c r="G50" i="2"/>
  <c r="D50" i="2"/>
  <c r="F50" i="3" s="1"/>
  <c r="Q49" i="2"/>
  <c r="T49" i="2" s="1"/>
  <c r="G49" i="2"/>
  <c r="D49" i="2"/>
  <c r="F49" i="3" s="1"/>
  <c r="Q48" i="2"/>
  <c r="T48" i="2" s="1"/>
  <c r="G48" i="2"/>
  <c r="D48" i="2"/>
  <c r="F48" i="3" s="1"/>
  <c r="Q47" i="2"/>
  <c r="T47" i="2" s="1"/>
  <c r="G47" i="2"/>
  <c r="D47" i="2"/>
  <c r="F47" i="3" s="1"/>
  <c r="Q46" i="2"/>
  <c r="T46" i="2" s="1"/>
  <c r="G46" i="2"/>
  <c r="D46" i="2"/>
  <c r="F46" i="3" s="1"/>
  <c r="Q45" i="2"/>
  <c r="T45" i="2" s="1"/>
  <c r="G45" i="2"/>
  <c r="D45" i="2"/>
  <c r="F45" i="3" s="1"/>
  <c r="Q44" i="2"/>
  <c r="T44" i="2" s="1"/>
  <c r="G44" i="2"/>
  <c r="D44" i="2"/>
  <c r="F44" i="3" s="1"/>
  <c r="Q43" i="2"/>
  <c r="T43" i="2" s="1"/>
  <c r="G43" i="2"/>
  <c r="D43" i="2"/>
  <c r="F43" i="3" s="1"/>
  <c r="Q42" i="2"/>
  <c r="T42" i="2" s="1"/>
  <c r="G42" i="2"/>
  <c r="D42" i="2"/>
  <c r="F42" i="3" s="1"/>
  <c r="I122" i="2"/>
  <c r="I121" i="2"/>
  <c r="I120" i="2"/>
  <c r="I119" i="2"/>
  <c r="Q131" i="2"/>
  <c r="G131" i="2"/>
  <c r="D131" i="2"/>
  <c r="F131" i="3" s="1"/>
  <c r="Q130" i="2"/>
  <c r="G130" i="2"/>
  <c r="D130" i="2"/>
  <c r="F130" i="3" s="1"/>
  <c r="Q129" i="2"/>
  <c r="T129" i="2" s="1"/>
  <c r="G129" i="2"/>
  <c r="D129" i="2"/>
  <c r="F129" i="3" s="1"/>
  <c r="Q128" i="2"/>
  <c r="G128" i="2"/>
  <c r="D128" i="2"/>
  <c r="F128" i="3" s="1"/>
  <c r="O97" i="2"/>
  <c r="Q97" i="2" s="1"/>
  <c r="T97" i="2" s="1"/>
  <c r="G97" i="2"/>
  <c r="D97" i="2"/>
  <c r="F97" i="3" s="1"/>
  <c r="O92" i="2"/>
  <c r="O93" i="2"/>
  <c r="O94" i="2"/>
  <c r="O95" i="2"/>
  <c r="O96" i="2"/>
  <c r="O91" i="2"/>
  <c r="T128" i="2" l="1"/>
  <c r="W128" i="2"/>
  <c r="H59" i="3"/>
  <c r="M59" i="3" s="1"/>
  <c r="K59" i="3" s="1"/>
  <c r="L59" i="3" s="1"/>
  <c r="T131" i="2"/>
  <c r="H131" i="3"/>
  <c r="M131" i="3" s="1"/>
  <c r="K131" i="3" s="1"/>
  <c r="L131" i="3" s="1"/>
  <c r="T130" i="2"/>
  <c r="H130" i="3"/>
  <c r="M130" i="3" s="1"/>
  <c r="K130" i="3" s="1"/>
  <c r="L130" i="3" s="1"/>
  <c r="H129" i="3"/>
  <c r="M129" i="3" s="1"/>
  <c r="K129" i="3" s="1"/>
  <c r="L129" i="3" s="1"/>
  <c r="H51" i="3"/>
  <c r="M51" i="3" s="1"/>
  <c r="K51" i="3" s="1"/>
  <c r="L51" i="3" s="1"/>
  <c r="H54" i="3"/>
  <c r="M54" i="3" s="1"/>
  <c r="K54" i="3" s="1"/>
  <c r="L54" i="3" s="1"/>
  <c r="H43" i="3"/>
  <c r="M43" i="3" s="1"/>
  <c r="K43" i="3" s="1"/>
  <c r="L43" i="3" s="1"/>
  <c r="H46" i="3"/>
  <c r="M46" i="3" s="1"/>
  <c r="K46" i="3" s="1"/>
  <c r="L46" i="3" s="1"/>
  <c r="H127" i="3"/>
  <c r="M127" i="3" s="1"/>
  <c r="K127" i="3" s="1"/>
  <c r="L127" i="3" s="1"/>
  <c r="T101" i="2"/>
  <c r="H101" i="3"/>
  <c r="M101" i="3" s="1"/>
  <c r="K101" i="3" s="1"/>
  <c r="L101" i="3" s="1"/>
  <c r="H98" i="3"/>
  <c r="M98" i="3" s="1"/>
  <c r="K98" i="3" s="1"/>
  <c r="L98" i="3" s="1"/>
  <c r="H56" i="3"/>
  <c r="M56" i="3" s="1"/>
  <c r="K56" i="3" s="1"/>
  <c r="L56" i="3" s="1"/>
  <c r="H48" i="3"/>
  <c r="M48" i="3" s="1"/>
  <c r="K48" i="3" s="1"/>
  <c r="L48" i="3" s="1"/>
  <c r="H53" i="3"/>
  <c r="M53" i="3" s="1"/>
  <c r="K53" i="3" s="1"/>
  <c r="L53" i="3" s="1"/>
  <c r="H45" i="3"/>
  <c r="M45" i="3" s="1"/>
  <c r="K45" i="3" s="1"/>
  <c r="L45" i="3" s="1"/>
  <c r="H100" i="3"/>
  <c r="M100" i="3" s="1"/>
  <c r="K100" i="3" s="1"/>
  <c r="L100" i="3" s="1"/>
  <c r="H58" i="3"/>
  <c r="M58" i="3" s="1"/>
  <c r="K58" i="3" s="1"/>
  <c r="L58" i="3" s="1"/>
  <c r="H126" i="3"/>
  <c r="M126" i="3" s="1"/>
  <c r="K126" i="3" s="1"/>
  <c r="L126" i="3" s="1"/>
  <c r="H50" i="3"/>
  <c r="M50" i="3" s="1"/>
  <c r="K50" i="3" s="1"/>
  <c r="L50" i="3" s="1"/>
  <c r="H42" i="3"/>
  <c r="M42" i="3" s="1"/>
  <c r="K42" i="3" s="1"/>
  <c r="L42" i="3" s="1"/>
  <c r="H97" i="3"/>
  <c r="M97" i="3" s="1"/>
  <c r="K97" i="3" s="1"/>
  <c r="L97" i="3" s="1"/>
  <c r="H55" i="3"/>
  <c r="M55" i="3" s="1"/>
  <c r="K55" i="3" s="1"/>
  <c r="L55" i="3" s="1"/>
  <c r="H47" i="3"/>
  <c r="M47" i="3" s="1"/>
  <c r="K47" i="3" s="1"/>
  <c r="L47" i="3" s="1"/>
  <c r="H128" i="3"/>
  <c r="M128" i="3" s="1"/>
  <c r="K128" i="3" s="1"/>
  <c r="L128" i="3" s="1"/>
  <c r="H60" i="3"/>
  <c r="M60" i="3" s="1"/>
  <c r="K60" i="3" s="1"/>
  <c r="L60" i="3" s="1"/>
  <c r="H52" i="3"/>
  <c r="M52" i="3" s="1"/>
  <c r="K52" i="3" s="1"/>
  <c r="L52" i="3" s="1"/>
  <c r="H44" i="3"/>
  <c r="M44" i="3" s="1"/>
  <c r="K44" i="3" s="1"/>
  <c r="L44" i="3" s="1"/>
  <c r="H99" i="3"/>
  <c r="M99" i="3" s="1"/>
  <c r="K99" i="3" s="1"/>
  <c r="L99" i="3" s="1"/>
  <c r="H57" i="3"/>
  <c r="M57" i="3" s="1"/>
  <c r="K57" i="3" s="1"/>
  <c r="L57" i="3" s="1"/>
  <c r="H49" i="3"/>
  <c r="M49" i="3" s="1"/>
  <c r="K49" i="3" s="1"/>
  <c r="L49" i="3" s="1"/>
  <c r="Q91" i="2" l="1"/>
  <c r="Q96" i="2"/>
  <c r="G96" i="2"/>
  <c r="D96" i="2"/>
  <c r="F96" i="3" s="1"/>
  <c r="Q95" i="2"/>
  <c r="G95" i="2"/>
  <c r="D95" i="2"/>
  <c r="F95" i="3" s="1"/>
  <c r="Q94" i="2"/>
  <c r="G94" i="2"/>
  <c r="D94" i="2"/>
  <c r="F94" i="3" s="1"/>
  <c r="Q93" i="2"/>
  <c r="G93" i="2"/>
  <c r="D93" i="2"/>
  <c r="F93" i="3" s="1"/>
  <c r="Q92" i="2"/>
  <c r="G92" i="2"/>
  <c r="D92" i="2"/>
  <c r="F92" i="3" s="1"/>
  <c r="G91" i="2"/>
  <c r="D91" i="2"/>
  <c r="F91" i="3" s="1"/>
  <c r="Q2" i="2"/>
  <c r="T2" i="2" s="1"/>
  <c r="O118" i="2"/>
  <c r="Q118" i="2" s="1"/>
  <c r="O117" i="2"/>
  <c r="Q117" i="2" s="1"/>
  <c r="O116" i="2"/>
  <c r="Q116" i="2" s="1"/>
  <c r="O115" i="2"/>
  <c r="Q115" i="2" s="1"/>
  <c r="O114" i="2"/>
  <c r="Q114" i="2" s="1"/>
  <c r="O113" i="2"/>
  <c r="O112" i="2"/>
  <c r="Q112" i="2" s="1"/>
  <c r="O111" i="2"/>
  <c r="Q111" i="2" s="1"/>
  <c r="O110" i="2"/>
  <c r="I110" i="2"/>
  <c r="Q125" i="2"/>
  <c r="G125" i="2"/>
  <c r="D125" i="2"/>
  <c r="F125" i="3" s="1"/>
  <c r="Q124" i="2"/>
  <c r="G124" i="2"/>
  <c r="D124" i="2"/>
  <c r="F124" i="3" s="1"/>
  <c r="Q123" i="2"/>
  <c r="G123" i="2"/>
  <c r="D123" i="2"/>
  <c r="F123" i="3" s="1"/>
  <c r="Q122" i="2"/>
  <c r="G122" i="2"/>
  <c r="D122" i="2"/>
  <c r="F122" i="3" s="1"/>
  <c r="Q121" i="2"/>
  <c r="G121" i="2"/>
  <c r="D121" i="2"/>
  <c r="F121" i="3" s="1"/>
  <c r="Q120" i="2"/>
  <c r="G120" i="2"/>
  <c r="D120" i="2"/>
  <c r="F120" i="3" s="1"/>
  <c r="Q119" i="2"/>
  <c r="G119" i="2"/>
  <c r="D119" i="2"/>
  <c r="F119" i="3" s="1"/>
  <c r="G118" i="2"/>
  <c r="D118" i="2"/>
  <c r="F118" i="3" s="1"/>
  <c r="G117" i="2"/>
  <c r="D117" i="2"/>
  <c r="F117" i="3" s="1"/>
  <c r="G116" i="2"/>
  <c r="D116" i="2"/>
  <c r="F116" i="3" s="1"/>
  <c r="G115" i="2"/>
  <c r="D115" i="2"/>
  <c r="F115" i="3" s="1"/>
  <c r="G114" i="2"/>
  <c r="D114" i="2"/>
  <c r="F114" i="3" s="1"/>
  <c r="Q113" i="2"/>
  <c r="G113" i="2"/>
  <c r="D113" i="2"/>
  <c r="F113" i="3" s="1"/>
  <c r="O109" i="2"/>
  <c r="Q109" i="2" s="1"/>
  <c r="O108" i="2"/>
  <c r="Q108" i="2" s="1"/>
  <c r="O107" i="2"/>
  <c r="Q107" i="2" s="1"/>
  <c r="O106" i="2"/>
  <c r="Q106" i="2" s="1"/>
  <c r="O105" i="2"/>
  <c r="Q105" i="2" s="1"/>
  <c r="O104" i="2"/>
  <c r="Q104" i="2" s="1"/>
  <c r="O103" i="2"/>
  <c r="Q103" i="2" s="1"/>
  <c r="O102" i="2"/>
  <c r="Q102" i="2" s="1"/>
  <c r="Q88" i="2"/>
  <c r="O90" i="2"/>
  <c r="Q90" i="2" s="1"/>
  <c r="O89" i="2"/>
  <c r="Q89" i="2" s="1"/>
  <c r="O87" i="2"/>
  <c r="Q87" i="2" s="1"/>
  <c r="O86" i="2"/>
  <c r="Q86" i="2" s="1"/>
  <c r="O85" i="2"/>
  <c r="Q85" i="2" s="1"/>
  <c r="O84" i="2"/>
  <c r="Q84" i="2" s="1"/>
  <c r="O83" i="2"/>
  <c r="Q83" i="2" s="1"/>
  <c r="O82" i="2"/>
  <c r="O80" i="2"/>
  <c r="Q80" i="2" s="1"/>
  <c r="O79" i="2"/>
  <c r="Q79" i="2" s="1"/>
  <c r="O68" i="2"/>
  <c r="O67" i="2"/>
  <c r="O66" i="2"/>
  <c r="O65" i="2"/>
  <c r="G112" i="2"/>
  <c r="D112" i="2"/>
  <c r="F112" i="3" s="1"/>
  <c r="G111" i="2"/>
  <c r="D111" i="2"/>
  <c r="F111" i="3" s="1"/>
  <c r="G110" i="2"/>
  <c r="D110" i="2"/>
  <c r="F110" i="3" s="1"/>
  <c r="G109" i="2"/>
  <c r="D109" i="2"/>
  <c r="F109" i="3" s="1"/>
  <c r="G108" i="2"/>
  <c r="D108" i="2"/>
  <c r="F108" i="3" s="1"/>
  <c r="G107" i="2"/>
  <c r="D107" i="2"/>
  <c r="F107" i="3" s="1"/>
  <c r="G106" i="2"/>
  <c r="D106" i="2"/>
  <c r="F106" i="3" s="1"/>
  <c r="G105" i="2"/>
  <c r="D105" i="2"/>
  <c r="F105" i="3" s="1"/>
  <c r="G104" i="2"/>
  <c r="D104" i="2"/>
  <c r="F104" i="3" s="1"/>
  <c r="G103" i="2"/>
  <c r="D103" i="2"/>
  <c r="F103" i="3" s="1"/>
  <c r="G102" i="2"/>
  <c r="D102" i="2"/>
  <c r="F102" i="3" s="1"/>
  <c r="G90" i="2"/>
  <c r="D90" i="2"/>
  <c r="F90" i="3" s="1"/>
  <c r="G89" i="2"/>
  <c r="D89" i="2"/>
  <c r="F89" i="3" s="1"/>
  <c r="G88" i="2"/>
  <c r="D88" i="2"/>
  <c r="F88" i="3" s="1"/>
  <c r="G87" i="2"/>
  <c r="D87" i="2"/>
  <c r="F87" i="3" s="1"/>
  <c r="G86" i="2"/>
  <c r="D86" i="2"/>
  <c r="F86" i="3" s="1"/>
  <c r="G85" i="2"/>
  <c r="D85" i="2"/>
  <c r="F85" i="3" s="1"/>
  <c r="G84" i="2"/>
  <c r="D84" i="2"/>
  <c r="F84" i="3" s="1"/>
  <c r="G83" i="2"/>
  <c r="D83" i="2"/>
  <c r="F83" i="3" s="1"/>
  <c r="G82" i="2"/>
  <c r="D82" i="2"/>
  <c r="F82" i="3" s="1"/>
  <c r="G80" i="2"/>
  <c r="D80" i="2"/>
  <c r="F80" i="3" s="1"/>
  <c r="G79" i="2"/>
  <c r="D79" i="2"/>
  <c r="F79" i="3" s="1"/>
  <c r="Q76" i="2"/>
  <c r="G76" i="2"/>
  <c r="D76" i="2"/>
  <c r="F76" i="3" s="1"/>
  <c r="Q75" i="2"/>
  <c r="G75" i="2"/>
  <c r="D75" i="2"/>
  <c r="F75" i="3" s="1"/>
  <c r="Q74" i="2"/>
  <c r="F74" i="3"/>
  <c r="Q73" i="2"/>
  <c r="F73" i="3"/>
  <c r="Q72" i="2"/>
  <c r="F72" i="3"/>
  <c r="Q71" i="2"/>
  <c r="G71" i="2"/>
  <c r="D71" i="2"/>
  <c r="F71" i="3" s="1"/>
  <c r="Q70" i="2"/>
  <c r="G70" i="2"/>
  <c r="D70" i="2"/>
  <c r="F70" i="3" s="1"/>
  <c r="Q69" i="2"/>
  <c r="G69" i="2"/>
  <c r="D69" i="2"/>
  <c r="F69" i="3" s="1"/>
  <c r="O62" i="2"/>
  <c r="O61" i="2"/>
  <c r="T73" i="2" l="1"/>
  <c r="H73" i="3"/>
  <c r="M73" i="3" s="1"/>
  <c r="K73" i="3" s="1"/>
  <c r="L73" i="3" s="1"/>
  <c r="T87" i="2"/>
  <c r="H87" i="3"/>
  <c r="M87" i="3" s="1"/>
  <c r="K87" i="3" s="1"/>
  <c r="L87" i="3" s="1"/>
  <c r="T111" i="2"/>
  <c r="H111" i="3"/>
  <c r="M111" i="3" s="1"/>
  <c r="K111" i="3" s="1"/>
  <c r="L111" i="3" s="1"/>
  <c r="T93" i="2"/>
  <c r="H93" i="3"/>
  <c r="M93" i="3" s="1"/>
  <c r="K93" i="3" s="1"/>
  <c r="L93" i="3" s="1"/>
  <c r="T84" i="2"/>
  <c r="H84" i="3"/>
  <c r="M84" i="3" s="1"/>
  <c r="K84" i="3" s="1"/>
  <c r="L84" i="3" s="1"/>
  <c r="T125" i="2"/>
  <c r="H125" i="3"/>
  <c r="M125" i="3" s="1"/>
  <c r="K125" i="3" s="1"/>
  <c r="L125" i="3" s="1"/>
  <c r="T113" i="2"/>
  <c r="H113" i="3"/>
  <c r="M113" i="3" s="1"/>
  <c r="K113" i="3" s="1"/>
  <c r="L113" i="3" s="1"/>
  <c r="T112" i="2"/>
  <c r="H112" i="3"/>
  <c r="M112" i="3" s="1"/>
  <c r="K112" i="3" s="1"/>
  <c r="L112" i="3" s="1"/>
  <c r="T90" i="2"/>
  <c r="H90" i="3"/>
  <c r="M90" i="3" s="1"/>
  <c r="K90" i="3" s="1"/>
  <c r="L90" i="3" s="1"/>
  <c r="T85" i="2"/>
  <c r="H85" i="3"/>
  <c r="M85" i="3" s="1"/>
  <c r="K85" i="3" s="1"/>
  <c r="L85" i="3" s="1"/>
  <c r="T69" i="2"/>
  <c r="H69" i="3"/>
  <c r="M69" i="3" s="1"/>
  <c r="K69" i="3" s="1"/>
  <c r="L69" i="3" s="1"/>
  <c r="T114" i="2"/>
  <c r="H114" i="3"/>
  <c r="M114" i="3" s="1"/>
  <c r="K114" i="3" s="1"/>
  <c r="L114" i="3" s="1"/>
  <c r="T94" i="2"/>
  <c r="H94" i="3"/>
  <c r="M94" i="3" s="1"/>
  <c r="K94" i="3" s="1"/>
  <c r="L94" i="3" s="1"/>
  <c r="T92" i="2"/>
  <c r="H92" i="3"/>
  <c r="M92" i="3" s="1"/>
  <c r="K92" i="3" s="1"/>
  <c r="L92" i="3" s="1"/>
  <c r="T86" i="2"/>
  <c r="H86" i="3"/>
  <c r="M86" i="3" s="1"/>
  <c r="K86" i="3" s="1"/>
  <c r="L86" i="3" s="1"/>
  <c r="T89" i="2"/>
  <c r="H89" i="3"/>
  <c r="M89" i="3" s="1"/>
  <c r="K89" i="3" s="1"/>
  <c r="L89" i="3" s="1"/>
  <c r="T74" i="2"/>
  <c r="H74" i="3"/>
  <c r="M74" i="3" s="1"/>
  <c r="K74" i="3" s="1"/>
  <c r="L74" i="3" s="1"/>
  <c r="T102" i="2"/>
  <c r="H102" i="3"/>
  <c r="M102" i="3" s="1"/>
  <c r="K102" i="3" s="1"/>
  <c r="L102" i="3" s="1"/>
  <c r="T116" i="2"/>
  <c r="H116" i="3"/>
  <c r="M116" i="3" s="1"/>
  <c r="K116" i="3" s="1"/>
  <c r="L116" i="3" s="1"/>
  <c r="T70" i="2"/>
  <c r="H70" i="3"/>
  <c r="M70" i="3" s="1"/>
  <c r="K70" i="3" s="1"/>
  <c r="L70" i="3" s="1"/>
  <c r="T104" i="2"/>
  <c r="H104" i="3"/>
  <c r="M104" i="3" s="1"/>
  <c r="K104" i="3" s="1"/>
  <c r="L104" i="3" s="1"/>
  <c r="T117" i="2"/>
  <c r="H117" i="3"/>
  <c r="M117" i="3" s="1"/>
  <c r="K117" i="3" s="1"/>
  <c r="L117" i="3" s="1"/>
  <c r="T95" i="2"/>
  <c r="H95" i="3"/>
  <c r="M95" i="3" s="1"/>
  <c r="K95" i="3" s="1"/>
  <c r="L95" i="3" s="1"/>
  <c r="T122" i="2"/>
  <c r="H122" i="3"/>
  <c r="M122" i="3" s="1"/>
  <c r="K122" i="3" s="1"/>
  <c r="L122" i="3" s="1"/>
  <c r="T103" i="2"/>
  <c r="H103" i="3"/>
  <c r="M103" i="3" s="1"/>
  <c r="K103" i="3" s="1"/>
  <c r="L103" i="3" s="1"/>
  <c r="T118" i="2"/>
  <c r="H118" i="3"/>
  <c r="M118" i="3" s="1"/>
  <c r="K118" i="3" s="1"/>
  <c r="L118" i="3" s="1"/>
  <c r="T88" i="2"/>
  <c r="H88" i="3"/>
  <c r="M88" i="3" s="1"/>
  <c r="K88" i="3" s="1"/>
  <c r="L88" i="3" s="1"/>
  <c r="T75" i="2"/>
  <c r="H75" i="3"/>
  <c r="M75" i="3" s="1"/>
  <c r="K75" i="3" s="1"/>
  <c r="L75" i="3" s="1"/>
  <c r="T123" i="2"/>
  <c r="H123" i="3"/>
  <c r="M123" i="3" s="1"/>
  <c r="K123" i="3" s="1"/>
  <c r="L123" i="3" s="1"/>
  <c r="T76" i="2"/>
  <c r="H76" i="3"/>
  <c r="M76" i="3" s="1"/>
  <c r="K76" i="3" s="1"/>
  <c r="L76" i="3" s="1"/>
  <c r="T106" i="2"/>
  <c r="H106" i="3"/>
  <c r="M106" i="3" s="1"/>
  <c r="K106" i="3" s="1"/>
  <c r="L106" i="3" s="1"/>
  <c r="T79" i="2"/>
  <c r="H79" i="3"/>
  <c r="M79" i="3" s="1"/>
  <c r="K79" i="3" s="1"/>
  <c r="L79" i="3" s="1"/>
  <c r="T107" i="2"/>
  <c r="H107" i="3"/>
  <c r="M107" i="3" s="1"/>
  <c r="K107" i="3" s="1"/>
  <c r="L107" i="3" s="1"/>
  <c r="T96" i="2"/>
  <c r="H96" i="3"/>
  <c r="M96" i="3" s="1"/>
  <c r="K96" i="3" s="1"/>
  <c r="L96" i="3" s="1"/>
  <c r="T121" i="2"/>
  <c r="H121" i="3"/>
  <c r="M121" i="3" s="1"/>
  <c r="K121" i="3" s="1"/>
  <c r="L121" i="3" s="1"/>
  <c r="T71" i="2"/>
  <c r="H71" i="3"/>
  <c r="M71" i="3" s="1"/>
  <c r="K71" i="3" s="1"/>
  <c r="L71" i="3" s="1"/>
  <c r="T80" i="2"/>
  <c r="H80" i="3"/>
  <c r="M80" i="3" s="1"/>
  <c r="K80" i="3" s="1"/>
  <c r="L80" i="3" s="1"/>
  <c r="T108" i="2"/>
  <c r="H108" i="3"/>
  <c r="M108" i="3" s="1"/>
  <c r="K108" i="3" s="1"/>
  <c r="L108" i="3" s="1"/>
  <c r="T124" i="2"/>
  <c r="H124" i="3"/>
  <c r="M124" i="3" s="1"/>
  <c r="K124" i="3" s="1"/>
  <c r="L124" i="3" s="1"/>
  <c r="T91" i="2"/>
  <c r="H91" i="3"/>
  <c r="M91" i="3" s="1"/>
  <c r="K91" i="3" s="1"/>
  <c r="L91" i="3" s="1"/>
  <c r="T120" i="2"/>
  <c r="H120" i="3"/>
  <c r="M120" i="3" s="1"/>
  <c r="K120" i="3" s="1"/>
  <c r="L120" i="3" s="1"/>
  <c r="T109" i="2"/>
  <c r="H109" i="3"/>
  <c r="M109" i="3" s="1"/>
  <c r="K109" i="3" s="1"/>
  <c r="L109" i="3" s="1"/>
  <c r="T119" i="2"/>
  <c r="H119" i="3"/>
  <c r="M119" i="3" s="1"/>
  <c r="K119" i="3" s="1"/>
  <c r="L119" i="3" s="1"/>
  <c r="T115" i="2"/>
  <c r="H115" i="3"/>
  <c r="M115" i="3" s="1"/>
  <c r="K115" i="3" s="1"/>
  <c r="L115" i="3" s="1"/>
  <c r="T105" i="2"/>
  <c r="H105" i="3"/>
  <c r="M105" i="3" s="1"/>
  <c r="K105" i="3" s="1"/>
  <c r="L105" i="3" s="1"/>
  <c r="T72" i="2"/>
  <c r="H72" i="3"/>
  <c r="M72" i="3" s="1"/>
  <c r="K72" i="3" s="1"/>
  <c r="L72" i="3" s="1"/>
  <c r="T83" i="2"/>
  <c r="H83" i="3"/>
  <c r="M83" i="3" s="1"/>
  <c r="K83" i="3" s="1"/>
  <c r="L83" i="3" s="1"/>
  <c r="Q110" i="2"/>
  <c r="Q82" i="2"/>
  <c r="Q68" i="2"/>
  <c r="G68" i="2"/>
  <c r="D68" i="2"/>
  <c r="F68" i="3" s="1"/>
  <c r="Q67" i="2"/>
  <c r="G67" i="2"/>
  <c r="D67" i="2"/>
  <c r="F67" i="3" s="1"/>
  <c r="Q66" i="2"/>
  <c r="G66" i="2"/>
  <c r="D66" i="2"/>
  <c r="F66" i="3" s="1"/>
  <c r="Q65" i="2"/>
  <c r="G65" i="2"/>
  <c r="D65" i="2"/>
  <c r="F65" i="3" s="1"/>
  <c r="Q64" i="2"/>
  <c r="G64" i="2"/>
  <c r="D64" i="2"/>
  <c r="F64" i="3" s="1"/>
  <c r="Q63" i="2"/>
  <c r="G63" i="2"/>
  <c r="D63" i="2"/>
  <c r="F63" i="3" s="1"/>
  <c r="Q62" i="2"/>
  <c r="G62" i="2"/>
  <c r="D62" i="2"/>
  <c r="F62" i="3" s="1"/>
  <c r="Q61" i="2"/>
  <c r="G61" i="2"/>
  <c r="D61" i="2"/>
  <c r="F61" i="3" s="1"/>
  <c r="Q41" i="2"/>
  <c r="G41" i="2"/>
  <c r="D41" i="2"/>
  <c r="F41" i="3" s="1"/>
  <c r="Q40" i="2"/>
  <c r="G40" i="2"/>
  <c r="D40" i="2"/>
  <c r="F40" i="3" s="1"/>
  <c r="O37" i="2"/>
  <c r="Q37" i="2" s="1"/>
  <c r="O35" i="2"/>
  <c r="Q35" i="2" s="1"/>
  <c r="O33" i="2"/>
  <c r="Q33" i="2" s="1"/>
  <c r="O32" i="2"/>
  <c r="Q32" i="2" s="1"/>
  <c r="O31" i="2"/>
  <c r="Q31" i="2" s="1"/>
  <c r="T31" i="2" s="1"/>
  <c r="O30" i="2"/>
  <c r="Q30" i="2" s="1"/>
  <c r="T30" i="2" s="1"/>
  <c r="O29" i="2"/>
  <c r="Q29" i="2" s="1"/>
  <c r="T29" i="2" s="1"/>
  <c r="D29" i="2"/>
  <c r="O28" i="2"/>
  <c r="Q28" i="2" s="1"/>
  <c r="T28" i="2" s="1"/>
  <c r="Q39" i="2"/>
  <c r="G39" i="2"/>
  <c r="D39" i="2"/>
  <c r="F39" i="3" s="1"/>
  <c r="Q38" i="2"/>
  <c r="G38" i="2"/>
  <c r="D38" i="2"/>
  <c r="F38" i="3" s="1"/>
  <c r="G37" i="2"/>
  <c r="D37" i="2"/>
  <c r="F37" i="3" s="1"/>
  <c r="Q36" i="2"/>
  <c r="G36" i="2"/>
  <c r="D36" i="2"/>
  <c r="F36" i="3" s="1"/>
  <c r="G35" i="2"/>
  <c r="D35" i="2"/>
  <c r="F35" i="3" s="1"/>
  <c r="Q34" i="2"/>
  <c r="G34" i="2"/>
  <c r="D34" i="2"/>
  <c r="F34" i="3" s="1"/>
  <c r="G33" i="2"/>
  <c r="D33" i="2"/>
  <c r="F33" i="3" s="1"/>
  <c r="G32" i="2"/>
  <c r="D32" i="2"/>
  <c r="F32" i="3" s="1"/>
  <c r="G31" i="2"/>
  <c r="D31" i="2"/>
  <c r="G30" i="2"/>
  <c r="D30" i="2"/>
  <c r="G29" i="2"/>
  <c r="G28" i="2"/>
  <c r="D28" i="2"/>
  <c r="Q27" i="2"/>
  <c r="T27" i="2" s="1"/>
  <c r="G27" i="2"/>
  <c r="D27" i="2"/>
  <c r="Q26" i="2"/>
  <c r="T26" i="2" s="1"/>
  <c r="G26" i="2"/>
  <c r="D26" i="2"/>
  <c r="B3" i="3"/>
  <c r="E3" i="3"/>
  <c r="G3" i="3"/>
  <c r="I3" i="3"/>
  <c r="Q4" i="2"/>
  <c r="H4" i="3" s="1"/>
  <c r="M4" i="3" s="1"/>
  <c r="K4" i="3" s="1"/>
  <c r="L4" i="3" s="1"/>
  <c r="G4" i="2"/>
  <c r="D4" i="2"/>
  <c r="F4" i="3" s="1"/>
  <c r="Q3" i="2"/>
  <c r="T3" i="2" s="1"/>
  <c r="G3" i="2"/>
  <c r="D3" i="2"/>
  <c r="F3" i="3" s="1"/>
  <c r="Q5" i="2"/>
  <c r="G5" i="2"/>
  <c r="D5" i="2"/>
  <c r="F5" i="3" s="1"/>
  <c r="T5" i="2" l="1"/>
  <c r="H5" i="3"/>
  <c r="M5" i="3" s="1"/>
  <c r="K5" i="3" s="1"/>
  <c r="L5" i="3" s="1"/>
  <c r="T37" i="2"/>
  <c r="H37" i="3"/>
  <c r="M37" i="3" s="1"/>
  <c r="K37" i="3" s="1"/>
  <c r="L37" i="3" s="1"/>
  <c r="T64" i="2"/>
  <c r="H64" i="3"/>
  <c r="M64" i="3" s="1"/>
  <c r="K64" i="3" s="1"/>
  <c r="L64" i="3" s="1"/>
  <c r="T38" i="2"/>
  <c r="H38" i="3"/>
  <c r="M38" i="3" s="1"/>
  <c r="K38" i="3" s="1"/>
  <c r="L38" i="3" s="1"/>
  <c r="T35" i="2"/>
  <c r="H35" i="3"/>
  <c r="M35" i="3" s="1"/>
  <c r="K35" i="3" s="1"/>
  <c r="L35" i="3" s="1"/>
  <c r="T40" i="2"/>
  <c r="H40" i="3"/>
  <c r="M40" i="3" s="1"/>
  <c r="K40" i="3" s="1"/>
  <c r="L40" i="3" s="1"/>
  <c r="T39" i="2"/>
  <c r="H39" i="3"/>
  <c r="M39" i="3" s="1"/>
  <c r="K39" i="3" s="1"/>
  <c r="L39" i="3" s="1"/>
  <c r="T41" i="2"/>
  <c r="H41" i="3"/>
  <c r="M41" i="3" s="1"/>
  <c r="K41" i="3" s="1"/>
  <c r="L41" i="3" s="1"/>
  <c r="T82" i="2"/>
  <c r="H82" i="3"/>
  <c r="M82" i="3" s="1"/>
  <c r="K82" i="3" s="1"/>
  <c r="L82" i="3" s="1"/>
  <c r="T34" i="2"/>
  <c r="H34" i="3"/>
  <c r="M34" i="3" s="1"/>
  <c r="K34" i="3" s="1"/>
  <c r="L34" i="3" s="1"/>
  <c r="T66" i="2"/>
  <c r="H66" i="3"/>
  <c r="M66" i="3" s="1"/>
  <c r="K66" i="3" s="1"/>
  <c r="L66" i="3" s="1"/>
  <c r="T61" i="2"/>
  <c r="H61" i="3"/>
  <c r="M61" i="3" s="1"/>
  <c r="K61" i="3" s="1"/>
  <c r="L61" i="3" s="1"/>
  <c r="T63" i="2"/>
  <c r="H63" i="3"/>
  <c r="M63" i="3" s="1"/>
  <c r="K63" i="3" s="1"/>
  <c r="L63" i="3" s="1"/>
  <c r="T62" i="2"/>
  <c r="H62" i="3"/>
  <c r="M62" i="3" s="1"/>
  <c r="K62" i="3" s="1"/>
  <c r="L62" i="3" s="1"/>
  <c r="T110" i="2"/>
  <c r="H110" i="3"/>
  <c r="M110" i="3" s="1"/>
  <c r="K110" i="3" s="1"/>
  <c r="L110" i="3" s="1"/>
  <c r="T65" i="2"/>
  <c r="H65" i="3"/>
  <c r="M65" i="3" s="1"/>
  <c r="K65" i="3" s="1"/>
  <c r="L65" i="3" s="1"/>
  <c r="T67" i="2"/>
  <c r="H67" i="3"/>
  <c r="M67" i="3" s="1"/>
  <c r="K67" i="3" s="1"/>
  <c r="L67" i="3" s="1"/>
  <c r="T32" i="2"/>
  <c r="H32" i="3"/>
  <c r="M32" i="3" s="1"/>
  <c r="K32" i="3" s="1"/>
  <c r="L32" i="3" s="1"/>
  <c r="H3" i="3"/>
  <c r="M3" i="3" s="1"/>
  <c r="K3" i="3" s="1"/>
  <c r="L3" i="3" s="1"/>
  <c r="T36" i="2"/>
  <c r="H36" i="3"/>
  <c r="M36" i="3" s="1"/>
  <c r="K36" i="3" s="1"/>
  <c r="L36" i="3" s="1"/>
  <c r="T33" i="2"/>
  <c r="H33" i="3"/>
  <c r="M33" i="3" s="1"/>
  <c r="K33" i="3" s="1"/>
  <c r="L33" i="3" s="1"/>
  <c r="T68" i="2"/>
  <c r="H68" i="3"/>
  <c r="M68" i="3" s="1"/>
  <c r="K68" i="3" s="1"/>
  <c r="L68" i="3" s="1"/>
  <c r="T4" i="2"/>
  <c r="B26" i="3"/>
  <c r="E26" i="3"/>
  <c r="F26" i="3"/>
  <c r="G26" i="3"/>
  <c r="H26" i="3"/>
  <c r="I26" i="3"/>
  <c r="B27" i="3"/>
  <c r="E27" i="3"/>
  <c r="F27" i="3"/>
  <c r="G27" i="3"/>
  <c r="H27" i="3"/>
  <c r="I27" i="3"/>
  <c r="B28" i="3"/>
  <c r="E28" i="3"/>
  <c r="F28" i="3"/>
  <c r="G28" i="3"/>
  <c r="H28" i="3"/>
  <c r="I28" i="3"/>
  <c r="B29" i="3"/>
  <c r="E29" i="3"/>
  <c r="F29" i="3"/>
  <c r="G29" i="3"/>
  <c r="H29" i="3"/>
  <c r="I29" i="3"/>
  <c r="B30" i="3"/>
  <c r="E30" i="3"/>
  <c r="F30" i="3"/>
  <c r="G30" i="3"/>
  <c r="H30" i="3"/>
  <c r="I30" i="3"/>
  <c r="B31" i="3"/>
  <c r="E31" i="3"/>
  <c r="F31" i="3"/>
  <c r="G31" i="3"/>
  <c r="H31" i="3"/>
  <c r="I31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E14" i="3"/>
  <c r="G14" i="3"/>
  <c r="I14" i="3"/>
  <c r="O14" i="2"/>
  <c r="Q14" i="2" s="1"/>
  <c r="G14" i="2"/>
  <c r="D14" i="2"/>
  <c r="F14" i="3" s="1"/>
  <c r="O25" i="2"/>
  <c r="Q25" i="2" s="1"/>
  <c r="O24" i="2"/>
  <c r="Q24" i="2" s="1"/>
  <c r="O23" i="2"/>
  <c r="Q23" i="2" s="1"/>
  <c r="O22" i="2"/>
  <c r="Q22" i="2" s="1"/>
  <c r="O21" i="2"/>
  <c r="Q21" i="2" s="1"/>
  <c r="T21" i="2" s="1"/>
  <c r="O20" i="2"/>
  <c r="Q20" i="2" s="1"/>
  <c r="O19" i="2"/>
  <c r="Q19" i="2" s="1"/>
  <c r="G25" i="2"/>
  <c r="D25" i="2"/>
  <c r="F25" i="3" s="1"/>
  <c r="G24" i="2"/>
  <c r="D24" i="2"/>
  <c r="F24" i="3" s="1"/>
  <c r="G23" i="2"/>
  <c r="D23" i="2"/>
  <c r="F23" i="3" s="1"/>
  <c r="G22" i="2"/>
  <c r="D22" i="2"/>
  <c r="F22" i="3" s="1"/>
  <c r="G21" i="2"/>
  <c r="D21" i="2"/>
  <c r="F21" i="3" s="1"/>
  <c r="O16" i="2"/>
  <c r="Q16" i="2" s="1"/>
  <c r="O13" i="2"/>
  <c r="Q13" i="2" s="1"/>
  <c r="O12" i="2"/>
  <c r="E6" i="3"/>
  <c r="G6" i="3"/>
  <c r="I6" i="3"/>
  <c r="B7" i="3"/>
  <c r="E7" i="3"/>
  <c r="G7" i="3"/>
  <c r="I7" i="3"/>
  <c r="E8" i="3"/>
  <c r="G8" i="3"/>
  <c r="I8" i="3"/>
  <c r="E9" i="3"/>
  <c r="G9" i="3"/>
  <c r="I9" i="3"/>
  <c r="E10" i="3"/>
  <c r="G10" i="3"/>
  <c r="I10" i="3"/>
  <c r="E11" i="3"/>
  <c r="G11" i="3"/>
  <c r="I11" i="3"/>
  <c r="E12" i="3"/>
  <c r="G12" i="3"/>
  <c r="I12" i="3"/>
  <c r="E13" i="3"/>
  <c r="G13" i="3"/>
  <c r="I13" i="3"/>
  <c r="E15" i="3"/>
  <c r="G15" i="3"/>
  <c r="I15" i="3"/>
  <c r="E16" i="3"/>
  <c r="G16" i="3"/>
  <c r="E17" i="3"/>
  <c r="G17" i="3"/>
  <c r="I17" i="3"/>
  <c r="E18" i="3"/>
  <c r="G18" i="3"/>
  <c r="I18" i="3"/>
  <c r="E19" i="3"/>
  <c r="G19" i="3"/>
  <c r="I19" i="3"/>
  <c r="E20" i="3"/>
  <c r="G20" i="3"/>
  <c r="I20" i="3"/>
  <c r="E21" i="3"/>
  <c r="G21" i="3"/>
  <c r="I21" i="3"/>
  <c r="E22" i="3"/>
  <c r="G22" i="3"/>
  <c r="I22" i="3"/>
  <c r="E23" i="3"/>
  <c r="G23" i="3"/>
  <c r="I23" i="3"/>
  <c r="E24" i="3"/>
  <c r="G24" i="3"/>
  <c r="I24" i="3"/>
  <c r="E25" i="3"/>
  <c r="G25" i="3"/>
  <c r="I25" i="3"/>
  <c r="G20" i="2"/>
  <c r="D20" i="2"/>
  <c r="F20" i="3" s="1"/>
  <c r="G19" i="2"/>
  <c r="D19" i="2"/>
  <c r="F19" i="3" s="1"/>
  <c r="Q18" i="2"/>
  <c r="G18" i="2"/>
  <c r="D18" i="2"/>
  <c r="F18" i="3" s="1"/>
  <c r="Q17" i="2"/>
  <c r="G17" i="2"/>
  <c r="D17" i="2"/>
  <c r="F17" i="3" s="1"/>
  <c r="G16" i="2"/>
  <c r="D16" i="2"/>
  <c r="F16" i="3" s="1"/>
  <c r="Q15" i="2"/>
  <c r="G15" i="2"/>
  <c r="D15" i="2"/>
  <c r="F15" i="3" s="1"/>
  <c r="G13" i="2"/>
  <c r="D13" i="2"/>
  <c r="F13" i="3" s="1"/>
  <c r="G12" i="2"/>
  <c r="D12" i="2"/>
  <c r="F12" i="3" s="1"/>
  <c r="Q11" i="2"/>
  <c r="G11" i="2"/>
  <c r="D11" i="2"/>
  <c r="F11" i="3" s="1"/>
  <c r="Q10" i="2"/>
  <c r="G10" i="2"/>
  <c r="D10" i="2"/>
  <c r="F10" i="3" s="1"/>
  <c r="Q9" i="2"/>
  <c r="G9" i="2"/>
  <c r="D9" i="2"/>
  <c r="F9" i="3" s="1"/>
  <c r="Q8" i="2"/>
  <c r="G8" i="2"/>
  <c r="D8" i="2"/>
  <c r="F8" i="3" s="1"/>
  <c r="Q7" i="2"/>
  <c r="G7" i="2"/>
  <c r="D7" i="2"/>
  <c r="F7" i="3" s="1"/>
  <c r="S2" i="2" l="1"/>
  <c r="H16" i="3"/>
  <c r="M16" i="3" s="1"/>
  <c r="K16" i="3" s="1"/>
  <c r="L16" i="3" s="1"/>
  <c r="T16" i="2"/>
  <c r="H25" i="3"/>
  <c r="M25" i="3" s="1"/>
  <c r="K25" i="3" s="1"/>
  <c r="L25" i="3" s="1"/>
  <c r="T25" i="2"/>
  <c r="H22" i="3"/>
  <c r="M22" i="3" s="1"/>
  <c r="K22" i="3" s="1"/>
  <c r="L22" i="3" s="1"/>
  <c r="T22" i="2"/>
  <c r="H23" i="3"/>
  <c r="M23" i="3" s="1"/>
  <c r="K23" i="3" s="1"/>
  <c r="L23" i="3" s="1"/>
  <c r="T23" i="2"/>
  <c r="H24" i="3"/>
  <c r="M24" i="3" s="1"/>
  <c r="K24" i="3" s="1"/>
  <c r="L24" i="3" s="1"/>
  <c r="T24" i="2"/>
  <c r="H7" i="3"/>
  <c r="M7" i="3" s="1"/>
  <c r="K7" i="3" s="1"/>
  <c r="L7" i="3" s="1"/>
  <c r="T7" i="2"/>
  <c r="H11" i="3"/>
  <c r="M11" i="3" s="1"/>
  <c r="K11" i="3" s="1"/>
  <c r="L11" i="3" s="1"/>
  <c r="T11" i="2"/>
  <c r="H20" i="3"/>
  <c r="M20" i="3" s="1"/>
  <c r="K20" i="3" s="1"/>
  <c r="L20" i="3" s="1"/>
  <c r="T20" i="2"/>
  <c r="H17" i="3"/>
  <c r="M17" i="3" s="1"/>
  <c r="K17" i="3" s="1"/>
  <c r="L17" i="3" s="1"/>
  <c r="T17" i="2"/>
  <c r="H14" i="3"/>
  <c r="M14" i="3" s="1"/>
  <c r="K14" i="3" s="1"/>
  <c r="L14" i="3" s="1"/>
  <c r="T14" i="2"/>
  <c r="H9" i="3"/>
  <c r="M9" i="3" s="1"/>
  <c r="K9" i="3" s="1"/>
  <c r="L9" i="3" s="1"/>
  <c r="T9" i="2"/>
  <c r="H13" i="3"/>
  <c r="M13" i="3" s="1"/>
  <c r="K13" i="3" s="1"/>
  <c r="L13" i="3" s="1"/>
  <c r="T13" i="2"/>
  <c r="H15" i="3"/>
  <c r="M15" i="3" s="1"/>
  <c r="K15" i="3" s="1"/>
  <c r="L15" i="3" s="1"/>
  <c r="T15" i="2"/>
  <c r="H19" i="3"/>
  <c r="M19" i="3" s="1"/>
  <c r="K19" i="3" s="1"/>
  <c r="L19" i="3" s="1"/>
  <c r="T19" i="2"/>
  <c r="H21" i="3"/>
  <c r="M21" i="3" s="1"/>
  <c r="K21" i="3" s="1"/>
  <c r="L21" i="3" s="1"/>
  <c r="H10" i="3"/>
  <c r="M10" i="3" s="1"/>
  <c r="K10" i="3" s="1"/>
  <c r="L10" i="3" s="1"/>
  <c r="T10" i="2"/>
  <c r="H8" i="3"/>
  <c r="M8" i="3" s="1"/>
  <c r="K8" i="3" s="1"/>
  <c r="L8" i="3" s="1"/>
  <c r="T8" i="2"/>
  <c r="H18" i="3"/>
  <c r="M18" i="3" s="1"/>
  <c r="K18" i="3" s="1"/>
  <c r="L18" i="3" s="1"/>
  <c r="T18" i="2"/>
  <c r="Q12" i="2"/>
  <c r="M28" i="3"/>
  <c r="K28" i="3" s="1"/>
  <c r="L28" i="3" s="1"/>
  <c r="M26" i="3"/>
  <c r="K26" i="3" s="1"/>
  <c r="L26" i="3" s="1"/>
  <c r="M29" i="3"/>
  <c r="K29" i="3" s="1"/>
  <c r="L29" i="3" s="1"/>
  <c r="M27" i="3"/>
  <c r="K27" i="3" s="1"/>
  <c r="L27" i="3" s="1"/>
  <c r="M30" i="3"/>
  <c r="K30" i="3" s="1"/>
  <c r="L30" i="3" s="1"/>
  <c r="M31" i="3"/>
  <c r="K31" i="3" s="1"/>
  <c r="L31" i="3" s="1"/>
  <c r="I2" i="3"/>
  <c r="G2" i="3"/>
  <c r="E2" i="3"/>
  <c r="B2" i="3"/>
  <c r="H12" i="3" l="1"/>
  <c r="M12" i="3" s="1"/>
  <c r="K12" i="3" s="1"/>
  <c r="L12" i="3" s="1"/>
  <c r="T12" i="2"/>
  <c r="Q6" i="2"/>
  <c r="G6" i="2"/>
  <c r="D6" i="2"/>
  <c r="G2" i="2"/>
  <c r="D2" i="2"/>
  <c r="F2" i="3" s="1"/>
  <c r="F6" i="3" l="1"/>
  <c r="H6" i="3"/>
  <c r="M6" i="3" s="1"/>
  <c r="K6" i="3" s="1"/>
  <c r="L6" i="3" s="1"/>
  <c r="T6" i="2"/>
  <c r="U2" i="2" s="1"/>
  <c r="H2" i="3"/>
  <c r="M2" i="3" s="1"/>
  <c r="K2" i="3" s="1"/>
  <c r="L2" i="3" s="1"/>
</calcChain>
</file>

<file path=xl/sharedStrings.xml><?xml version="1.0" encoding="utf-8"?>
<sst xmlns="http://schemas.openxmlformats.org/spreadsheetml/2006/main" count="1031" uniqueCount="494">
  <si>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</si>
  <si>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</si>
  <si>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</si>
  <si>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</si>
  <si>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</si>
  <si>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</si>
  <si>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</si>
  <si>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</si>
  <si>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</si>
  <si>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</si>
  <si>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</si>
  <si>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</si>
  <si>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</si>
  <si>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</si>
  <si>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</si>
  <si>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</si>
  <si>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</si>
  <si>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</si>
  <si>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</si>
  <si>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</si>
  <si>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</si>
  <si>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</si>
  <si>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</si>
  <si>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</si>
  <si>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</si>
  <si>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</si>
  <si>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</si>
  <si>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</si>
  <si>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Peluche</t>
  </si>
  <si>
    <t>Preview</t>
  </si>
  <si>
    <t>https://es.aliexpress.com/item/1005007058031823.html?spm=a2g0o.order_detail.order_detail_item.3.50b339d3SMqpeW&amp;gatewayAdapt=glo2esp</t>
  </si>
  <si>
    <t>https://es.aliexpress.com/item/1005007264244964.html?spm=a2g0o.order_detail.order_detail_item.3.304f39d364SaIW&amp;gatewayAdapt=glo2esp</t>
  </si>
  <si>
    <t>Mochila de peluche de Bingo y Bluey para niños, morral escolar</t>
  </si>
  <si>
    <t>https://es.aliexpress.com/item/1005006945813324.html?spm=a2g0o.order_detail.order_detail_item.3.4b6239d3ObDATo&amp;gatewayAdapt=glo2esp</t>
  </si>
  <si>
    <t>https://es.aliexpress.com/item/1005007180525135.html?spm=a2g0o.order_detail.order_detail_item.3.594e39d3Zb6K0o&amp;gatewayAdapt=glo2esp</t>
  </si>
  <si>
    <t>https://es.aliexpress.com/item/1005007084100352.html?spm=a2g0o.order_detail.order_detail_item.3.339939d3a3UZP6&amp;gatewayAdapt=glo2esp</t>
  </si>
  <si>
    <t>https://es.aliexpress.com/item/1005007401681716.html?spm=a2g0o.order_detail.order_detail_item.3.797139d3iOkx09&amp;gatewayAdapt=glo2esp</t>
  </si>
  <si>
    <t>https://es.aliexpress.com/item/1005006713634744.html?spm=a2g0o.order_detail.order_detail_item.3.ffd539d3e7eju4&amp;gatewayAdapt=glo2esp</t>
  </si>
  <si>
    <t>SANRIO</t>
  </si>
  <si>
    <t>Bluey</t>
  </si>
  <si>
    <t>Kirby</t>
  </si>
  <si>
    <t>Disney</t>
  </si>
  <si>
    <t>Mochila</t>
  </si>
  <si>
    <t>Sabana</t>
  </si>
  <si>
    <t>Set Figuras</t>
  </si>
  <si>
    <t>https://es.aliexpress.com/item/1005006121862154.html?spm=a2g0o.order_detail.order_detail_item.2.588c39d3qvBXqd&amp;gatewayAdapt=glo2esp</t>
  </si>
  <si>
    <t>https://es.aliexpress.com/item/1005007153075704.html?spm=a2g0o.order_detail.order_detail_item.2.27fd39d3fWa536&amp;gatewayAdapt=glo2esp</t>
  </si>
  <si>
    <t>https://es.aliexpress.com/item/1005007425031187.html?spm=a2g0o.order_detail.order_detail_item.2.203439d3Dbe8tp&amp;gatewayAdapt=glo2esp</t>
  </si>
  <si>
    <t>https://es.aliexpress.com/item/1005007448659063.html?spm=a2g0o.order_detail.order_detail_item.2.764839d3AMd67y&amp;gatewayAdapt=glo2esp</t>
  </si>
  <si>
    <t>Peluche de Hatsune Miku, almohada suave, muñeca del futuro, 25cm</t>
  </si>
  <si>
    <t>Peluche de Hatsune Miku, almohada suave, muñeca del futuro, Chibi 25cm</t>
  </si>
  <si>
    <t>https://es.aliexpress.com/item/1005007448659063.html?spm=a2g0o.order_detail.order_detail_item.2.705a39d3MpH0ih&amp;gatewayAdapt=glo2esp</t>
  </si>
  <si>
    <t>https://es.aliexpress.com/item/1005006503358715.html?spm=a2g0o.order_detail.order_detail_item.2.50b239d3m0RnaZ&amp;gatewayAdapt=glo2esp</t>
  </si>
  <si>
    <t>https://es.aliexpress.com/item/1005006844147386.html?spm=a2g0o.order_detail.order_detail_item.2.17bd39d30IzZBd&amp;gatewayAdapt=glo2esp</t>
  </si>
  <si>
    <t>https://es.aliexpress.com/item/1005007005120065.html?spm=a2g0o.order_detail.order_detail_item.2.2a1a39d3xsAsGa&amp;gatewayAdapt=glo2esp</t>
  </si>
  <si>
    <t>https://es.aliexpress.com/item/1005006996022017.html?spm=a2g0o.order_detail.order_detail_item.2.43f139d3dgdmSa&amp;gatewayAdapt=glo2esp</t>
  </si>
  <si>
    <t>https://es.aliexpress.com/item/1005007043669095.html?spm=a2g0o.order_detail.order_detail_item.2.5c9d39d3LI0fiG&amp;gatewayAdapt=glo2esp</t>
  </si>
  <si>
    <t>Kuromi - Mochila de felpa, diseño Kawaii, Cinnamoroll &amp; My Melody</t>
  </si>
  <si>
    <t>https://es.aliexpress.com/item/1005005825451775.html?spm=a2g0o.order_detail.order_detail_item.2.6e6639d3NPETJj&amp;gatewayAdapt=glo2esp</t>
  </si>
  <si>
    <t>Hatsune Miku</t>
  </si>
  <si>
    <t>Gabby's Dollhouse</t>
  </si>
  <si>
    <t>Kawaii</t>
  </si>
  <si>
    <t>https://www.temu.com/goods.html?_bg_fs=1&amp;goods_id=601099577932886&amp;sku_id=17592456291720&amp;_x_vst_scene=adg&amp;_x_ads_channel=google&amp;_x_ads_sub_channel=search&amp;_x_ads_account=8530898794&amp;_x_ads_set=20148831258&amp;_x_ads_id=149277209476&amp;_x_ads_creative_id=658974233225&amp;_x_ns_source=g&amp;_x_ns_gclid=Cj0KCQiA_qG5BhDTARIsAA0UHSLZF8SrAejnmUNi4DZLEInedl4sV1in5gIKK0r5fvAm_8QInnHPzhcaAtWnEALw_wcB&amp;_x_ns_placement=&amp;_x_ns_match_type=e&amp;_x_ns_ad_position=&amp;_x_ns_product_id=&amp;_x_ns_target=&amp;_x_ns_devicemodel=&amp;_x_ns_wbraid=Cj8KCQjwvpy5BhDFARIuAFdXnHWw9np4Q6xo7DRRcXoSDyPWgmk1hwn3zTEtZDFqd6qpTsbd9nHzrh7VNhoCAcE&amp;_x_ns_gbraid=0AAAAAo4mICHgN_4qboDakYVS2SnC638SH&amp;_x_ns_keyword=temu&amp;_x_ns_targetid=kwd-4583699489&amp;_x_sessn_id=83t0sz8m6g&amp;refer_page_name=bgt_order_detail&amp;refer_page_id=10045_1731118873062_fsvoozdf4r&amp;refer_page_sn=10045</t>
  </si>
  <si>
    <t>https://www.temu.com/goods.html?_bg_fs=1&amp;goods_id=601099542732233&amp;sku_id=17592327456177&amp;_x_vst_scene=adg&amp;_x_ads_channel=google&amp;_x_ads_sub_channel=search&amp;_x_ads_account=8530898794&amp;_x_ads_set=20148831258&amp;_x_ads_id=149277209476&amp;_x_ads_creative_id=658974233225&amp;_x_ns_source=g&amp;_x_ns_gclid=Cj0KCQiA_qG5BhDTARIsAA0UHSLZF8SrAejnmUNi4DZLEInedl4sV1in5gIKK0r5fvAm_8QInnHPzhcaAtWnEALw_wcB&amp;_x_ns_placement=&amp;_x_ns_match_type=e&amp;_x_ns_ad_position=&amp;_x_ns_product_id=&amp;_x_ns_target=&amp;_x_ns_devicemodel=&amp;_x_ns_wbraid=Cj8KCQjwvpy5BhDFARIuAFdXnHWw9np4Q6xo7DRRcXoSDyPWgmk1hwn3zTEtZDFqd6qpTsbd9nHzrh7VNhoCAcE&amp;_x_ns_gbraid=0AAAAAo4mICHgN_4qboDakYVS2SnC638SH&amp;_x_ns_keyword=temu&amp;_x_ns_targetid=kwd-4583699489&amp;_x_sessn_id=83t0sz8m6g&amp;refer_page_name=bgt_order_detail&amp;refer_page_id=10045_1731118924705_yhle0hf44k&amp;refer_page_sn=10045</t>
  </si>
  <si>
    <t>Peluche en forma de unicornio, un regalo de cumpleaños para niños y niñas</t>
  </si>
  <si>
    <t>Office</t>
  </si>
  <si>
    <t>Lampara</t>
  </si>
  <si>
    <t>https://www.temu.com/goods.html?_bg_fs=1&amp;goods_id=601099652978727&amp;sku_id=17592729004217&amp;_x_vst_scene=adg&amp;_x_ads_channel=google&amp;_x_ads_sub_channel=search&amp;_x_ads_account=8530898794&amp;_x_ads_set=20148831258&amp;_x_ads_id=149277209476&amp;_x_ads_creative_id=658974233225&amp;_x_ns_source=g&amp;_x_ns_gclid=Cj0KCQiA_qG5BhDTARIsAA0UHSLZF8SrAejnmUNi4DZLEInedl4sV1in5gIKK0r5fvAm_8QInnHPzhcaAtWnEALw_wcB&amp;_x_ns_placement=&amp;_x_ns_match_type=e&amp;_x_ns_ad_position=&amp;_x_ns_product_id=&amp;_x_ns_target=&amp;_x_ns_devicemodel=&amp;_x_ns_wbraid=Cj8KCQjwvpy5BhDFARIuAFdXnHWw9np4Q6xo7DRRcXoSDyPWgmk1hwn3zTEtZDFqd6qpTsbd9nHzrh7VNhoCAcE&amp;_x_ns_gbraid=0AAAAAo4mICHgN_4qboDakYVS2SnC638SH&amp;_x_ns_keyword=temu&amp;_x_ns_targetid=kwd-4583699489&amp;_x_sessn_id=83t0sz8m6g&amp;refer_page_name=bgt_order_detail&amp;refer_page_id=10045_1731119323000_3fdzgyazw5&amp;refer_page_sn=10045</t>
  </si>
  <si>
    <t>Exhibidor</t>
  </si>
  <si>
    <t>https://es.aliexpress.com/item/1005007301255998.html?spm=a2g0o.order_detail.order_detail_item.3.50a339d3JCljeH&amp;gatewayAdapt=glo2esp</t>
  </si>
  <si>
    <t>https://es.aliexpress.com/item/1005007659694141.html?spm=a2g0o.order_detail.order_detail_item.3.697539d3dEiHSl&amp;gatewayAdapt=glo2esp</t>
  </si>
  <si>
    <t>https://es.aliexpress.com/item/1005006246001915.html?spm=a2g0o.order_detail.order_detail_item.3.644239d3wPeiCZ&amp;gatewayAdapt=glo2esp</t>
  </si>
  <si>
    <t>Bufanda de felpa Kawaii Sanrio Cinnamoroll, con orejas, móvil, Kuromy</t>
  </si>
  <si>
    <t>https://es.aliexpress.com/item/1005007301255998.html?spm=a2g0o.order_detail.order_detail_item.3.30ad39d3a4hRSg&amp;gatewayAdapt=glo2esp</t>
  </si>
  <si>
    <t>https://es.aliexpress.com/item/1005006246001915.html?spm=a2g0o.order_detail.order_detail_item.3.174739d3rwZBfB&amp;gatewayAdapt=glo2esp</t>
  </si>
  <si>
    <t>Bufanda de felpa Kawaii Sanrio Cinnamoroll, con orejas, móvil, perro amarillo</t>
  </si>
  <si>
    <t>https://es.aliexpress.com/item/1005007683017702.html?spm=a2g0o.order_detail.order_detail_item.3.e94739d3N3Se2G&amp;gatewayAdapt=glo2esp</t>
  </si>
  <si>
    <t>https://es.aliexpress.com/item/1005007798501324.html?spm=a2g0o.order_detail.order_detail_item.3.15f839d3D3MYNl&amp;gatewayAdapt=glo2esp</t>
  </si>
  <si>
    <t>Cinnamoroll Cosplasy Stitch-juguetes bonitos de 20cm, muñecos de peluche de Disney</t>
  </si>
  <si>
    <t>https://es.aliexpress.com/item/1005007545592775.html?spm=a2g0o.order_detail.order_detail_item.3.536239d3XmcqSI&amp;gatewayAdapt=glo2esp</t>
  </si>
  <si>
    <t>https://es.aliexpress.com/item/1005006596764084.html?spm=a2g0o.order_detail.order_detail_item.3.74a939d3K24Jtr&amp;gatewayAdapt=glo2esp</t>
  </si>
  <si>
    <t>https://es.aliexpress.com/item/1005007936744049.html?spm=a2g0o.order_detail.order_detail_item.3.415639d38o4AV5&amp;gatewayAdapt=glo2esp</t>
  </si>
  <si>
    <t>https://es.aliexpress.com/item/1005004182458683.html?spm=a2g0o.order_detail.order_detail_item.2.57b039d35egoii&amp;gatewayAdapt=glo2esp</t>
  </si>
  <si>
    <t>Original Thomas y sus amigos Thomas Glarabel Anne vía de tren serie maestra 3 en 1 pista aventura</t>
  </si>
  <si>
    <t>https://es.aliexpress.com/item/1005007538575393.html?spm=a2g0o.order_detail.order_detail_item.3.673d39d3LAkVwo&amp;gatewayAdapt=glo2esp</t>
  </si>
  <si>
    <t>Masha and The Bear Doll, muñeco de vinilo de 6,5 pulgadas</t>
  </si>
  <si>
    <t>https://es.aliexpress.com/item/1005006743718414.html?spm=a2g0o.order_detail.order_detail_item.3.250139d30gHS6D&amp;gatewayAdapt=glo2esp</t>
  </si>
  <si>
    <t>https://es.aliexpress.com/item/1005005189057349.html?spm=a2g0o.order_detail.order_detail_item.3.4dfa39d3QCCVhp&amp;gatewayAdapt=glo2esp</t>
  </si>
  <si>
    <t>Coche 4WD RC, 2,4G, reloj teledirigido, Sensor de gestos, rotación giratoria, Stunt Drift, verde</t>
  </si>
  <si>
    <t>https://es.aliexpress.com/item/1005007414040831.html?spm=a2g0o.order_detail.order_detail_item.3.307a39d3U2bf8B&amp;gatewayAdapt=glo2esp</t>
  </si>
  <si>
    <t>Lampara figura de luz nocturna, Luffy, Zoro, Nami, Sanji, Chopper</t>
  </si>
  <si>
    <t>https://es.aliexpress.com/item/1005007543920363.html?spm=a2g0o.order_detail.order_detail_item.3.2e2739d3ttplDk&amp;gatewayAdapt=glo2esp</t>
  </si>
  <si>
    <t>https://es.aliexpress.com/item/1005007287714020.html?spm=a2g0o.order_detail.order_detail_item.3.ac2839d3XD7HNU&amp;gatewayAdapt=glo2esp</t>
  </si>
  <si>
    <t>Juguete de Peluche de hombre de jengibre, galleta de Peluche</t>
  </si>
  <si>
    <t>https://es.aliexpress.com/item/1005007531604765.html?spm=a2g0o.order_detail.order_detail_item.3.5d7d39d3L3qbQP&amp;gatewayAdapt=glo2esp</t>
  </si>
  <si>
    <t>https://es.aliexpress.com/item/1005007934620367.html?spm=a2g0o.order_detail.order_detail_item.3.575e39d3UT6BpT&amp;gatewayAdapt=glo2esp</t>
  </si>
  <si>
    <t>https://es.aliexpress.com/item/1005007934620367.html?spm=a2g0o.order_detail.order_detail_item.3.973a39d3v1cww7&amp;gatewayAdapt=glo2esp</t>
  </si>
  <si>
    <t>Set plantas vs Zombies 2 tiburón mecánico Salvaje Oeste Gargantuar - Gigante</t>
  </si>
  <si>
    <t>Set plantas vs Zombies 2 tiburón mecánico Salvaje Oeste Gargantuar - Barco Pirata</t>
  </si>
  <si>
    <t>https://es.aliexpress.com/item/1005006904020926.html?spm=a2g0o.order_detail.order_detail_item.3.60d039d3loHqUc&amp;gatewayAdapt=glo2esp</t>
  </si>
  <si>
    <t>Sanrio Kawali Tiger Kuromi Hello Kitty My Melody Cinnamoroll almohada de felpa, Melody unicornio</t>
  </si>
  <si>
    <t>Sanrio Kawali Tiger Kuromi Hello Kitty My Melody Cinnamoroll almohada de felpa, Kuromi unicornio</t>
  </si>
  <si>
    <t>Sanrio Kawali Tiger Kuromi Hello Kitty My Melody Cinnamoroll almohada de felpa, HK unicornio</t>
  </si>
  <si>
    <t>Sanrio Kawali Tiger Kuromi Hello Kitty My Melody Cinnamoroll almohada de felpa, Cinnamoroll unicornio</t>
  </si>
  <si>
    <t>https://es.aliexpress.com/item/1005006904020926.html?spm=a2g0o.order_detail.order_detail_item.3.560b39d3UjoltZ&amp;gatewayAdapt=glo2esp</t>
  </si>
  <si>
    <t>Sanrio Kawali Tiger Kuromi Hello Kitty My Melody Cinnamoroll almohada de felpa, Kuromi</t>
  </si>
  <si>
    <t>Sanrio Kawali Tiger Kuromi Hello Kitty My Melody Cinnamoroll almohada de felpa, Cinnamoroll</t>
  </si>
  <si>
    <t>https://es.aliexpress.com/item/1005007865622878.html?spm=a2g0o.order_detail.order_detail_item.3.7f0539d3hfzu20&amp;gatewayAdapt=glo2esp</t>
  </si>
  <si>
    <t>Hello Kitty-reproductor de discos Kawaii Sanrio Cinnamoroll Ins, lindo Altavoz Bluetooth Kuromi</t>
  </si>
  <si>
    <t>https://es.aliexpress.com/item/1005007582402576.html?spm=a2g0o.order_detail.order_detail_item.3.214b39d3pYIKlO&amp;gatewayAdapt=glo2esp</t>
  </si>
  <si>
    <t>Muñeco de peluche verde de 32cm para niños, muñeco de peluche Grinch</t>
  </si>
  <si>
    <t>https://es.aliexpress.com/item/1005006596764084.html?spm=a2g0o.order_detail.order_detail_item.3.7c7c39d30d67sb&amp;gatewayAdapt=glo2esp</t>
  </si>
  <si>
    <t>https://es.aliexpress.com/item/1005006907858645.html?spm=a2g0o.order_detail.order_detail_item.3.449439d3LPE5tn&amp;gatewayAdapt=glo2esp</t>
  </si>
  <si>
    <t>https://es.aliexpress.com/item/1005007260400979.html?spm=a2g0o.order_detail.order_detail_item.3.286739d39wgYi6&amp;gatewayAdapt=glo2esp</t>
  </si>
  <si>
    <t>Mochilas de Spiderman para estudiantes, Bolsa Escolar de superhéroes, azul fuerte</t>
  </si>
  <si>
    <t>Mochilas de Spiderman para estudiantes, Bolsa Escolar de superhéroes, azul</t>
  </si>
  <si>
    <t>https://es.aliexpress.com/item/1005005171322595.html?spm=a2g0o.order_detail.order_detail_item.3.58d639d3dQZSbR&amp;gatewayAdapt=glo2esp</t>
  </si>
  <si>
    <t>https://es.aliexpress.com/item/1005007198721207.html?spm=a2g0o.order_detail.order_detail_item.3.53bc39d34gzfDW&amp;gatewayAdapt=glo2esp</t>
  </si>
  <si>
    <t>https://es.aliexpress.com/item/1005006114904964.html?spm=a2g0o.order_detail.order_detail_item.3.68da39d3FgNUPP&amp;gatewayAdapt=glo2esp</t>
  </si>
  <si>
    <t>Unidad Flash USB de Metal colorida, llavero gratis de 64GB, memoria Stick</t>
  </si>
  <si>
    <t>https://es.aliexpress.com/item/1005006007888391.html?spm=a2g0o.order_detail.order_detail_item.3.453939d3m6Ty0m&amp;gatewayAdapt=glo2esp</t>
  </si>
  <si>
    <t>ZOHAN-orejeras de protección auditiva para niños, protectores de oídos para bebés</t>
  </si>
  <si>
    <t>https://es.aliexpress.com/item/1005007185216507.html?spm=a2g0o.order_detail.order_detail_item.3.607939d3IbDfO3&amp;gatewayAdapt=glo2esp</t>
  </si>
  <si>
    <t>Disney-auriculares inalámbricos Y08 de Marvel para niños, cascos plegables con Bluetooth, sonido envolvente HIFI</t>
  </si>
  <si>
    <t>https://es.aliexpress.com/item/1005005244721781.html?spm=a2g0o.order_detail.order_detail_item.3.322b39d3RBR62i&amp;gatewayAdapt=glo2esp</t>
  </si>
  <si>
    <t>Juego de plantas VS Zombies 2, caja sorpresa de 12 estilos, Peashooter, girasol, Faraón, Zombie</t>
  </si>
  <si>
    <t>https://es.aliexpress.com/item/1005007507448785.html?spm=a2g0o.order_detail.order_detail_item.3.4dc139d3u22IpM&amp;gatewayAdapt=glo2esp</t>
  </si>
  <si>
    <t>Lilo &amp; Stitch-muñecos de peluche kawaii, peluches suaves de Anime, hicecream</t>
  </si>
  <si>
    <t>https://es.aliexpress.com/item/1005007790076559.html?spm=a2g0o.order_detail.order_detail_item.3.19c939d3dZW6vk&amp;gatewayAdapt=glo2esp</t>
  </si>
  <si>
    <t>Duyin can dance Robot Toy Electric Music Singing Spider-Man Wasp Toy, Bumblebee</t>
  </si>
  <si>
    <t>https://es.aliexpress.com/item/1005006041656559.html?spm=a2g0o.order_detail.order_detail_item.3.521d39d3p0BPML&amp;gatewayAdapt=glo2esp</t>
  </si>
  <si>
    <t>La Granja de Zenon pollo, bebés pollo bailando Bartolito con música, Aprendizaje Temprano</t>
  </si>
  <si>
    <t>https://es.aliexpress.com/item/1005005551508277.html?spm=a2g0o.order_detail.order_detail_item.3.6c5239d315X3hY&amp;gatewayAdapt=glo2esp</t>
  </si>
  <si>
    <t>Peluche de Sailor Moon, Luna, Artemis, animales lindos, gato Luna</t>
  </si>
  <si>
    <t>https://es.aliexpress.com/item/1005006819881427.html?spm=a2g0o.order_detail.order_detail_item.3.32d439d37XMS2r&amp;gatewayAdapt=glo2esp</t>
  </si>
  <si>
    <t>https://es.aliexpress.com/item/1005007568476773.html?spm=a2g0o.order_detail.order_detail_item.3.47fc39d3ms16a6&amp;gatewayAdapt=glo2esp</t>
  </si>
  <si>
    <t>Conejo electrónico para niños, juguete con música, juego de animales ligeros, Verde</t>
  </si>
  <si>
    <t>https://es.aliexpress.com/item/1005006586074264.html?spm=a2g0o.order_detail.order_detail_item.3.1fdb39d3V90gHX&amp;gatewayAdapt=glo2esp</t>
  </si>
  <si>
    <t>Conejo bailarín con guitarra para caminar, juguetes en movimiento para bebé</t>
  </si>
  <si>
    <t>https://es.aliexpress.com/item/1005006720549408.html?spm=a2g0o.order_detail.order_detail_item.3.7cf439d3vErxps&amp;gatewayAdapt=glo2esp</t>
  </si>
  <si>
    <t>https://es.aliexpress.com/item/1005007505895089.html?spm=a2g0o.order_detail.order_detail_item.3.3e4e39d38dMvBm&amp;gatewayAdapt=glo2esp</t>
  </si>
  <si>
    <t>Monopatín de rotación automática de Marvel Spiderman, coche acústico-óptico, música eléctrica, Scooters</t>
  </si>
  <si>
    <t>https://es.aliexpress.com/item/1005005394130719.html?spm=a2g0o.order_detail.order_detail_item.3.44d139d3frjJsk&amp;gatewayAdapt=glo2esp</t>
  </si>
  <si>
    <t>https://es.aliexpress.com/item/1005005394130719.html?spm=a2g0o.order_detail.order_detail_item.3.727139d38FWT23&amp;gatewayAdapt=glo2esp</t>
  </si>
  <si>
    <t>Robot de baile musical con luz LED de 6 garras: educativo e interactivo - Azul</t>
  </si>
  <si>
    <t>Robot de baile musical con luz LED de 6 garras: educativo e interactivo</t>
  </si>
  <si>
    <t>https://es.aliexpress.com/item/1005007161469974.html?spm=a2g0o.order_detail.order_detail_item.3.252b39d3WKqCOu&amp;gatewayAdapt=glo2esp</t>
  </si>
  <si>
    <t>https://es.aliexpress.com/item/1005007001514593.html?spm=a2g0o.order_detail.order_detail_item.3.100b39d3NIaXmY&amp;gatewayAdapt=glo2esp</t>
  </si>
  <si>
    <t>Juguetes De Los Vengadores de Marvel para niños, Kart, Spider-Man</t>
  </si>
  <si>
    <t>Juguetes De Los Vengadores de Marvel para niños, Kart, Bumblebee</t>
  </si>
  <si>
    <t>https://es.aliexpress.com/item/1005006353698259.html?spm=a2g0o.order_detail.order_detail_item.3.410839d3KdwiFM&amp;gatewayAdapt=glo2esp</t>
  </si>
  <si>
    <t>Soporte de silicona para lápiz, corrección de postura, agarre de papelería</t>
  </si>
  <si>
    <t>https://super.walmart.com.mx/ip/super-mario-3d-world-bowser-s-fury-nintendo-switch-edicion-standard/00004549659869</t>
  </si>
  <si>
    <t>Super Mario 3D World + Bowser’s Fury Nintendo Switch</t>
  </si>
  <si>
    <t>https://super.walmart.com.mx/ip/mario-kart-8-deluxe-nintendo-switch-edicion-standard/00004549659850</t>
  </si>
  <si>
    <t>Mario Kart 8 Deluxe, Edición Estándar para Nintendo Switch</t>
  </si>
  <si>
    <t>https://super.walmart.com.mx/ip/muneca-lol-surprise-omg-de-moda-con-cabello-largo-varios-modelos-1-pieza/00003505198767</t>
  </si>
  <si>
    <t>https://super.walmart.com.mx/ip/muneca-lol-surprise-omg-basica-mid-varios-modelos-1-pieza/00003505198576</t>
  </si>
  <si>
    <t>https://super.walmart.com.mx/ip/set-de-juego-polly-pocket-core-hospital-movil-de-animalitos/00088796176797</t>
  </si>
  <si>
    <t>https://super.walmart.com.mx/ip/juguete-de-construccion-mega-bloks-disney-comando-estelar/00019473507245</t>
  </si>
  <si>
    <t>Muñeca LOL Surprise OMG de moda con cabello largo Varios Modelos</t>
  </si>
  <si>
    <t>Muñeca LOL Surprise Omg Básica MID Varios Modelos</t>
  </si>
  <si>
    <t>Set de Juego Polly Pocket Core Hospital Móvil de Animalitos</t>
  </si>
  <si>
    <t>Juguete de Construcción Mega Bloks Disney Comando Estelar</t>
  </si>
  <si>
    <t>https://super.walmart.com.mx/ip/set-hot-wheels-mattel-de-5-vehiculos-varios-modelos-1-set/00007429901806</t>
  </si>
  <si>
    <t>Set Hot Wheels MATTEL de 5 Vehículos Varios Modelo</t>
  </si>
  <si>
    <t>https://despensa.bodegaaurrera.com.mx/ip/Consola%20Nintendo%20Switch%20Lite%20Azul%20Turquesa/00004549688226</t>
  </si>
  <si>
    <t>https://despensa.bodegaaurrera.com.mx/ip/Pista%20de%20juguete%20Hot%20Wheels%20City%20N%C3%A9mesis%20Cocodrilo/00019473510963</t>
  </si>
  <si>
    <t>https://despensa.bodegaaurrera.com.mx/ip/Mu%C3%B1eca%20Mattel%20Disney%20Frozen%20Reina%20Elsa%20Frozen%20II/00019473512079</t>
  </si>
  <si>
    <t>https://despensa.bodegaaurrera.com.mx/ip/Mu%C3%B1eca%20Barbie%20A%20Touch%20of%20Magic%20Malib%C3%BA/00019473527765</t>
  </si>
  <si>
    <t>Nintendo Switch Lite en color azul turquesa</t>
  </si>
  <si>
    <t>Pista de juguete Hot Wheels City Némesis Cocodrilo</t>
  </si>
  <si>
    <t>Muñeca Mattel Disney Frozen Reina Elsa Frozen II</t>
  </si>
  <si>
    <t>Muñeca Barbie A Touch of Magic Malibú</t>
  </si>
  <si>
    <t>https://www.amazon.com.mx/gp/product/B09XZ48QTJ/ref=ppx_od_dt_b_asin_title_s03?ie=UTF8&amp;psc=1</t>
  </si>
  <si>
    <t>https://www.amazon.com.mx/gp/product/B0C2JLMFJ8/ref=ppx_od_dt_b_asin_title_s03?ie=UTF8&amp;psc=1</t>
  </si>
  <si>
    <t>Numberblock Mini Vehicles, Juguetes de Autos de Carrera</t>
  </si>
  <si>
    <t>https://www.amazon.com.mx/gp/product/B0BQD5PPX7/ref=ppx_od_dt_b_asin_title_s03?ie=UTF8&amp;psc=1</t>
  </si>
  <si>
    <t>https://www.amazon.com.mx/gp/product/B08ZR65PLQ/ref=ppx_od_dt_b_asin_title_s03?ie=UTF8&amp;psc=1</t>
  </si>
  <si>
    <t>MathLink Cubes Numberblocks 1-10 Juego de Actividades, Actividades de Aprendizaje Preescolar</t>
  </si>
  <si>
    <t>https://www.amazon.com.mx/gp/product/B08TTS7VP3/ref=ppx_od_dt_b_asin_title_s03?ie=UTF8&amp;psc=1</t>
  </si>
  <si>
    <t>Gabby´s Dollhouse, Set de Regalo con 7 Figuras de Juguete y Accesorio Sorpresa</t>
  </si>
  <si>
    <t>https://www.amazon.com.mx/gp/product/B000B6MKMO/ref=ppx_od_dt_b_asin_title_s03?ie=UTF8&amp;psc=1</t>
  </si>
  <si>
    <t>Hot Wheels 10-Pack (Styles May Vary)</t>
  </si>
  <si>
    <t>https://www.amazon.com.mx/gp/product/B08V579PXJ/ref=ppx_od_dt_b_asin_title_s02?ie=UTF8&amp;th=1</t>
  </si>
  <si>
    <t>https://www.amazon.com.mx/gp/product/B0CNJ2CDYW/ref=ppx_od_dt_b_asin_title_s01?ie=UTF8&amp;psc=1</t>
  </si>
  <si>
    <t>DreamWorks 30th Anniversary: Shrek - Puss in Boots (Brown) 1596 Sticker Special Edition</t>
  </si>
  <si>
    <t>https://www.amazon.com.mx/gp/product/B09D42RQG7/ref=ppx_od_dt_b_asin_title_s01?ie=UTF8&amp;th=1</t>
  </si>
  <si>
    <t>MathLink Cubes Numberblocks 11-20 Juego de Actividades, Actividades de Aprendizaje Preescolar</t>
  </si>
  <si>
    <t>https://www.amazon.com.mx/gp/product/B08TTTW6TY/ref=ppx_od_dt_b_asin_title_s01?ie=UTF8&amp;psc=1</t>
  </si>
  <si>
    <t>https://www.amazon.com.mx/gp/product/B09B2YH7CW/ref=ppx_od_dt_b_asin_title_s01?ie=UTF8&amp;psc=1</t>
  </si>
  <si>
    <t>Hasbro, Baby Alive, Hora de Comer - Cabello Rubio, Muñeca para Niñas de 20 cm</t>
  </si>
  <si>
    <t>https://www.amazon.com.mx/gp/product/B0CRK3LT7F/ref=ppx_od_dt_b_asin_title_s01?ie=UTF8&amp;psc=1</t>
  </si>
  <si>
    <t>https://www.amazon.com.mx/gp/product/B07R6N9C14/ref=ppx_od_dt_b_asin_title_s01?ie=UTF8&amp;psc=1</t>
  </si>
  <si>
    <t>Spin Master Juego de Pescar Vamos de Caza de Pinkfong Baby Shark</t>
  </si>
  <si>
    <t>https://www.amazon.com.mx/gp/product/B08ZR65PLQ/ref=ppx_od_dt_b_asin_title_s01?ie=UTF8&amp;psc=1</t>
  </si>
  <si>
    <t>https://www.amazon.com.mx/gp/product/B0BJ2K4278/ref=ppx_od_dt_b_asin_title_s01?ie=UTF8&amp;psc=1</t>
  </si>
  <si>
    <t>Gabby's Dollhouse, Habitación con Figura de DJ Musicat</t>
  </si>
  <si>
    <t>https://www.amazon.com.mx/gp/product/B017ODFUX2/ref=ppx_od_dt_b_asin_title_s00?ie=UTF8&amp;psc=1</t>
  </si>
  <si>
    <t xml:space="preserve">Prinsel Carrito de Compras Shopping Trolley, colores aleatorios </t>
  </si>
  <si>
    <t>https://www.amazon.com.mx/gp/product/B09DL9NGJP/ref=ppx_od_dt_b_asin_title_s02?ie=UTF8&amp;psc=1</t>
  </si>
  <si>
    <t>https://www.amazon.com.mx/gp/product/B0CFZQL3DV/ref=ppx_od_dt_b_asin_title_s01?ie=UTF8&amp;th=1</t>
  </si>
  <si>
    <t>Furby Furblets Peluche Miniamigo Ray-Vee con más de 45 Sonidos, música K-Po</t>
  </si>
  <si>
    <t>https://www.amazon.com.mx/gp/product/B09DHPCVDH/ref=ppx_od_dt_b_asin_title_s00?ie=UTF8&amp;psc=1</t>
  </si>
  <si>
    <t>Ruz Juguete Muñeca Toddler 13" Disney Minnie Mouse Unicornio</t>
  </si>
  <si>
    <t>https://www.amazon.com.mx/gp/product/B09V5RGR8L/ref=ppx_od_dt_b_asin_title_s00?ie=UTF8&amp;psc=1</t>
  </si>
  <si>
    <t>https://www.amazon.com.mx/gp/product/B09RVBT2BJ/ref=ppx_od_dt_b_asin_title_s00?ie=UTF8&amp;psc=1</t>
  </si>
  <si>
    <t>Gabby’s Dollhouse, orejas de gato, Orejas Mágicas Musicales con luces</t>
  </si>
  <si>
    <t>https://www.amazon.com.mx/gp/product/B08FCRF2Q3/ref=ppx_od_dt_b_asin_title_s01?ie=UTF8&amp;psc=1</t>
  </si>
  <si>
    <t>Kinetic Sand con Aroma, Set de Juego Fábrica de Helados y Postres con 3 Colores de Aroma Natural</t>
  </si>
  <si>
    <t>https://www.amazon.com.mx/gp/product/B09PB3VC2S/ref=ppx_od_dt_b_asin_title_s00?ie=UTF8&amp;psc=1</t>
  </si>
  <si>
    <t>https://www.amazon.com.mx/gp/product/B09B2Z2TD6/ref=ppx_od_dt_b_asin_title_s00?ie=UTF8&amp;th=1</t>
  </si>
  <si>
    <t>Hasbro Baby Alive, Hora de Comer - Cabello Castaño, Muñeca para Niñas, de 20 cm</t>
  </si>
  <si>
    <t>https://www.amazon.com.mx/gp/product/B07R9ZHX96/ref=ppx_od_dt_b_asin_title_s00?ie=UTF8&amp;psc=1</t>
  </si>
  <si>
    <t>https://www.amazon.com.mx/gp/product/B0B2JR3SPG/ref=ppx_od_dt_b_asin_title_s00?ie=UTF8&amp;th=1</t>
  </si>
  <si>
    <t>GP Pilas AA - LR6 - Lote de 40 Extra</t>
  </si>
  <si>
    <t>Pilas AAA, Paquete de 40 Pilas Alcalinas AAA LR03 1.5V Larga Duración Baterías Desechables</t>
  </si>
  <si>
    <t>https://www.amazon.com.mx/gp/product/B076DPSZ8S/ref=ppx_od_dt_b_asin_image_s00?ie=UTF8&amp;psc=1</t>
  </si>
  <si>
    <t xml:space="preserve">Nintendo Super Mario Mushroom Kingdom Diorama Figure 3-Pack </t>
  </si>
  <si>
    <t>Cmpr Final</t>
  </si>
  <si>
    <t>Caja De Almacenamiento De Acrílico Transparente 28cm</t>
  </si>
  <si>
    <t>Sombrero Kawaii de Hello Kitty, estilo Ins, Y2K, felpa, moño + bigotitos</t>
  </si>
  <si>
    <t>Sombrero Kawaii de Hello Kitty, estilo Ins, Y2K, felpa, moño</t>
  </si>
  <si>
    <t>Llavero Kirby Sombrero de Papá Noel, peluche Llavero, Kirby de estrella</t>
  </si>
  <si>
    <t>Peluche Pequeños, Numberblocks One and Two Playful Pals</t>
  </si>
  <si>
    <t>Coche rc 4WD con luces Led de música, acrobacias, con Control remoto por gestos, 2,4G, rotación 360, rojo</t>
  </si>
  <si>
    <t>Muñeco de peluche con música, gato Disney, con sonido de luz y aliento</t>
  </si>
  <si>
    <t>Sanrio Kawali Tiger Kuromi Hello Kitty My Melody Cinnamoroll almohada de felpa, Tiger</t>
  </si>
  <si>
    <t>One Piece, Tony Chopper Cos, Luffy, Saber, modelo  Law</t>
  </si>
  <si>
    <t>Robot giratorio para niños, coche de acrobacias, triciclo eléctrico de baile, motocicleta</t>
  </si>
  <si>
    <t>Juguetes interactivos para bebés, juguete con luz Musical, baile, gesto de amor</t>
  </si>
  <si>
    <t>Plants vs Zombies</t>
  </si>
  <si>
    <t>Figura</t>
  </si>
  <si>
    <t>Caja</t>
  </si>
  <si>
    <t>Hello Kitty</t>
  </si>
  <si>
    <t>Gorro Afelpado</t>
  </si>
  <si>
    <t>Llvr Peluche</t>
  </si>
  <si>
    <t>Trolls</t>
  </si>
  <si>
    <t>Intensamente</t>
  </si>
  <si>
    <t>Thomas</t>
  </si>
  <si>
    <t>Pista</t>
  </si>
  <si>
    <t>Masha</t>
  </si>
  <si>
    <t>Muñeca</t>
  </si>
  <si>
    <t>Numberblocks</t>
  </si>
  <si>
    <t>Hot Wheels</t>
  </si>
  <si>
    <t>Pack</t>
  </si>
  <si>
    <t>Mario Kart</t>
  </si>
  <si>
    <t>Funko</t>
  </si>
  <si>
    <t>Hasbro</t>
  </si>
  <si>
    <t>Pinkfong</t>
  </si>
  <si>
    <t>Juego de Mesa</t>
  </si>
  <si>
    <t>Play Set</t>
  </si>
  <si>
    <t>Juguete</t>
  </si>
  <si>
    <t>Toy Story</t>
  </si>
  <si>
    <t>Furby</t>
  </si>
  <si>
    <t>Radio Control</t>
  </si>
  <si>
    <t>Carro</t>
  </si>
  <si>
    <t>One Piece</t>
  </si>
  <si>
    <t>Reproductor</t>
  </si>
  <si>
    <t>TMNT</t>
  </si>
  <si>
    <t>MARVEL</t>
  </si>
  <si>
    <t>Plim Plim</t>
  </si>
  <si>
    <t>USB</t>
  </si>
  <si>
    <t>Informatica</t>
  </si>
  <si>
    <t>Switch</t>
  </si>
  <si>
    <t>Consola</t>
  </si>
  <si>
    <t>Videojuego</t>
  </si>
  <si>
    <t>LOL</t>
  </si>
  <si>
    <t>Polly Pocket</t>
  </si>
  <si>
    <t>Block</t>
  </si>
  <si>
    <t>Diadema</t>
  </si>
  <si>
    <t>Orejeras</t>
  </si>
  <si>
    <t>Audifonos</t>
  </si>
  <si>
    <t>Electronic Toy</t>
  </si>
  <si>
    <t>La Granja de Zenon</t>
  </si>
  <si>
    <t>Sailor Moon</t>
  </si>
  <si>
    <t>Barbie</t>
  </si>
  <si>
    <t>Baterias</t>
  </si>
  <si>
    <t>Pilas</t>
  </si>
  <si>
    <t>Papeleria</t>
  </si>
  <si>
    <t>Mario Bros</t>
  </si>
  <si>
    <t>Pack Figuras</t>
  </si>
  <si>
    <t>https://www.temu.com/goods.html?_bg_fs=1&amp;goods_id=601099589109027&amp;sku_id=17592494428984&amp;_x_sessn_id=0toxnn4u2q&amp;refer_page_name=bgt_order_detail&amp;refer_page_id=10045_1732217905275_vfo8cg5r6c&amp;refer_page_sn=10045</t>
  </si>
  <si>
    <t>Wireless Sunrise Alarm Speaker - RGB Rhythm Light, Fast Charging, Rechargeable Lithium-Polymer Battery</t>
  </si>
  <si>
    <t>https://www.temu.com/goods.html?_bg_fs=1&amp;goods_id=601099515430630&amp;sku_id=17592208421244&amp;_x_sessn_id=0toxnn4u2q&amp;refer_page_name=bgt_order_detail&amp;refer_page_id=10045_1732218074054_nppp0l4jw8&amp;refer_page_sn=10045</t>
  </si>
  <si>
    <t>https://www.temu.com/goods.html?_bg_fs=1&amp;goods_id=601099644033123&amp;sku_id=17592693905165&amp;_x_sessn_id=0toxnn4u2q&amp;refer_page_name=bgt_order_detail&amp;refer_page_id=10045_1732218169415_mtf086lu1h&amp;refer_page_sn=10045</t>
  </si>
  <si>
    <t>https://www.temu.com/goods_snapshot.html?goods_id=601099723967933&amp;title=Details&amp;_x_sessn_id=0toxnn4u2q&amp;refer_page_name=goods&amp;refer_page_id=10032_1732218258274_nlkclehbl3&amp;refer_page_sn=10032</t>
  </si>
  <si>
    <t>https://www.temu.com/goods.html?_bg_fs=1&amp;goods_id=601099682735450&amp;sku_id=17592843547792&amp;_x_sessn_id=0toxnn4u2q&amp;refer_page_name=bgt_order_detail&amp;refer_page_id=10045_1732218321716_kxi5e3vvv8&amp;refer_page_sn=10045</t>
  </si>
  <si>
    <t>Estante</t>
  </si>
  <si>
    <t>CANCELED</t>
  </si>
  <si>
    <t>https://es.aliexpress.com/item/1005006883492284.html?spm=a2g0o.order_detail.order_detail_item.3.3d4a39d3sktHIz&amp;gatewayAdapt=glo2esp</t>
  </si>
  <si>
    <t>Portalápices de silicona de 5 dedos para niños, herramienta de aprendizaje de escritura</t>
  </si>
  <si>
    <t>https://es.aliexpress.com/item/1005007581592447.html?spm=a2g0o.order_detail.order_detail_item.3.454539d3uGZXaU&amp;gatewayAdapt=glo2esp</t>
  </si>
  <si>
    <t>Sombreros Chopper Kawaii de una pieza, gorro de felpa de Anime, gorro cálido de invierno</t>
  </si>
  <si>
    <t>https://es.aliexpress.com/item/1005007316431956.html?spm=a2g0o.order_detail.order_detail_item.3.70fb39d3wN7omW&amp;gatewayAdapt=glo2esp</t>
  </si>
  <si>
    <t>https://es.aliexpress.com/item/1005007520252481.html?spm=a2g0o.order_detail.order_detail_item.3.645839d350rTbX&amp;gatewayAdapt=glo2esp</t>
  </si>
  <si>
    <t>Gorro de invierno creativo de Sanrio, bufanda Cinnamoroll con orejas móviles</t>
  </si>
  <si>
    <t>https://es.aliexpress.com/item/1005008040798119.html?spm=a2g0o.order_detail.order_detail_item.3.2fe439d3wapuBW&amp;gatewayAdapt=glo2esp</t>
  </si>
  <si>
    <t>Gorro Kawaii Sanrio Cinnamoroll Kuromi para niños, bufanda, guantes</t>
  </si>
  <si>
    <t>https://es.aliexpress.com/item/1005007408276736.html?spm=a2g0o.order_detail.order_detail_item.3.50dc39d3hvhU1H&amp;gatewayAdapt=glo2esp</t>
  </si>
  <si>
    <t>https://es.aliexpress.com/item/1005007351539233.html?spm=a2g0o.order_detail.order_detail_item.3.3ccf39d3Nb6dSV&amp;gatewayAdapt=glo2esp</t>
  </si>
  <si>
    <t>Demon Slayer Blade Blind Box Bag, Set 6 pc</t>
  </si>
  <si>
    <t>https://es.aliexpress.com/item/1005007274577898.html?spm=a2g0o.order_detail.order_detail_item.3.3b7c39d3W9VoRs&amp;gatewayAdapt=glo2esp</t>
  </si>
  <si>
    <t>Cactus bailarín recargable que brilla, juguetes de peluche electrónicos</t>
  </si>
  <si>
    <t>https://es.aliexpress.com/item/1005006194883232.html?spm=a2g0o.order_detail.order_detail_item.3.2a9039d37dMn6U&amp;gatewayAdapt=glo2esp</t>
  </si>
  <si>
    <t>Plants Vs Zombies juguetes de peluche para niños, girasol, PeaShooter, Jalapeno, Zombie Bufon</t>
  </si>
  <si>
    <t>Plants Vs Zombies juguetes de peluche para niños, girasol, PeaShooter, Jalapeno, Zombie Cono</t>
  </si>
  <si>
    <t>https://es.aliexpress.com/item/1005008040798119.html?spm=a2g0o.order_detail.order_detail_item.3.3d7539d3sLvSNZ&amp;gatewayAdapt=glo2esp</t>
  </si>
  <si>
    <t>Gorro Kawaii Sanrio Cinnamoroll Kuromi para niños, bufanda, guantes - Cinnamprpll</t>
  </si>
  <si>
    <t>https://es.aliexpress.com/item/1005007520252481.html?spm=a2g0o.order_detail.order_detail_item.3.7ea939d3FDtLjS&amp;gatewayAdapt=glo2esp</t>
  </si>
  <si>
    <t>https://es.aliexpress.com/item/1005007567536091.html?spm=a2g0o.order_detail.order_detail_item.3.7b4639d3Eww3QH&amp;gatewayAdapt=glo2esp</t>
  </si>
  <si>
    <t>Manta japonesa Cinnamoroll Sanrio de franela con estampado HD, chal suave y esponjoso</t>
  </si>
  <si>
    <t>Corrector de escritura</t>
  </si>
  <si>
    <t>Sombrero de Cosplay de Anime Tony Chopper Unisex, suave y acogedor, rosa y azul</t>
  </si>
  <si>
    <t>Sanrio Light Up Hat orejas Move Plush Air Bag Hat Light Up Toy Kuromi, gorro Cinnamoroll</t>
  </si>
  <si>
    <t>Demon Slayer</t>
  </si>
  <si>
    <t>Manta</t>
  </si>
  <si>
    <t>https://es.aliexpress.com/item/1005007316431956.html?spm=a2g0o.order_detail.order_detail_item.2.761439d3RBKAsN&amp;gatewayAdapt=glo2esp</t>
  </si>
  <si>
    <t>https://es.aliexpress.com/item/1005007842298842.html?spm=a2g0o.order_detail.order_detail_item.2.3a5339d3Prud7P&amp;gatewayAdapt=glo2esp</t>
  </si>
  <si>
    <t>Sanrio Kuromi-Mochila con tapa de felpa para mujer, morral escolar de dibujos animados kawaii</t>
  </si>
  <si>
    <t>https://es.aliexpress.com/item/1005007370398046.html?spm=a2g0o.order_detail.order_detail_item.2.5e2439d3Sl1grt&amp;gatewayAdapt=glo2esp</t>
  </si>
  <si>
    <t>Llavero de felpa Kawaii Sanrio Hello Kitty Melody Kuromi, serie de Anime Dream Angel, 12cm - Hello Kitty</t>
  </si>
  <si>
    <t>Llavero de felpa Kawaii Sanrio Hello Kitty Melody Kuromi, serie de Anime Dream Angel, 12cm - Cinnamoroll</t>
  </si>
  <si>
    <t>https://es.aliexpress.com/item/1005007264899225.html?spm=a2g0o.order_detail.order_detail_item.2.27a839d3S2Cyuz&amp;gatewayAdapt=glo2esp</t>
  </si>
  <si>
    <t>https://es.aliexpress.com/item/1005006824765260.html?spm=a2g0o.order_detail.order_detail_item.2.3cca39d3bI9udt&amp;gatewayAdapt=glo2esp</t>
  </si>
  <si>
    <t>https://es.aliexpress.com/item/1005007264899225.html?spm=a2g0o.order_detail.order_detail_item.2.6f9039d3M4Icyw&amp;gatewayAdapt=glo2esp</t>
  </si>
  <si>
    <t>https://es.aliexpress.com/item/1005007790485651.html?spm=a2g0o.order_detail.order_detail_item.2.166139d3LtIfbS&amp;gatewayAdapt=glo2esp</t>
  </si>
  <si>
    <t>Sanrio llavero de felpa juguete Kawaii Hello Kitty My Melody Kuromi Cinnamoroll, Cinnamoroll</t>
  </si>
  <si>
    <t>https://es.aliexpress.com/item/1005006824765260.html?spm=a2g0o.order_detail.order_detail_item.2.325839d3R996vc&amp;gatewayAdapt=glo2esp</t>
  </si>
  <si>
    <t>Llavero de peluche Kawaii Sanrio Cinnamoroll Hello Kitty, llavero de dibujos animados, Amarillo</t>
  </si>
  <si>
    <t>https://es.aliexpress.com/item/1005007790485651.html?spm=a2g0o.order_detail.order_detail_item.2.57a739d33SOBqb&amp;gatewayAdapt=glo2esp</t>
  </si>
  <si>
    <t>Sanrio llavero de felpa juguete Kawaii Hello Kitty My Melody Kuromi Cinnamoroll - Melody</t>
  </si>
  <si>
    <t>https://es.aliexpress.com/item/1005007582542344.html?spm=a2g0o.order_detail.order_detail_item.2.7da539d3OBfRNf&amp;gatewayAdapt=glo2esp</t>
  </si>
  <si>
    <t>Sanrio-Llavero de peluche de Hello Kitty, colgante de bolsa, Cinnamoroll, pomppurin - Cinnamoroll</t>
  </si>
  <si>
    <t>Sanrio-Llavero de peluche de Hello Kitty, colgante de bolsa, Cinnamoroll, pomppurin - Hello Kitty</t>
  </si>
  <si>
    <t>Base luz LED para arte de Cristal en 3D, soporte cuadrado Iluminado con luces de colores</t>
  </si>
  <si>
    <t>Organizador de escritorio de madera - Soporte cuadrado para oficina, superficie lisa</t>
  </si>
  <si>
    <t>Sanrio-muñeco de peluche de Hello Kitty, 30cm de felpa suave juguete</t>
  </si>
  <si>
    <t>Sanrio-Manta de felpa de Hello Kitty, mantas suaves</t>
  </si>
  <si>
    <t>Figuras Kirby para decoración, juguetes de comida, 4 unidades por Set</t>
  </si>
  <si>
    <t>Figura de villana de Disney, Reina, Cruella, maléfica, bruja malvada</t>
  </si>
  <si>
    <t>Sanrio Hello Kitty Anime Kuromi Melody, peluche suave de Hello Kitty</t>
  </si>
  <si>
    <t>Sanrio Hello Kitty Anime Kuromi Melody, peluche, Cinnamoroll fruta amarilla</t>
  </si>
  <si>
    <t>Sanrio Kawaii colorido Cinnamoroll dibujos animados, peluche Plushier almohada suave</t>
  </si>
  <si>
    <t>Peluche Sanrio Kuromi My Melody Cinnamoroll, almohada de peluche suave kawaii 40 cm</t>
  </si>
  <si>
    <t>Peluche de Anime Sanrio Kawaii, peluche suave de Cinnamoroll, almohada de 25Cm</t>
  </si>
  <si>
    <t>Casa de muñecas Gabby, juguete de peluche de Mercat, Kitty Fairy</t>
  </si>
  <si>
    <t>Casa de muñecas Gabby, juguete de peluche de Mercat, Pillow Cat</t>
  </si>
  <si>
    <t>Casa de muñecas Gabby, juguete de peluche de Mercat, Pandy Paws</t>
  </si>
  <si>
    <t>Casa de muñecas Gabby, juguete de peluche de Mercat, DJ Catnip</t>
  </si>
  <si>
    <t>Bebé dormir música juguetes de peluche ligero relajante - Zorrito</t>
  </si>
  <si>
    <t>Bebé dormir música juguetes de peluche ligero relajante - Patito</t>
  </si>
  <si>
    <t>Plants vs Zombies 2 Cactus Peashooter Coconut Cannon, 6 estilos</t>
  </si>
  <si>
    <t>Multifuncional ClearView, Caja de Almacenamiento de Plástico Impermeable TG 40cm</t>
  </si>
  <si>
    <t>Kuromi Hello Kitty gorra con orejas móviles, sombrero de conejo brillante punto divertido LED - Stich</t>
  </si>
  <si>
    <t>Kuromi Hello Kitty gorra con orejas móviles, conejo brillante, LED. Kuromy</t>
  </si>
  <si>
    <t>Peluche de Panda Rojo, con luces musicales y respiración rítmica, Panda Rojo</t>
  </si>
  <si>
    <t>Muñecos de peluche de 2 estilos, banda de TROLLS, lindo peluche suave, Poppy</t>
  </si>
  <si>
    <t>Inside Out 2 Plush Dolls Inside Out Plush Toy Cute - Anciedad</t>
  </si>
  <si>
    <t>Inside Out 2 Plush Dolls Inside Out Plush Toy Cute - Elefante</t>
  </si>
  <si>
    <t>Numberblock Friends One to Five Figures, Figuras de Acción Caricaturas</t>
  </si>
  <si>
    <t>Hot Wheels, Mario Kart, Pista de Juguete para Niños, Senda Arcoíris</t>
  </si>
  <si>
    <t>Gabby’s Dollhouse, muñeca Gabby de 20.3 cm</t>
  </si>
  <si>
    <t>Hasbro Hippos Glotones Juego para niños y niñas Preescolar, lanzamiento instantáneo de canicas</t>
  </si>
  <si>
    <t>Funko Pop! VHS Cover: Disney - Toy Story - Disney Pixar: Toy Story - Exclusiva Amazon</t>
  </si>
  <si>
    <t>Disney Lucifer-peluche Kawaii, Gato de Cenicienta</t>
  </si>
  <si>
    <t>Muñecos de peluche de 2 estilos, banda de TROLLS, Ramon</t>
  </si>
  <si>
    <t>Peluche de Tortugas Ninja, TMNT, Leo, Raph, Mike, Don, 25cm - DON</t>
  </si>
  <si>
    <t>Peluche de Tortugas Ninja, TMNT, Leo, Raph, Mike, Don, 25cm - LEO</t>
  </si>
  <si>
    <t>Peluche de Tortugas Ninja, TMNT, Leo, Raph, Mike, Don, 25cm - MIKE</t>
  </si>
  <si>
    <t>Peluche de Tortugas Ninja, TMNT, Leo, Raph, Mike, Don, 25cm - RAPH</t>
  </si>
  <si>
    <t>Peluche de payaso Plim, peluche suave de Anime, Kawaii juguete de 25cm</t>
  </si>
  <si>
    <t>Peluche de Hello Kitty, peluche de 10cm, colgante de mochila escolar</t>
  </si>
  <si>
    <t>Kinetic Sand, set de juego Tienda de pasteles de unicornio, 453 g, herramientas de unicornio</t>
  </si>
  <si>
    <t>LITTLE PEOPLE, Pista de Carreras de Hot Wheels, 50 sonidos, Lanzador triple de vehículos</t>
  </si>
  <si>
    <t>https://www.mercadolibre.com.mx/gabbys-dollhouse-gabby-fashionista-spin-master-6065858/p/MLM34920827?pdp_filters=item_id:MLM3184652024</t>
  </si>
  <si>
    <t>Gabby's Dollhouse Gabby Fashionista Spin Master</t>
  </si>
  <si>
    <t>https://articulo.mercadolibre.com.mx/MLM-2158480303-barbie-cutie-reveal-disfraces-divertidos-oso-delfin-hrk22-_JM?quantity=1</t>
  </si>
  <si>
    <t>Barbie Cutie Reveal Disfraces Divertidos Oso-delfín</t>
  </si>
  <si>
    <t>Llavero de peluche Kawaii Sanrio Cinnamoroll Hello Kitty, llavero, Cinnamoroll</t>
  </si>
  <si>
    <t>Llavero de Sanrio Kawaii, peluche con colgante, Kuromi Cinnamoroll - Amarillo</t>
  </si>
  <si>
    <t>Llavero de Sanrio Kawaii, peluche con colgante, Kuromi - Cinnamoroll</t>
  </si>
  <si>
    <t>https://es.aliexpress.com/item/1005007656655494.html?spm=a2g0o.order_detail.order_detail_item.2.17ed39d3xBFLI6&amp;gatewayAdapt=glo2esp</t>
  </si>
  <si>
    <t>Sanrio-llavero muñeco de peluche Kawaii, Kuromi, Hello Kitty - Melody</t>
  </si>
  <si>
    <t>Sanrio-llavero muñeco de peluche Kawaii, Kuromi, Hello Kitty - HK y Cinnamoroll</t>
  </si>
  <si>
    <t>https://es.aliexpress.com/item/1005007561389721.html?spm=a2g0o.order_detail.order_detail_item.2.71be39d3r7Eanf&amp;gatewayAdapt=glo2esp</t>
  </si>
  <si>
    <t>Peluche de Stitch para bebé, Juguete Musical relajante con sonido</t>
  </si>
  <si>
    <t>https://es.aliexpress.com/item/1005006237299358.html?spm=a2g0o.order_detail.order_detail_item.2.5c0e39d3zJB7Li&amp;gatewayAdapt=glo2esp</t>
  </si>
  <si>
    <t>Sanrio Peluche de Hello Kitty, muñeca de dibujos animados, almohada, HK helado</t>
  </si>
  <si>
    <t>https://es.aliexpress.com/item/1005007606878654.html?spm=a2g0o.order_detail.order_detail_item.2.2b7139d3qyQjPB&amp;gatewayAdapt=glo2esp</t>
  </si>
  <si>
    <t>Hatsune-Diadema Miku de felpa para niña, bandana bonita para el pelo</t>
  </si>
  <si>
    <t>https://es.aliexpress.com/item/1005007243513126.html?spm=a2g0o.order_detail.order_detail_item.2.49f639d3o1nELL&amp;gatewayAdapt=glo2esp</t>
  </si>
  <si>
    <t>Sombrero de felpa Kirby Kawaii para niñas, dibujos animados, Kirby</t>
  </si>
  <si>
    <t>https://es.aliexpress.com/item/1005007370353163.html?spm=a2g0o.order_detail.order_detail_item.2.42c739d3i1FsYw&amp;gatewayAdapt=glo2esp</t>
  </si>
  <si>
    <t>Hatsune-mochila de felpa suave con bordado de imagen de Anime</t>
  </si>
  <si>
    <t>https://es.aliexpress.com/item/1005006199066905.html?spm=a2g0o.order_detail.order_detail_item.2.3bd839d3i4k1Xc&amp;gatewayAdapt=glo2esp</t>
  </si>
  <si>
    <t>Funda de tableta para Samsung Galaxy Tab S7 FE S8 S9 Plus A8 S6 Lite</t>
  </si>
  <si>
    <t>https://es.aliexpress.com/item/1005006097224708.html?spm=a2g0o.order_detail.order_detail_item.2.48d839d3rRKG7M&amp;gatewayAdapt=glo2esp</t>
  </si>
  <si>
    <t>Soporte Universal portátil para tableta, soporte Flexible para iPad</t>
  </si>
  <si>
    <t>https://es.aliexpress.com/item/1005007292979098.html?spm=a2g0o.order_detail.order_detail_item.2.2b9b39d3gPlAUM&amp;gatewayAdapt=glo2esp</t>
  </si>
  <si>
    <t>Soporte para teléfono plegable, ángulo y altura ajustables con almohadilla de silicona</t>
  </si>
  <si>
    <t>Soporte</t>
  </si>
  <si>
    <t>Circle Light With Flexible Tripod Stand &amp; Phone Holder, For Photo Selfie Video Recording Zoom Meeting</t>
  </si>
  <si>
    <t>Oxinvis Acrylic Display Stand - High Clarity, Multi-Functional Dustproof Storage Box with Wall Mount</t>
  </si>
  <si>
    <t>Stackable Acrylic Storage Box with Magnetic Lid - Dustproof Display, Luxury Bags</t>
  </si>
  <si>
    <t>Desk Lamp with 3-Level Dimmer, Flexible Gooseneck, USB Powered - Switchable Warm to White Light for Home Office Reading and Study</t>
  </si>
  <si>
    <t>Sombrero de Cosplay de Anime Tony Chopper Unisex, suave y acogedor, rosa</t>
  </si>
  <si>
    <t>https://es.aliexpress.com/item/1005007337603845.html?spm=a2g0o.order_detail.order_detail_item.2.550e39d3lRDDRa&amp;gatewayAdapt=glo2esp</t>
  </si>
  <si>
    <t>Peluche Kawaii Garfield, 25Cm</t>
  </si>
  <si>
    <t>Peluche Kawaii Garfield, 35Cm</t>
  </si>
  <si>
    <t>Garfield</t>
  </si>
  <si>
    <t>https://es.aliexpress.com/item/1005007662755365.html?spm=a2g0o.order_detail.order_detail_item.2.35c039d3lbRt1Z&amp;gatewayAdapt=glo2esp</t>
  </si>
  <si>
    <t>Miniso Sanrio Kuromi Cinnamoroll proyector de luz de proyección musical, caja de música</t>
  </si>
  <si>
    <t>https://es.aliexpress.com/item/1005008204391117.html?spm=a2g0o.order_detail.order_detail_item.2.2c4439d3DYxIgZ&amp;gatewayAdapt=glo2esp</t>
  </si>
  <si>
    <t>Bufanda cálida Harries estudiante Campus Cosplay Gryffindor</t>
  </si>
  <si>
    <t>Bufanda cálida Harries estudiante Campus Cosplay Slytherin</t>
  </si>
  <si>
    <t>https://es.aliexpress.com/item/1005008125356865.html?spm=a2g0o.order_list.order_list_main.9.21ef194dcDZSgX&amp;gatewayAdapt=glo2esp</t>
  </si>
  <si>
    <t>Conjunto de 3 uds, gorro, bufanda, guante, Anime de Disney, conjunto cálido de otoño e invierno - Stich lila</t>
  </si>
  <si>
    <t>Conjunto de 3 uds, gorro, bufanda, guante, Anime de Disney, conjunto cálido de otoño e invierno - Stich azul</t>
  </si>
  <si>
    <t>Harry Potter</t>
  </si>
  <si>
    <t>https://es.aliexpress.com/item/1005008089391380.html?spm=a2g0o.order_detail.order_detail_item.2.483d39d3jjTm1s&amp;gatewayAdapt=glo2esp</t>
  </si>
  <si>
    <t>Gorro Kirby de Anime Y2K, bonitos gorros de esquí con dibujos animados para invierno</t>
  </si>
  <si>
    <t>https://es.aliexpress.com/item/1005006020974399.html?spm=a2g0o.order_detail.order_detail_item.2.2f4539d3u7XLrf&amp;gatewayAdapt=glo2esp</t>
  </si>
  <si>
    <t>Disney-bufanda de dibujos animados de Minnie para niños, guante de tres piezas</t>
  </si>
  <si>
    <t>https://es.aliexpress.com/item/1005005351209459.html?spm=a2g0o.order_detail.order_detail_item.2.2a7339d3PlYwp1&amp;gatewayAdapt=glo2esp</t>
  </si>
  <si>
    <t>Grr Bufanda</t>
  </si>
  <si>
    <t>Peluche de 20cm de la Universidad de monstruos, Mike Wazowski, Disney Pixar</t>
  </si>
  <si>
    <t>https://es.aliexpress.com/item/1005004845080762.html?spm=a2g0o.order_detail.order_detail_item.2.7daf39d3B2O1og&amp;gatewayAdapt=glo2esp</t>
  </si>
  <si>
    <t>Sombrero de bufanda de dibujos animados, otoño e invierno, conjunto de dos piezas</t>
  </si>
  <si>
    <t>https://es.aliexpress.com/item/1005007679671069.html?spm=a2g0o.order_detail.order_detail_item.2.41f339d37cZZrQ&amp;gatewayAdapt=glo2esp</t>
  </si>
  <si>
    <t>Sanrio-guantes de algodón de Hello Kitty Kawaii para niñas, cálidos, Cinnamoroll</t>
  </si>
  <si>
    <t>https://es.aliexpress.com/item/1005007480923557.html?spm=a2g0o.order_detail.order_detail_item.2.117139d3USzU9d&amp;gatewayAdapt=glo2esp</t>
  </si>
  <si>
    <t>2024-Lindo tejido cereza corazón animales suaves cinco dedos guantes niños</t>
  </si>
  <si>
    <t>Sanrio-vestido transparente, muñeco de peluche de Hello Kitty 40cm</t>
  </si>
  <si>
    <t>https://www.amazon.com.mx/gp/product/B09JM9H89T/ref=ppx_od_dt_b_asin_title_s00?ie=UTF8&amp;psc=1</t>
  </si>
  <si>
    <t xml:space="preserve">Paquete 60 Pilas 1.5v Baterías Larga duración (AAA) </t>
  </si>
  <si>
    <t>Energizer CR2025 - Batería de Litio de 3 V (2 baterías)</t>
  </si>
  <si>
    <t>https://www.amazon.com.mx/gp/product/B09QY385LV/ref=ppx_od_dt_b_asin_title_s00?ie=UTF8&amp;psc=1</t>
  </si>
  <si>
    <t>https://www.amazon.com.mx/gp/product/B06ZYH6RQZ/ref=ppx_od_dt_b_asin_title_s00?ie=UTF8&amp;th=1</t>
  </si>
  <si>
    <t>Super Smash Bros. Ultimate - Standard Edition - Nintendo Switch</t>
  </si>
  <si>
    <t>https://www.amazon.com.mx/gp/product/B07P3G98YN/ref=ppx_od_dt_b_asin_title_s00?ie=UTF8&amp;th=1</t>
  </si>
  <si>
    <t>https://www.amazon.com.mx/gp/product/B0CP9L7VZ5/ref=ppx_od_dt_b_asin_title_s00?ie=UTF8&amp;psc=1</t>
  </si>
  <si>
    <t>https://www.amazon.com.mx/gp/product/B0CW3SBJ48/ref=ppx_od_dt_b_asin_title_s00?ie=UTF8&amp;psc=1</t>
  </si>
  <si>
    <t>https://www.amazon.com.mx/gp/product/B09P4FJQXG/ref=ppx_od_dt_b_asin_title_s00?ie=UTF8&amp;th=1</t>
  </si>
  <si>
    <t>https://www.amazon.com.mx/gp/product/B0CM42KNVB/ref=ppx_od_dt_b_asin_title_s00?ie=UTF8&amp;psc=1</t>
  </si>
  <si>
    <t>https://www.amazon.com.mx/gp/product/B0CSV6VL94/ref=ppx_od_dt_b_asin_title_s00?ie=UTF8&amp;psc=1</t>
  </si>
  <si>
    <t>https://www.amazon.com.mx/gp/product/B08HBC7P3R/ref=ppx_od_dt_b_asin_title_s00?ie=UTF8&amp;psc=1</t>
  </si>
  <si>
    <t>https://www.amazon.com.mx/gp/product/B071GPJVTQ/ref=ppx_od_dt_b_asin_title_s00?ie=UTF8&amp;psc=1</t>
  </si>
  <si>
    <t>https://www.amazon.com.mx/gp/product/B083MCTX7F/ref=ppx_od_dt_b_asin_title_s00?ie=UTF8&amp;th=1</t>
  </si>
  <si>
    <t>https://www.amazon.com.mx/gp/product/B07W8JRFXD/ref=ppx_od_dt_b_asin_title_s00?ie=UTF8&amp;psc=1</t>
  </si>
  <si>
    <t>Funko Pop Star Wars: Mandalorian - The Mandalorian</t>
  </si>
  <si>
    <t>https://www.amazon.com.mx/gp/product/B0DBRJJML4/ref=ppx_od_dt_b_asin_title_s00?ie=UTF8&amp;psc=1</t>
  </si>
  <si>
    <t>https://www.amazon.com.mx/gp/product/B0BPZYQ688/ref=ppx_od_dt_b_asin_title_s00?ie=UTF8&amp;psc=1</t>
  </si>
  <si>
    <t>https://www.amazon.com.mx/gp/product/B09V85GSKW/ref=ppx_od_dt_b_asin_title_s01?ie=UTF8&amp;psc=1</t>
  </si>
  <si>
    <t>https://super.walmart.com.mx/ip/set-de-juego-hasbro-peppa-pig-y-su-familia-varios-modelos-1-pieza/00501099385889</t>
  </si>
  <si>
    <t>https://super.walmart.com.mx/ip/muneca-anna-jakks-disney-frozen/00019299520632</t>
  </si>
  <si>
    <t>Nintendo</t>
  </si>
  <si>
    <t>Nintendo Switch</t>
  </si>
  <si>
    <t>Paw Patrol</t>
  </si>
  <si>
    <t>Carro RC</t>
  </si>
  <si>
    <t>Figuras</t>
  </si>
  <si>
    <t>Mattel</t>
  </si>
  <si>
    <t>Rompecabezas</t>
  </si>
  <si>
    <t>DC</t>
  </si>
  <si>
    <t>Star Wars</t>
  </si>
  <si>
    <t>Peppa Pig</t>
  </si>
  <si>
    <t>https://www.mercadolibre.com.mx/disney-princesa-muneca-mini-cenicienta-9cm/p/MLM23261296?pdp_filters=item_id:MLM2048107715</t>
  </si>
  <si>
    <t>Disney Princesa Muñeca Mini Cenicienta 9cm</t>
  </si>
  <si>
    <t>https://www.mercadolibre.com.mx/funko-pop-luffy-gear-five-1607-one-piece/p/MLM36779942?pdp_filters=item_id:MLM2079481703</t>
  </si>
  <si>
    <t>Funko Pop Luffy Gear Five #1607 One Piece</t>
  </si>
  <si>
    <t>https://articulo.mercadolibre.com.mx/MLM-1700660210-disney-princesa-muneca-mini-rapunzel-9cm-_JM?quantity=1</t>
  </si>
  <si>
    <t>Disney Princesa Muñeca Mini Rapunzel 9cm</t>
  </si>
  <si>
    <t>https://www.mercadolibre.com.mx/amiibo-wedding-mario-super-mario-odyssey/p/MLM38118592</t>
  </si>
  <si>
    <t>Amiibo Wedding Mario Super Mario Odyssey</t>
  </si>
  <si>
    <t>Amiibo</t>
  </si>
  <si>
    <t>Mattel, Disney Frozen Muñeca Mini Elsa 9cm, Frozen II</t>
  </si>
  <si>
    <t>Muñeca Anna Jakks Disney Frozen, 35cm</t>
  </si>
  <si>
    <t>https://articulo.mercadolibre.com.mx/MLM-1700635243-disney-frozen-muneca-reina-anna-frozen-i-_JM?quantity=1</t>
  </si>
  <si>
    <t>Disney Frozen Muñeca Reina Anna Frozen I, 30cm</t>
  </si>
  <si>
    <t>Set Hasbro Peppa Pig y su familia</t>
  </si>
  <si>
    <t>SUPER MARIO BROS. MOVIE SUPER MARIO Figura Luigi de 5in</t>
  </si>
  <si>
    <t>Paw Patrol, Coche Patrulla RC de Chase con 2 direcciones</t>
  </si>
  <si>
    <t>Super Mario - 2.5 Pulgadas 3D World Diorama, Gato Mario y Peach</t>
  </si>
  <si>
    <t>Scrabble, Juego de Mesa 2 en 1, Original Mattel, Colaborativo y Desafiante</t>
  </si>
  <si>
    <t>Spin Master Games Gabbys Dollhouse, 2 Rompecabezas de 48 Piezas en Tubos de Personajes</t>
  </si>
  <si>
    <t>Spin Master Gabbys Dollhouse, 4 Rompecabezas de Madera, 12, 16, 20 y 24 Piezas</t>
  </si>
  <si>
    <t xml:space="preserve">Funko Pop - Batman &amp; Robin, Poison Ivy </t>
  </si>
  <si>
    <t>Amiibo - Cat Peach - Super Mario</t>
  </si>
  <si>
    <t>Ammibo: Super Mario - Wedding Peach</t>
  </si>
  <si>
    <t>Funko Pop: Demon Slayer - Nezuko Kamado</t>
  </si>
  <si>
    <t>Barbie Cutie Reveal Muñeca Chelsea Ositos Cariñositos</t>
  </si>
  <si>
    <t>Funko Pop! Animation: Demon Slayer - Tanjiro with Noodles</t>
  </si>
  <si>
    <t>Bufanda</t>
  </si>
  <si>
    <t>Guantes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</si>
</sst>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2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0" fontId="9" fillId="0" borderId="0" xfId="0" applyFont="1"/>
    <xf numFmtId="1" fontId="0" fillId="0" borderId="0" xfId="0" applyNumberFormat="1" applyAlignment="1">
      <alignment horizontal="center" vertical="center"/>
    </xf>
    <xf numFmtId="6" fontId="2" fillId="0" borderId="0" xfId="2" applyNumberFormat="1" applyAlignment="1">
      <alignment horizontal="center" vertical="center"/>
    </xf>
    <xf numFmtId="6" fontId="2" fillId="2" borderId="0" xfId="2" applyNumberFormat="1" applyFill="1" applyAlignment="1">
      <alignment horizontal="center" vertical="center"/>
    </xf>
    <xf numFmtId="44" fontId="9" fillId="0" borderId="0" xfId="0" applyNumberFormat="1" applyFont="1"/>
    <xf numFmtId="14" fontId="10" fillId="0" borderId="0" xfId="1" applyNumberFormat="1" applyFont="1" applyAlignment="1">
      <alignment horizontal="center" vertical="center"/>
    </xf>
    <xf numFmtId="14" fontId="11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44" fontId="10" fillId="0" borderId="0" xfId="1" applyFont="1" applyAlignment="1">
      <alignment horizontal="left" vertical="center"/>
    </xf>
    <xf numFmtId="9" fontId="10" fillId="0" borderId="0" xfId="0" applyNumberFormat="1" applyFont="1" applyAlignment="1">
      <alignment horizontal="center" vertical="center"/>
    </xf>
    <xf numFmtId="44" fontId="10" fillId="0" borderId="0" xfId="1" applyFont="1" applyAlignment="1">
      <alignment horizontal="center" vertical="center"/>
    </xf>
    <xf numFmtId="44" fontId="7" fillId="0" borderId="0" xfId="1" applyFont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aliexpress.com/item/1005007520252481.html?spm=a2g0o.order_detail.order_detail_item.3.7ea939d3FDtLjS&amp;gatewayAdapt=glo2esp" TargetMode="External"/><Relationship Id="rId21" Type="http://schemas.openxmlformats.org/officeDocument/2006/relationships/hyperlink" Target="https://es.aliexpress.com/item/1005006246001915.html?spm=a2g0o.order_detail.order_detail_item.3.644239d3wPeiCZ&amp;gatewayAdapt=glo2esp" TargetMode="External"/><Relationship Id="rId42" Type="http://schemas.openxmlformats.org/officeDocument/2006/relationships/hyperlink" Target="https://es.aliexpress.com/item/1005006596764084.html?spm=a2g0o.order_detail.order_detail_item.3.7c7c39d30d67sb&amp;gatewayAdapt=glo2esp" TargetMode="External"/><Relationship Id="rId63" Type="http://schemas.openxmlformats.org/officeDocument/2006/relationships/hyperlink" Target="https://despensa.bodegaaurrera.com.mx/ip/Consola%20Nintendo%20Switch%20Lite%20Azul%20Turquesa/00004549688226" TargetMode="External"/><Relationship Id="rId84" Type="http://schemas.openxmlformats.org/officeDocument/2006/relationships/hyperlink" Target="https://www.amazon.com.mx/gp/product/B09B2YH7CW/ref=ppx_od_dt_b_asin_title_s01?ie=UTF8&amp;psc=1" TargetMode="External"/><Relationship Id="rId138" Type="http://schemas.openxmlformats.org/officeDocument/2006/relationships/hyperlink" Target="https://es.aliexpress.com/item/1005006097224708.html?spm=a2g0o.order_detail.order_detail_item.2.48d839d3rRKG7M&amp;gatewayAdapt=glo2esp" TargetMode="External"/><Relationship Id="rId159" Type="http://schemas.openxmlformats.org/officeDocument/2006/relationships/hyperlink" Target="https://www.amazon.com.mx/gp/product/B0CP9L7VZ5/ref=ppx_od_dt_b_asin_title_s00?ie=UTF8&amp;psc=1" TargetMode="External"/><Relationship Id="rId170" Type="http://schemas.openxmlformats.org/officeDocument/2006/relationships/hyperlink" Target="https://www.amazon.com.mx/gp/product/B09V85GSKW/ref=ppx_od_dt_b_asin_title_s01?ie=UTF8&amp;psc=1" TargetMode="External"/><Relationship Id="rId107" Type="http://schemas.openxmlformats.org/officeDocument/2006/relationships/hyperlink" Target="https://es.aliexpress.com/item/1005006883492284.html?spm=a2g0o.order_detail.order_detail_item.3.3d4a39d3sktHIz&amp;gatewayAdapt=glo2esp" TargetMode="External"/><Relationship Id="rId11" Type="http://schemas.openxmlformats.org/officeDocument/2006/relationships/hyperlink" Target="https://es.aliexpress.com/item/1005007448659063.html?spm=a2g0o.order_detail.order_detail_item.2.705a39d3MpH0ih&amp;gatewayAdapt=glo2esp" TargetMode="External"/><Relationship Id="rId32" Type="http://schemas.openxmlformats.org/officeDocument/2006/relationships/hyperlink" Target="https://es.aliexpress.com/item/1005006743718414.html?spm=a2g0o.order_detail.order_detail_item.3.250139d30gHS6D&amp;gatewayAdapt=glo2esp" TargetMode="External"/><Relationship Id="rId53" Type="http://schemas.openxmlformats.org/officeDocument/2006/relationships/hyperlink" Target="https://es.aliexpress.com/item/1005006041656559.html?spm=a2g0o.order_detail.order_detail_item.3.521d39d3p0BPML&amp;gatewayAdapt=glo2esp" TargetMode="External"/><Relationship Id="rId74" Type="http://schemas.openxmlformats.org/officeDocument/2006/relationships/hyperlink" Target="https://www.amazon.com.mx/gp/product/B09XZ48QTJ/ref=ppx_od_dt_b_asin_title_s03?ie=UTF8&amp;psc=1" TargetMode="External"/><Relationship Id="rId128" Type="http://schemas.openxmlformats.org/officeDocument/2006/relationships/hyperlink" Target="https://es.aliexpress.com/item/1005007582542344.html?spm=a2g0o.order_detail.order_detail_item.2.7da539d3OBfRNf&amp;gatewayAdapt=glo2esp" TargetMode="External"/><Relationship Id="rId149" Type="http://schemas.openxmlformats.org/officeDocument/2006/relationships/hyperlink" Target="https://es.aliexpress.com/item/1005005351209459.html?spm=a2g0o.order_detail.order_detail_item.2.2a7339d3PlYwp1&amp;gatewayAdapt=glo2esp" TargetMode="External"/><Relationship Id="rId5" Type="http://schemas.openxmlformats.org/officeDocument/2006/relationships/hyperlink" Target="https://es.aliexpress.com/item/1005007401681716.html?spm=a2g0o.order_detail.order_detail_item.3.797139d3iOkx09&amp;gatewayAdapt=glo2esp" TargetMode="External"/><Relationship Id="rId95" Type="http://schemas.openxmlformats.org/officeDocument/2006/relationships/hyperlink" Target="https://www.amazon.com.mx/gp/product/B08FCRF2Q3/ref=ppx_od_dt_b_asin_title_s01?ie=UTF8&amp;psc=1" TargetMode="External"/><Relationship Id="rId160" Type="http://schemas.openxmlformats.org/officeDocument/2006/relationships/hyperlink" Target="https://www.amazon.com.mx/gp/product/B0CW3SBJ48/ref=ppx_od_dt_b_asin_title_s00?ie=UTF8&amp;psc=1" TargetMode="External"/><Relationship Id="rId22" Type="http://schemas.openxmlformats.org/officeDocument/2006/relationships/hyperlink" Target="https://es.aliexpress.com/item/1005007301255998.html?spm=a2g0o.order_detail.order_detail_item.3.30ad39d3a4hRSg&amp;gatewayAdapt=glo2esp" TargetMode="External"/><Relationship Id="rId43" Type="http://schemas.openxmlformats.org/officeDocument/2006/relationships/hyperlink" Target="https://es.aliexpress.com/item/1005006907858645.html?spm=a2g0o.order_detail.order_detail_item.3.449439d3LPE5tn&amp;gatewayAdapt=glo2esp" TargetMode="External"/><Relationship Id="rId64" Type="http://schemas.openxmlformats.org/officeDocument/2006/relationships/hyperlink" Target="https://super.walmart.com.mx/ip/super-mario-3d-world-bowser-s-fury-nintendo-switch-edicion-standard/00004549659869" TargetMode="External"/><Relationship Id="rId118" Type="http://schemas.openxmlformats.org/officeDocument/2006/relationships/hyperlink" Target="https://es.aliexpress.com/item/1005007567536091.html?spm=a2g0o.order_detail.order_detail_item.3.7b4639d3Eww3QH&amp;gatewayAdapt=glo2esp" TargetMode="External"/><Relationship Id="rId139" Type="http://schemas.openxmlformats.org/officeDocument/2006/relationships/hyperlink" Target="https://es.aliexpress.com/item/1005007292979098.html?spm=a2g0o.order_detail.order_detail_item.2.2b9b39d3gPlAUM&amp;gatewayAdapt=glo2esp" TargetMode="External"/><Relationship Id="rId85" Type="http://schemas.openxmlformats.org/officeDocument/2006/relationships/hyperlink" Target="https://www.amazon.com.mx/gp/product/B0CRK3LT7F/ref=ppx_od_dt_b_asin_title_s01?ie=UTF8&amp;psc=1" TargetMode="External"/><Relationship Id="rId150" Type="http://schemas.openxmlformats.org/officeDocument/2006/relationships/hyperlink" Target="https://es.aliexpress.com/item/1005004845080762.html?spm=a2g0o.order_detail.order_detail_item.2.7daf39d3B2O1og&amp;gatewayAdapt=glo2esp" TargetMode="External"/><Relationship Id="rId171" Type="http://schemas.openxmlformats.org/officeDocument/2006/relationships/hyperlink" Target="https://super.walmart.com.mx/ip/set-de-juego-hasbro-peppa-pig-y-su-familia-varios-modelos-1-pieza/00501099385889" TargetMode="External"/><Relationship Id="rId12" Type="http://schemas.openxmlformats.org/officeDocument/2006/relationships/hyperlink" Target="https://es.aliexpress.com/item/1005006503358715.html?spm=a2g0o.order_detail.order_detail_item.2.50b239d3m0RnaZ&amp;gatewayAdapt=glo2esp" TargetMode="External"/><Relationship Id="rId33" Type="http://schemas.openxmlformats.org/officeDocument/2006/relationships/hyperlink" Target="https://es.aliexpress.com/item/1005007414040831.html?spm=a2g0o.order_detail.order_detail_item.3.307a39d3U2bf8B&amp;gatewayAdapt=glo2esp" TargetMode="External"/><Relationship Id="rId108" Type="http://schemas.openxmlformats.org/officeDocument/2006/relationships/hyperlink" Target="https://es.aliexpress.com/item/1005007581592447.html?spm=a2g0o.order_detail.order_detail_item.3.454539d3uGZXaU&amp;gatewayAdapt=glo2esp" TargetMode="External"/><Relationship Id="rId129" Type="http://schemas.openxmlformats.org/officeDocument/2006/relationships/hyperlink" Target="https://www.mercadolibre.com.mx/gabbys-dollhouse-gabby-fashionista-spin-master-6065858/p/MLM34920827?pdp_filters=item_id:MLM3184652024" TargetMode="External"/><Relationship Id="rId54" Type="http://schemas.openxmlformats.org/officeDocument/2006/relationships/hyperlink" Target="https://es.aliexpress.com/item/1005005551508277.html?spm=a2g0o.order_detail.order_detail_item.3.6c5239d315X3hY&amp;gatewayAdapt=glo2esp" TargetMode="External"/><Relationship Id="rId75" Type="http://schemas.openxmlformats.org/officeDocument/2006/relationships/hyperlink" Target="https://www.amazon.com.mx/gp/product/B0C2JLMFJ8/ref=ppx_od_dt_b_asin_title_s03?ie=UTF8&amp;psc=1" TargetMode="External"/><Relationship Id="rId96" Type="http://schemas.openxmlformats.org/officeDocument/2006/relationships/hyperlink" Target="https://www.amazon.com.mx/gp/product/B09PB3VC2S/ref=ppx_od_dt_b_asin_title_s00?ie=UTF8&amp;psc=1" TargetMode="External"/><Relationship Id="rId140" Type="http://schemas.openxmlformats.org/officeDocument/2006/relationships/hyperlink" Target="https://www.mercadolibre.com.mx/gabbys-dollhouse-gabby-fashionista-spin-master-6065858/p/MLM34920827?pdp_filters=item_id:MLM3184652024" TargetMode="External"/><Relationship Id="rId161" Type="http://schemas.openxmlformats.org/officeDocument/2006/relationships/hyperlink" Target="https://www.amazon.com.mx/gp/product/B09P4FJQXG/ref=ppx_od_dt_b_asin_title_s00?ie=UTF8&amp;th=1" TargetMode="External"/><Relationship Id="rId6" Type="http://schemas.openxmlformats.org/officeDocument/2006/relationships/hyperlink" Target="https://es.aliexpress.com/item/1005006713634744.html?spm=a2g0o.order_detail.order_detail_item.3.ffd539d3e7eju4&amp;gatewayAdapt=glo2esp" TargetMode="External"/><Relationship Id="rId23" Type="http://schemas.openxmlformats.org/officeDocument/2006/relationships/hyperlink" Target="https://es.aliexpress.com/item/1005006246001915.html?spm=a2g0o.order_detail.order_detail_item.3.174739d3rwZBfB&amp;gatewayAdapt=glo2esp" TargetMode="External"/><Relationship Id="rId28" Type="http://schemas.openxmlformats.org/officeDocument/2006/relationships/hyperlink" Target="https://es.aliexpress.com/item/1005007936744049.html?spm=a2g0o.order_detail.order_detail_item.3.415639d38o4AV5&amp;gatewayAdapt=glo2esp" TargetMode="External"/><Relationship Id="rId49" Type="http://schemas.openxmlformats.org/officeDocument/2006/relationships/hyperlink" Target="https://es.aliexpress.com/item/1005007185216507.html?spm=a2g0o.order_detail.order_detail_item.3.607939d3IbDfO3&amp;gatewayAdapt=glo2esp" TargetMode="External"/><Relationship Id="rId114" Type="http://schemas.openxmlformats.org/officeDocument/2006/relationships/hyperlink" Target="https://es.aliexpress.com/item/1005007274577898.html?spm=a2g0o.order_detail.order_detail_item.3.3b7c39d3W9VoRs&amp;gatewayAdapt=glo2esp" TargetMode="External"/><Relationship Id="rId119" Type="http://schemas.openxmlformats.org/officeDocument/2006/relationships/hyperlink" Target="https://es.aliexpress.com/item/1005007316431956.html?spm=a2g0o.order_detail.order_detail_item.2.761439d3RBKAsN&amp;gatewayAdapt=glo2esp" TargetMode="External"/><Relationship Id="rId44" Type="http://schemas.openxmlformats.org/officeDocument/2006/relationships/hyperlink" Target="https://es.aliexpress.com/item/1005007260400979.html?spm=a2g0o.order_detail.order_detail_item.3.286739d39wgYi6&amp;gatewayAdapt=glo2esp" TargetMode="External"/><Relationship Id="rId60" Type="http://schemas.openxmlformats.org/officeDocument/2006/relationships/hyperlink" Target="https://es.aliexpress.com/item/1005005394130719.html?spm=a2g0o.order_detail.order_detail_item.3.44d139d3frjJsk&amp;gatewayAdapt=glo2esp" TargetMode="External"/><Relationship Id="rId65" Type="http://schemas.openxmlformats.org/officeDocument/2006/relationships/hyperlink" Target="https://super.walmart.com.mx/ip/mario-kart-8-deluxe-nintendo-switch-edicion-standard/00004549659850" TargetMode="External"/><Relationship Id="rId81" Type="http://schemas.openxmlformats.org/officeDocument/2006/relationships/hyperlink" Target="https://www.amazon.com.mx/gp/product/B0CNJ2CDYW/ref=ppx_od_dt_b_asin_title_s01?ie=UTF8&amp;psc=1" TargetMode="External"/><Relationship Id="rId86" Type="http://schemas.openxmlformats.org/officeDocument/2006/relationships/hyperlink" Target="https://www.amazon.com.mx/gp/product/B07R6N9C14/ref=ppx_od_dt_b_asin_title_s01?ie=UTF8&amp;psc=1" TargetMode="External"/><Relationship Id="rId130" Type="http://schemas.openxmlformats.org/officeDocument/2006/relationships/hyperlink" Target="https://articulo.mercadolibre.com.mx/MLM-2158480303-barbie-cutie-reveal-disfraces-divertidos-oso-delfin-hrk22-_JM?quantity=1" TargetMode="External"/><Relationship Id="rId135" Type="http://schemas.openxmlformats.org/officeDocument/2006/relationships/hyperlink" Target="https://es.aliexpress.com/item/1005007243513126.html?spm=a2g0o.order_detail.order_detail_item.2.49f639d3o1nELL&amp;gatewayAdapt=glo2esp" TargetMode="External"/><Relationship Id="rId151" Type="http://schemas.openxmlformats.org/officeDocument/2006/relationships/hyperlink" Target="https://es.aliexpress.com/item/1005007679671069.html?spm=a2g0o.order_detail.order_detail_item.2.41f339d37cZZrQ&amp;gatewayAdapt=glo2esp" TargetMode="External"/><Relationship Id="rId156" Type="http://schemas.openxmlformats.org/officeDocument/2006/relationships/hyperlink" Target="https://www.amazon.com.mx/gp/product/B09QY385LV/ref=ppx_od_dt_b_asin_title_s00?ie=UTF8&amp;psc=1" TargetMode="External"/><Relationship Id="rId177" Type="http://schemas.openxmlformats.org/officeDocument/2006/relationships/hyperlink" Target="https://articulo.mercadolibre.com.mx/MLM-1700635243-disney-frozen-muneca-reina-anna-frozen-i-_JM?quantity=1" TargetMode="External"/><Relationship Id="rId172" Type="http://schemas.openxmlformats.org/officeDocument/2006/relationships/hyperlink" Target="https://super.walmart.com.mx/ip/muneca-anna-jakks-disney-frozen/00019299520632" TargetMode="External"/><Relationship Id="rId13" Type="http://schemas.openxmlformats.org/officeDocument/2006/relationships/hyperlink" Target="https://es.aliexpress.com/item/1005006844147386.html?spm=a2g0o.order_detail.order_detail_item.2.17bd39d30IzZBd&amp;gatewayAdapt=glo2esp" TargetMode="External"/><Relationship Id="rId18" Type="http://schemas.openxmlformats.org/officeDocument/2006/relationships/hyperlink" Target="https://es.aliexpress.com/item/1005007058031823.html?spm=a2g0o.order_detail.order_detail_item.3.50b339d3SMqpeW&amp;gatewayAdapt=glo2esp" TargetMode="External"/><Relationship Id="rId39" Type="http://schemas.openxmlformats.org/officeDocument/2006/relationships/hyperlink" Target="https://es.aliexpress.com/item/1005006904020926.html?spm=a2g0o.order_detail.order_detail_item.3.560b39d3UjoltZ&amp;gatewayAdapt=glo2esp" TargetMode="External"/><Relationship Id="rId109" Type="http://schemas.openxmlformats.org/officeDocument/2006/relationships/hyperlink" Target="https://es.aliexpress.com/item/1005007316431956.html?spm=a2g0o.order_detail.order_detail_item.3.70fb39d3wN7omW&amp;gatewayAdapt=glo2esp" TargetMode="External"/><Relationship Id="rId34" Type="http://schemas.openxmlformats.org/officeDocument/2006/relationships/hyperlink" Target="https://es.aliexpress.com/item/1005007543920363.html?spm=a2g0o.order_detail.order_detail_item.3.2e2739d3ttplDk&amp;gatewayAdapt=glo2esp" TargetMode="External"/><Relationship Id="rId50" Type="http://schemas.openxmlformats.org/officeDocument/2006/relationships/hyperlink" Target="https://es.aliexpress.com/item/1005005244721781.html?spm=a2g0o.order_detail.order_detail_item.3.322b39d3RBR62i&amp;gatewayAdapt=glo2esp" TargetMode="External"/><Relationship Id="rId55" Type="http://schemas.openxmlformats.org/officeDocument/2006/relationships/hyperlink" Target="https://es.aliexpress.com/item/1005006819881427.html?spm=a2g0o.order_detail.order_detail_item.3.32d439d37XMS2r&amp;gatewayAdapt=glo2esp" TargetMode="External"/><Relationship Id="rId76" Type="http://schemas.openxmlformats.org/officeDocument/2006/relationships/hyperlink" Target="https://www.amazon.com.mx/gp/product/B0BQD5PPX7/ref=ppx_od_dt_b_asin_title_s03?ie=UTF8&amp;psc=1" TargetMode="External"/><Relationship Id="rId97" Type="http://schemas.openxmlformats.org/officeDocument/2006/relationships/hyperlink" Target="https://www.amazon.com.mx/gp/product/B09B2Z2TD6/ref=ppx_od_dt_b_asin_title_s00?ie=UTF8&amp;th=1" TargetMode="External"/><Relationship Id="rId104" Type="http://schemas.openxmlformats.org/officeDocument/2006/relationships/hyperlink" Target="https://www.temu.com/goods.html?_bg_fs=1&amp;goods_id=601099644033123&amp;sku_id=17592693905165&amp;_x_sessn_id=0toxnn4u2q&amp;refer_page_name=bgt_order_detail&amp;refer_page_id=10045_1732218169415_mtf086lu1h&amp;refer_page_sn=10045" TargetMode="External"/><Relationship Id="rId120" Type="http://schemas.openxmlformats.org/officeDocument/2006/relationships/hyperlink" Target="https://es.aliexpress.com/item/1005007842298842.html?spm=a2g0o.order_detail.order_detail_item.2.3a5339d3Prud7P&amp;gatewayAdapt=glo2esp" TargetMode="External"/><Relationship Id="rId125" Type="http://schemas.openxmlformats.org/officeDocument/2006/relationships/hyperlink" Target="https://es.aliexpress.com/item/1005007790485651.html?spm=a2g0o.order_detail.order_detail_item.2.166139d3LtIfbS&amp;gatewayAdapt=glo2esp" TargetMode="External"/><Relationship Id="rId141" Type="http://schemas.openxmlformats.org/officeDocument/2006/relationships/hyperlink" Target="https://es.aliexpress.com/item/1005007531604765.html?spm=a2g0o.order_detail.order_detail_item.3.5d7d39d3L3qbQP&amp;gatewayAdapt=glo2esp" TargetMode="External"/><Relationship Id="rId146" Type="http://schemas.openxmlformats.org/officeDocument/2006/relationships/hyperlink" Target="https://es.aliexpress.com/item/1005008125356865.html?spm=a2g0o.order_list.order_list_main.9.21ef194dcDZSgX&amp;gatewayAdapt=glo2esp" TargetMode="External"/><Relationship Id="rId167" Type="http://schemas.openxmlformats.org/officeDocument/2006/relationships/hyperlink" Target="https://www.amazon.com.mx/gp/product/B07W8JRFXD/ref=ppx_od_dt_b_asin_title_s00?ie=UTF8&amp;psc=1" TargetMode="External"/><Relationship Id="rId7" Type="http://schemas.openxmlformats.org/officeDocument/2006/relationships/hyperlink" Target="https://es.aliexpress.com/item/1005006121862154.html?spm=a2g0o.order_detail.order_detail_item.2.588c39d3qvBXqd&amp;gatewayAdapt=glo2esp" TargetMode="External"/><Relationship Id="rId71" Type="http://schemas.openxmlformats.org/officeDocument/2006/relationships/hyperlink" Target="https://despensa.bodegaaurrera.com.mx/ip/Pista%20de%20juguete%20Hot%20Wheels%20City%20N%C3%A9mesis%20Cocodrilo/00019473510963" TargetMode="External"/><Relationship Id="rId92" Type="http://schemas.openxmlformats.org/officeDocument/2006/relationships/hyperlink" Target="https://www.amazon.com.mx/gp/product/B09DHPCVDH/ref=ppx_od_dt_b_asin_title_s00?ie=UTF8&amp;psc=1" TargetMode="External"/><Relationship Id="rId162" Type="http://schemas.openxmlformats.org/officeDocument/2006/relationships/hyperlink" Target="https://www.amazon.com.mx/gp/product/B0CM42KNVB/ref=ppx_od_dt_b_asin_title_s00?ie=UTF8&amp;psc=1" TargetMode="External"/><Relationship Id="rId2" Type="http://schemas.openxmlformats.org/officeDocument/2006/relationships/hyperlink" Target="https://es.aliexpress.com/item/1005006945813324.html?spm=a2g0o.order_detail.order_detail_item.3.4b6239d3ObDATo&amp;gatewayAdapt=glo2esp" TargetMode="External"/><Relationship Id="rId29" Type="http://schemas.openxmlformats.org/officeDocument/2006/relationships/hyperlink" Target="https://es.aliexpress.com/item/1005004182458683.html?spm=a2g0o.order_detail.order_detail_item.2.57b039d35egoii&amp;gatewayAdapt=glo2esp" TargetMode="External"/><Relationship Id="rId24" Type="http://schemas.openxmlformats.org/officeDocument/2006/relationships/hyperlink" Target="https://es.aliexpress.com/item/1005007683017702.html?spm=a2g0o.order_detail.order_detail_item.3.e94739d3N3Se2G&amp;gatewayAdapt=glo2esp" TargetMode="External"/><Relationship Id="rId40" Type="http://schemas.openxmlformats.org/officeDocument/2006/relationships/hyperlink" Target="https://es.aliexpress.com/item/1005007865622878.html?spm=a2g0o.order_detail.order_detail_item.3.7f0539d3hfzu20&amp;gatewayAdapt=glo2esp" TargetMode="External"/><Relationship Id="rId45" Type="http://schemas.openxmlformats.org/officeDocument/2006/relationships/hyperlink" Target="https://es.aliexpress.com/item/1005005171322595.html?spm=a2g0o.order_detail.order_detail_item.3.58d639d3dQZSbR&amp;gatewayAdapt=glo2esp" TargetMode="External"/><Relationship Id="rId66" Type="http://schemas.openxmlformats.org/officeDocument/2006/relationships/hyperlink" Target="https://super.walmart.com.mx/ip/muneca-lol-surprise-omg-de-moda-con-cabello-largo-varios-modelos-1-pieza/00003505198767" TargetMode="External"/><Relationship Id="rId87" Type="http://schemas.openxmlformats.org/officeDocument/2006/relationships/hyperlink" Target="https://www.amazon.com.mx/gp/product/B08ZR65PLQ/ref=ppx_od_dt_b_asin_title_s01?ie=UTF8&amp;psc=1" TargetMode="External"/><Relationship Id="rId110" Type="http://schemas.openxmlformats.org/officeDocument/2006/relationships/hyperlink" Target="https://es.aliexpress.com/item/1005007520252481.html?spm=a2g0o.order_detail.order_detail_item.3.645839d350rTbX&amp;gatewayAdapt=glo2esp" TargetMode="External"/><Relationship Id="rId115" Type="http://schemas.openxmlformats.org/officeDocument/2006/relationships/hyperlink" Target="https://es.aliexpress.com/item/1005006194883232.html?spm=a2g0o.order_detail.order_detail_item.3.2a9039d37dMn6U&amp;gatewayAdapt=glo2esp" TargetMode="External"/><Relationship Id="rId131" Type="http://schemas.openxmlformats.org/officeDocument/2006/relationships/hyperlink" Target="https://es.aliexpress.com/item/1005007656655494.html?spm=a2g0o.order_detail.order_detail_item.2.17ed39d3xBFLI6&amp;gatewayAdapt=glo2esp" TargetMode="External"/><Relationship Id="rId136" Type="http://schemas.openxmlformats.org/officeDocument/2006/relationships/hyperlink" Target="https://es.aliexpress.com/item/1005007370353163.html?spm=a2g0o.order_detail.order_detail_item.2.42c739d3i1FsYw&amp;gatewayAdapt=glo2esp" TargetMode="External"/><Relationship Id="rId157" Type="http://schemas.openxmlformats.org/officeDocument/2006/relationships/hyperlink" Target="https://www.amazon.com.mx/gp/product/B06ZYH6RQZ/ref=ppx_od_dt_b_asin_title_s00?ie=UTF8&amp;th=1" TargetMode="External"/><Relationship Id="rId178" Type="http://schemas.openxmlformats.org/officeDocument/2006/relationships/image" Target="../media/image1.png"/><Relationship Id="rId61" Type="http://schemas.openxmlformats.org/officeDocument/2006/relationships/hyperlink" Target="https://es.aliexpress.com/item/1005005394130719.html?spm=a2g0o.order_detail.order_detail_item.3.727139d38FWT23&amp;gatewayAdapt=glo2esp" TargetMode="External"/><Relationship Id="rId82" Type="http://schemas.openxmlformats.org/officeDocument/2006/relationships/hyperlink" Target="https://www.amazon.com.mx/gp/product/B09D42RQG7/ref=ppx_od_dt_b_asin_title_s01?ie=UTF8&amp;th=1" TargetMode="External"/><Relationship Id="rId152" Type="http://schemas.openxmlformats.org/officeDocument/2006/relationships/hyperlink" Target="https://es.aliexpress.com/item/1005007480923557.html?spm=a2g0o.order_detail.order_detail_item.2.117139d3USzU9d&amp;gatewayAdapt=glo2esp" TargetMode="External"/><Relationship Id="rId173" Type="http://schemas.openxmlformats.org/officeDocument/2006/relationships/hyperlink" Target="https://www.mercadolibre.com.mx/disney-princesa-muneca-mini-cenicienta-9cm/p/MLM23261296?pdp_filters=item_id:MLM2048107715" TargetMode="External"/><Relationship Id="rId19" Type="http://schemas.openxmlformats.org/officeDocument/2006/relationships/hyperlink" Target="https://es.aliexpress.com/item/1005007301255998.html?spm=a2g0o.order_detail.order_detail_item.3.50a339d3JCljeH&amp;gatewayAdapt=glo2esp" TargetMode="External"/><Relationship Id="rId14" Type="http://schemas.openxmlformats.org/officeDocument/2006/relationships/hyperlink" Target="https://es.aliexpress.com/item/1005007005120065.html?spm=a2g0o.order_detail.order_detail_item.2.2a1a39d3xsAsGa&amp;gatewayAdapt=glo2esp" TargetMode="External"/><Relationship Id="rId30" Type="http://schemas.openxmlformats.org/officeDocument/2006/relationships/hyperlink" Target="https://es.aliexpress.com/item/1005007538575393.html?spm=a2g0o.order_detail.order_detail_item.3.673d39d3LAkVwo&amp;gatewayAdapt=glo2esp" TargetMode="External"/><Relationship Id="rId35" Type="http://schemas.openxmlformats.org/officeDocument/2006/relationships/hyperlink" Target="https://es.aliexpress.com/item/1005007287714020.html?spm=a2g0o.order_detail.order_detail_item.3.ac2839d3XD7HNU&amp;gatewayAdapt=glo2esp" TargetMode="External"/><Relationship Id="rId56" Type="http://schemas.openxmlformats.org/officeDocument/2006/relationships/hyperlink" Target="https://es.aliexpress.com/item/1005007568476773.html?spm=a2g0o.order_detail.order_detail_item.3.47fc39d3ms16a6&amp;gatewayAdapt=glo2esp" TargetMode="External"/><Relationship Id="rId77" Type="http://schemas.openxmlformats.org/officeDocument/2006/relationships/hyperlink" Target="https://www.amazon.com.mx/gp/product/B08ZR65PLQ/ref=ppx_od_dt_b_asin_title_s03?ie=UTF8&amp;psc=1" TargetMode="External"/><Relationship Id="rId100" Type="http://schemas.openxmlformats.org/officeDocument/2006/relationships/hyperlink" Target="https://es.aliexpress.com/item/1005006353698259.html?spm=a2g0o.order_detail.order_detail_item.3.410839d3KdwiFM&amp;gatewayAdapt=glo2esp" TargetMode="External"/><Relationship Id="rId105" Type="http://schemas.openxmlformats.org/officeDocument/2006/relationships/hyperlink" Target="https://www.temu.com/goods_snapshot.html?goods_id=601099723967933&amp;title=Details&amp;_x_sessn_id=0toxnn4u2q&amp;refer_page_name=goods&amp;refer_page_id=10032_1732218258274_nlkclehbl3&amp;refer_page_sn=10032" TargetMode="External"/><Relationship Id="rId126" Type="http://schemas.openxmlformats.org/officeDocument/2006/relationships/hyperlink" Target="https://es.aliexpress.com/item/1005006824765260.html?spm=a2g0o.order_detail.order_detail_item.2.325839d3R996vc&amp;gatewayAdapt=glo2esp" TargetMode="External"/><Relationship Id="rId147" Type="http://schemas.openxmlformats.org/officeDocument/2006/relationships/hyperlink" Target="https://es.aliexpress.com/item/1005008089391380.html?spm=a2g0o.order_detail.order_detail_item.2.483d39d3jjTm1s&amp;gatewayAdapt=glo2esp" TargetMode="External"/><Relationship Id="rId168" Type="http://schemas.openxmlformats.org/officeDocument/2006/relationships/hyperlink" Target="https://www.amazon.com.mx/gp/product/B0DBRJJML4/ref=ppx_od_dt_b_asin_title_s00?ie=UTF8&amp;psc=1" TargetMode="External"/><Relationship Id="rId8" Type="http://schemas.openxmlformats.org/officeDocument/2006/relationships/hyperlink" Target="https://es.aliexpress.com/item/1005007153075704.html?spm=a2g0o.order_detail.order_detail_item.2.27fd39d3fWa536&amp;gatewayAdapt=glo2esp" TargetMode="External"/><Relationship Id="rId51" Type="http://schemas.openxmlformats.org/officeDocument/2006/relationships/hyperlink" Target="https://es.aliexpress.com/item/1005007507448785.html?spm=a2g0o.order_detail.order_detail_item.3.4dc139d3u22IpM&amp;gatewayAdapt=glo2esp" TargetMode="External"/><Relationship Id="rId72" Type="http://schemas.openxmlformats.org/officeDocument/2006/relationships/hyperlink" Target="https://despensa.bodegaaurrera.com.mx/ip/Mu%C3%B1eca%20Mattel%20Disney%20Frozen%20Reina%20Elsa%20Frozen%20II/00019473512079" TargetMode="External"/><Relationship Id="rId93" Type="http://schemas.openxmlformats.org/officeDocument/2006/relationships/hyperlink" Target="https://www.amazon.com.mx/gp/product/B09V5RGR8L/ref=ppx_od_dt_b_asin_title_s00?ie=UTF8&amp;psc=1" TargetMode="External"/><Relationship Id="rId98" Type="http://schemas.openxmlformats.org/officeDocument/2006/relationships/hyperlink" Target="https://www.amazon.com.mx/gp/product/B07R9ZHX96/ref=ppx_od_dt_b_asin_title_s00?ie=UTF8&amp;psc=1" TargetMode="External"/><Relationship Id="rId121" Type="http://schemas.openxmlformats.org/officeDocument/2006/relationships/hyperlink" Target="https://es.aliexpress.com/item/1005007370398046.html?spm=a2g0o.order_detail.order_detail_item.2.5e2439d3Sl1grt&amp;gatewayAdapt=glo2esp" TargetMode="External"/><Relationship Id="rId142" Type="http://schemas.openxmlformats.org/officeDocument/2006/relationships/hyperlink" Target="https://es.aliexpress.com/item/1005007337603845.html?spm=a2g0o.order_detail.order_detail_item.2.550e39d3lRDDRa&amp;gatewayAdapt=glo2esp" TargetMode="External"/><Relationship Id="rId163" Type="http://schemas.openxmlformats.org/officeDocument/2006/relationships/hyperlink" Target="https://www.amazon.com.mx/gp/product/B0CSV6VL94/ref=ppx_od_dt_b_asin_title_s00?ie=UTF8&amp;psc=1" TargetMode="External"/><Relationship Id="rId3" Type="http://schemas.openxmlformats.org/officeDocument/2006/relationships/hyperlink" Target="https://es.aliexpress.com/item/1005007180525135.html?spm=a2g0o.order_detail.order_detail_item.3.594e39d3Zb6K0o&amp;gatewayAdapt=glo2esp" TargetMode="External"/><Relationship Id="rId25" Type="http://schemas.openxmlformats.org/officeDocument/2006/relationships/hyperlink" Target="https://es.aliexpress.com/item/1005007798501324.html?spm=a2g0o.order_detail.order_detail_item.3.15f839d3D3MYNl&amp;gatewayAdapt=glo2esp" TargetMode="External"/><Relationship Id="rId46" Type="http://schemas.openxmlformats.org/officeDocument/2006/relationships/hyperlink" Target="https://es.aliexpress.com/item/1005007198721207.html?spm=a2g0o.order_detail.order_detail_item.3.53bc39d34gzfDW&amp;gatewayAdapt=glo2esp" TargetMode="External"/><Relationship Id="rId67" Type="http://schemas.openxmlformats.org/officeDocument/2006/relationships/hyperlink" Target="https://super.walmart.com.mx/ip/muneca-lol-surprise-omg-basica-mid-varios-modelos-1-pieza/00003505198576" TargetMode="External"/><Relationship Id="rId116" Type="http://schemas.openxmlformats.org/officeDocument/2006/relationships/hyperlink" Target="https://es.aliexpress.com/item/1005008040798119.html?spm=a2g0o.order_detail.order_detail_item.3.3d7539d3sLvSNZ&amp;gatewayAdapt=glo2esp" TargetMode="External"/><Relationship Id="rId137" Type="http://schemas.openxmlformats.org/officeDocument/2006/relationships/hyperlink" Target="https://es.aliexpress.com/item/1005006199066905.html?spm=a2g0o.order_detail.order_detail_item.2.3bd839d3i4k1Xc&amp;gatewayAdapt=glo2esp" TargetMode="External"/><Relationship Id="rId158" Type="http://schemas.openxmlformats.org/officeDocument/2006/relationships/hyperlink" Target="https://www.amazon.com.mx/gp/product/B07P3G98YN/ref=ppx_od_dt_b_asin_title_s00?ie=UTF8&amp;th=1" TargetMode="External"/><Relationship Id="rId20" Type="http://schemas.openxmlformats.org/officeDocument/2006/relationships/hyperlink" Target="https://es.aliexpress.com/item/1005007659694141.html?spm=a2g0o.order_detail.order_detail_item.3.697539d3dEiHSl&amp;gatewayAdapt=glo2esp" TargetMode="External"/><Relationship Id="rId41" Type="http://schemas.openxmlformats.org/officeDocument/2006/relationships/hyperlink" Target="https://es.aliexpress.com/item/1005007582402576.html?spm=a2g0o.order_detail.order_detail_item.3.214b39d3pYIKlO&amp;gatewayAdapt=glo2esp" TargetMode="External"/><Relationship Id="rId62" Type="http://schemas.openxmlformats.org/officeDocument/2006/relationships/hyperlink" Target="https://es.aliexpress.com/item/1005007161469974.html?spm=a2g0o.order_detail.order_detail_item.3.252b39d3WKqCOu&amp;gatewayAdapt=glo2esp" TargetMode="External"/><Relationship Id="rId83" Type="http://schemas.openxmlformats.org/officeDocument/2006/relationships/hyperlink" Target="https://www.amazon.com.mx/gp/product/B08TTTW6TY/ref=ppx_od_dt_b_asin_title_s01?ie=UTF8&amp;psc=1" TargetMode="External"/><Relationship Id="rId88" Type="http://schemas.openxmlformats.org/officeDocument/2006/relationships/hyperlink" Target="https://www.amazon.com.mx/gp/product/B0BJ2K4278/ref=ppx_od_dt_b_asin_title_s01?ie=UTF8&amp;psc=1" TargetMode="External"/><Relationship Id="rId111" Type="http://schemas.openxmlformats.org/officeDocument/2006/relationships/hyperlink" Target="https://es.aliexpress.com/item/1005008040798119.html?spm=a2g0o.order_detail.order_detail_item.3.2fe439d3wapuBW&amp;gatewayAdapt=glo2esp" TargetMode="External"/><Relationship Id="rId132" Type="http://schemas.openxmlformats.org/officeDocument/2006/relationships/hyperlink" Target="https://es.aliexpress.com/item/1005007561389721.html?spm=a2g0o.order_detail.order_detail_item.2.71be39d3r7Eanf&amp;gatewayAdapt=glo2esp" TargetMode="External"/><Relationship Id="rId153" Type="http://schemas.openxmlformats.org/officeDocument/2006/relationships/hyperlink" Target="https://es.aliexpress.com/item/1005006713634744.html?spm=a2g0o.order_detail.order_detail_item.3.ffd539d3e7eju4&amp;gatewayAdapt=glo2esp" TargetMode="External"/><Relationship Id="rId174" Type="http://schemas.openxmlformats.org/officeDocument/2006/relationships/hyperlink" Target="https://www.mercadolibre.com.mx/funko-pop-luffy-gear-five-1607-one-piece/p/MLM36779942?pdp_filters=item_id:MLM2079481703" TargetMode="External"/><Relationship Id="rId15" Type="http://schemas.openxmlformats.org/officeDocument/2006/relationships/hyperlink" Target="https://es.aliexpress.com/item/1005006996022017.html?spm=a2g0o.order_detail.order_detail_item.2.43f139d3dgdmSa&amp;gatewayAdapt=glo2esp" TargetMode="External"/><Relationship Id="rId36" Type="http://schemas.openxmlformats.org/officeDocument/2006/relationships/hyperlink" Target="https://es.aliexpress.com/item/1005007934620367.html?spm=a2g0o.order_detail.order_detail_item.3.575e39d3UT6BpT&amp;gatewayAdapt=glo2esp" TargetMode="External"/><Relationship Id="rId57" Type="http://schemas.openxmlformats.org/officeDocument/2006/relationships/hyperlink" Target="https://es.aliexpress.com/item/1005006586074264.html?spm=a2g0o.order_detail.order_detail_item.3.1fdb39d3V90gHX&amp;gatewayAdapt=glo2esp" TargetMode="External"/><Relationship Id="rId106" Type="http://schemas.openxmlformats.org/officeDocument/2006/relationships/hyperlink" Target="https://www.temu.com/goods.html?_bg_fs=1&amp;goods_id=601099682735450&amp;sku_id=17592843547792&amp;_x_sessn_id=0toxnn4u2q&amp;refer_page_name=bgt_order_detail&amp;refer_page_id=10045_1732218321716_kxi5e3vvv8&amp;refer_page_sn=10045" TargetMode="External"/><Relationship Id="rId127" Type="http://schemas.openxmlformats.org/officeDocument/2006/relationships/hyperlink" Target="https://es.aliexpress.com/item/1005007790485651.html?spm=a2g0o.order_detail.order_detail_item.2.57a739d33SOBqb&amp;gatewayAdapt=glo2esp" TargetMode="External"/><Relationship Id="rId10" Type="http://schemas.openxmlformats.org/officeDocument/2006/relationships/hyperlink" Target="https://es.aliexpress.com/item/1005007448659063.html?spm=a2g0o.order_detail.order_detail_item.2.764839d3AMd67y&amp;gatewayAdapt=glo2esp" TargetMode="External"/><Relationship Id="rId31" Type="http://schemas.openxmlformats.org/officeDocument/2006/relationships/hyperlink" Target="https://es.aliexpress.com/item/1005005189057349.html?spm=a2g0o.order_detail.order_detail_item.3.4dfa39d3QCCVhp&amp;gatewayAdapt=glo2esp" TargetMode="External"/><Relationship Id="rId52" Type="http://schemas.openxmlformats.org/officeDocument/2006/relationships/hyperlink" Target="https://es.aliexpress.com/item/1005007790076559.html?spm=a2g0o.order_detail.order_detail_item.3.19c939d3dZW6vk&amp;gatewayAdapt=glo2esp" TargetMode="External"/><Relationship Id="rId73" Type="http://schemas.openxmlformats.org/officeDocument/2006/relationships/hyperlink" Target="https://despensa.bodegaaurrera.com.mx/ip/Mu%C3%B1eca%20Barbie%20A%20Touch%20of%20Magic%20Malib%C3%BA/00019473527765" TargetMode="External"/><Relationship Id="rId78" Type="http://schemas.openxmlformats.org/officeDocument/2006/relationships/hyperlink" Target="https://www.amazon.com.mx/gp/product/B08TTS7VP3/ref=ppx_od_dt_b_asin_title_s03?ie=UTF8&amp;psc=1" TargetMode="External"/><Relationship Id="rId94" Type="http://schemas.openxmlformats.org/officeDocument/2006/relationships/hyperlink" Target="https://www.amazon.com.mx/gp/product/B09RVBT2BJ/ref=ppx_od_dt_b_asin_title_s00?ie=UTF8&amp;psc=1" TargetMode="External"/><Relationship Id="rId99" Type="http://schemas.openxmlformats.org/officeDocument/2006/relationships/hyperlink" Target="https://www.amazon.com.mx/gp/product/B0B2JR3SPG/ref=ppx_od_dt_b_asin_title_s00?ie=UTF8&amp;th=1" TargetMode="External"/><Relationship Id="rId101" Type="http://schemas.openxmlformats.org/officeDocument/2006/relationships/hyperlink" Target="https://www.amazon.com.mx/gp/product/B076DPSZ8S/ref=ppx_od_dt_b_asin_image_s00?ie=UTF8&amp;psc=1" TargetMode="External"/><Relationship Id="rId122" Type="http://schemas.openxmlformats.org/officeDocument/2006/relationships/hyperlink" Target="https://es.aliexpress.com/item/1005007264899225.html?spm=a2g0o.order_detail.order_detail_item.2.27a839d3S2Cyuz&amp;gatewayAdapt=glo2esp" TargetMode="External"/><Relationship Id="rId143" Type="http://schemas.openxmlformats.org/officeDocument/2006/relationships/hyperlink" Target="https://es.aliexpress.com/item/1005007001514593.html?spm=a2g0o.order_detail.order_detail_item.3.100b39d3NIaXmY&amp;gatewayAdapt=glo2esp" TargetMode="External"/><Relationship Id="rId148" Type="http://schemas.openxmlformats.org/officeDocument/2006/relationships/hyperlink" Target="https://es.aliexpress.com/item/1005006020974399.html?spm=a2g0o.order_detail.order_detail_item.2.2f4539d3u7XLrf&amp;gatewayAdapt=glo2esp" TargetMode="External"/><Relationship Id="rId164" Type="http://schemas.openxmlformats.org/officeDocument/2006/relationships/hyperlink" Target="https://www.amazon.com.mx/gp/product/B08HBC7P3R/ref=ppx_od_dt_b_asin_title_s00?ie=UTF8&amp;psc=1" TargetMode="External"/><Relationship Id="rId169" Type="http://schemas.openxmlformats.org/officeDocument/2006/relationships/hyperlink" Target="https://www.amazon.com.mx/gp/product/B0BPZYQ688/ref=ppx_od_dt_b_asin_title_s00?ie=UTF8&amp;psc=1" TargetMode="External"/><Relationship Id="rId4" Type="http://schemas.openxmlformats.org/officeDocument/2006/relationships/hyperlink" Target="https://es.aliexpress.com/item/1005007084100352.html?spm=a2g0o.order_detail.order_detail_item.3.339939d3a3UZP6&amp;gatewayAdapt=glo2esp" TargetMode="External"/><Relationship Id="rId9" Type="http://schemas.openxmlformats.org/officeDocument/2006/relationships/hyperlink" Target="https://es.aliexpress.com/item/1005007425031187.html?spm=a2g0o.order_detail.order_detail_item.2.203439d3Dbe8tp&amp;gatewayAdapt=glo2esp" TargetMode="External"/><Relationship Id="rId26" Type="http://schemas.openxmlformats.org/officeDocument/2006/relationships/hyperlink" Target="https://es.aliexpress.com/item/1005007545592775.html?spm=a2g0o.order_detail.order_detail_item.3.536239d3XmcqSI&amp;gatewayAdapt=glo2esp" TargetMode="External"/><Relationship Id="rId47" Type="http://schemas.openxmlformats.org/officeDocument/2006/relationships/hyperlink" Target="https://es.aliexpress.com/item/1005006114904964.html?spm=a2g0o.order_detail.order_detail_item.3.68da39d3FgNUPP&amp;gatewayAdapt=glo2esp" TargetMode="External"/><Relationship Id="rId68" Type="http://schemas.openxmlformats.org/officeDocument/2006/relationships/hyperlink" Target="https://super.walmart.com.mx/ip/set-de-juego-polly-pocket-core-hospital-movil-de-animalitos/00088796176797" TargetMode="External"/><Relationship Id="rId89" Type="http://schemas.openxmlformats.org/officeDocument/2006/relationships/hyperlink" Target="https://www.amazon.com.mx/gp/product/B017ODFUX2/ref=ppx_od_dt_b_asin_title_s00?ie=UTF8&amp;psc=1" TargetMode="External"/><Relationship Id="rId112" Type="http://schemas.openxmlformats.org/officeDocument/2006/relationships/hyperlink" Target="https://es.aliexpress.com/item/1005007408276736.html?spm=a2g0o.order_detail.order_detail_item.3.50dc39d3hvhU1H&amp;gatewayAdapt=glo2esp" TargetMode="External"/><Relationship Id="rId133" Type="http://schemas.openxmlformats.org/officeDocument/2006/relationships/hyperlink" Target="https://es.aliexpress.com/item/1005006237299358.html?spm=a2g0o.order_detail.order_detail_item.2.5c0e39d3zJB7Li&amp;gatewayAdapt=glo2esp" TargetMode="External"/><Relationship Id="rId154" Type="http://schemas.openxmlformats.org/officeDocument/2006/relationships/hyperlink" Target="https://www.amazon.com.mx/gp/product/B09JM9H89T/ref=ppx_od_dt_b_asin_title_s00?ie=UTF8&amp;psc=1" TargetMode="External"/><Relationship Id="rId175" Type="http://schemas.openxmlformats.org/officeDocument/2006/relationships/hyperlink" Target="https://articulo.mercadolibre.com.mx/MLM-1700660210-disney-princesa-muneca-mini-rapunzel-9cm-_JM?quantity=1" TargetMode="External"/><Relationship Id="rId16" Type="http://schemas.openxmlformats.org/officeDocument/2006/relationships/hyperlink" Target="https://es.aliexpress.com/item/1005007043669095.html?spm=a2g0o.order_detail.order_detail_item.2.5c9d39d3LI0fiG&amp;gatewayAdapt=glo2esp" TargetMode="External"/><Relationship Id="rId37" Type="http://schemas.openxmlformats.org/officeDocument/2006/relationships/hyperlink" Target="https://es.aliexpress.com/item/1005007934620367.html?spm=a2g0o.order_detail.order_detail_item.3.973a39d3v1cww7&amp;gatewayAdapt=glo2esp" TargetMode="External"/><Relationship Id="rId58" Type="http://schemas.openxmlformats.org/officeDocument/2006/relationships/hyperlink" Target="https://es.aliexpress.com/item/1005006720549408.html?spm=a2g0o.order_detail.order_detail_item.3.7cf439d3vErxps&amp;gatewayAdapt=glo2esp" TargetMode="External"/><Relationship Id="rId79" Type="http://schemas.openxmlformats.org/officeDocument/2006/relationships/hyperlink" Target="https://www.amazon.com.mx/gp/product/B000B6MKMO/ref=ppx_od_dt_b_asin_title_s03?ie=UTF8&amp;psc=1" TargetMode="External"/><Relationship Id="rId102" Type="http://schemas.openxmlformats.org/officeDocument/2006/relationships/hyperlink" Target="https://www.temu.com/goods.html?_bg_fs=1&amp;goods_id=601099589109027&amp;sku_id=17592494428984&amp;_x_sessn_id=0toxnn4u2q&amp;refer_page_name=bgt_order_detail&amp;refer_page_id=10045_1732217905275_vfo8cg5r6c&amp;refer_page_sn=10045" TargetMode="External"/><Relationship Id="rId123" Type="http://schemas.openxmlformats.org/officeDocument/2006/relationships/hyperlink" Target="https://es.aliexpress.com/item/1005006824765260.html?spm=a2g0o.order_detail.order_detail_item.2.3cca39d3bI9udt&amp;gatewayAdapt=glo2esp" TargetMode="External"/><Relationship Id="rId144" Type="http://schemas.openxmlformats.org/officeDocument/2006/relationships/hyperlink" Target="https://es.aliexpress.com/item/1005007662755365.html?spm=a2g0o.order_detail.order_detail_item.2.35c039d3lbRt1Z&amp;gatewayAdapt=glo2esp" TargetMode="External"/><Relationship Id="rId90" Type="http://schemas.openxmlformats.org/officeDocument/2006/relationships/hyperlink" Target="https://www.amazon.com.mx/gp/product/B09DL9NGJP/ref=ppx_od_dt_b_asin_title_s02?ie=UTF8&amp;psc=1" TargetMode="External"/><Relationship Id="rId165" Type="http://schemas.openxmlformats.org/officeDocument/2006/relationships/hyperlink" Target="https://www.amazon.com.mx/gp/product/B071GPJVTQ/ref=ppx_od_dt_b_asin_title_s00?ie=UTF8&amp;psc=1" TargetMode="External"/><Relationship Id="rId27" Type="http://schemas.openxmlformats.org/officeDocument/2006/relationships/hyperlink" Target="https://es.aliexpress.com/item/1005006596764084.html?spm=a2g0o.order_detail.order_detail_item.3.74a939d3K24Jtr&amp;gatewayAdapt=glo2esp" TargetMode="External"/><Relationship Id="rId48" Type="http://schemas.openxmlformats.org/officeDocument/2006/relationships/hyperlink" Target="https://es.aliexpress.com/item/1005006007888391.html?spm=a2g0o.order_detail.order_detail_item.3.453939d3m6Ty0m&amp;gatewayAdapt=glo2esp" TargetMode="External"/><Relationship Id="rId69" Type="http://schemas.openxmlformats.org/officeDocument/2006/relationships/hyperlink" Target="https://super.walmart.com.mx/ip/juguete-de-construccion-mega-bloks-disney-comando-estelar/00019473507245" TargetMode="External"/><Relationship Id="rId113" Type="http://schemas.openxmlformats.org/officeDocument/2006/relationships/hyperlink" Target="https://es.aliexpress.com/item/1005007351539233.html?spm=a2g0o.order_detail.order_detail_item.3.3ccf39d3Nb6dSV&amp;gatewayAdapt=glo2esp" TargetMode="External"/><Relationship Id="rId134" Type="http://schemas.openxmlformats.org/officeDocument/2006/relationships/hyperlink" Target="https://es.aliexpress.com/item/1005007606878654.html?spm=a2g0o.order_detail.order_detail_item.2.2b7139d3qyQjPB&amp;gatewayAdapt=glo2esp" TargetMode="External"/><Relationship Id="rId80" Type="http://schemas.openxmlformats.org/officeDocument/2006/relationships/hyperlink" Target="https://www.amazon.com.mx/gp/product/B08V579PXJ/ref=ppx_od_dt_b_asin_title_s02?ie=UTF8&amp;th=1" TargetMode="External"/><Relationship Id="rId155" Type="http://schemas.openxmlformats.org/officeDocument/2006/relationships/hyperlink" Target="https://www.amazon.com.mx/gp/product/B076DPSZ8S/ref=ppx_od_dt_b_asin_image_s00?ie=UTF8&amp;psc=1" TargetMode="External"/><Relationship Id="rId176" Type="http://schemas.openxmlformats.org/officeDocument/2006/relationships/hyperlink" Target="https://www.mercadolibre.com.mx/amiibo-wedding-mario-super-mario-odyssey/p/MLM38118592" TargetMode="External"/><Relationship Id="rId17" Type="http://schemas.openxmlformats.org/officeDocument/2006/relationships/hyperlink" Target="https://es.aliexpress.com/item/1005005825451775.html?spm=a2g0o.order_detail.order_detail_item.2.6e6639d3NPETJj&amp;gatewayAdapt=glo2esp" TargetMode="External"/><Relationship Id="rId38" Type="http://schemas.openxmlformats.org/officeDocument/2006/relationships/hyperlink" Target="https://es.aliexpress.com/item/1005006904020926.html?spm=a2g0o.order_detail.order_detail_item.3.60d039d3loHqUc&amp;gatewayAdapt=glo2esp" TargetMode="External"/><Relationship Id="rId59" Type="http://schemas.openxmlformats.org/officeDocument/2006/relationships/hyperlink" Target="https://es.aliexpress.com/item/1005007505895089.html?spm=a2g0o.order_detail.order_detail_item.3.3e4e39d38dMvBm&amp;gatewayAdapt=glo2esp" TargetMode="External"/><Relationship Id="rId103" Type="http://schemas.openxmlformats.org/officeDocument/2006/relationships/hyperlink" Target="https://www.temu.com/goods.html?_bg_fs=1&amp;goods_id=601099515430630&amp;sku_id=17592208421244&amp;_x_sessn_id=0toxnn4u2q&amp;refer_page_name=bgt_order_detail&amp;refer_page_id=10045_1732218074054_nppp0l4jw8&amp;refer_page_sn=10045" TargetMode="External"/><Relationship Id="rId124" Type="http://schemas.openxmlformats.org/officeDocument/2006/relationships/hyperlink" Target="https://es.aliexpress.com/item/1005007264899225.html?spm=a2g0o.order_detail.order_detail_item.2.6f9039d3M4Icyw&amp;gatewayAdapt=glo2esp" TargetMode="External"/><Relationship Id="rId70" Type="http://schemas.openxmlformats.org/officeDocument/2006/relationships/hyperlink" Target="https://super.walmart.com.mx/ip/set-hot-wheels-mattel-de-5-vehiculos-varios-modelos-1-set/00007429901806" TargetMode="External"/><Relationship Id="rId91" Type="http://schemas.openxmlformats.org/officeDocument/2006/relationships/hyperlink" Target="https://www.amazon.com.mx/gp/product/B0CFZQL3DV/ref=ppx_od_dt_b_asin_title_s01?ie=UTF8&amp;th=1" TargetMode="External"/><Relationship Id="rId145" Type="http://schemas.openxmlformats.org/officeDocument/2006/relationships/hyperlink" Target="https://es.aliexpress.com/item/1005008204391117.html?spm=a2g0o.order_detail.order_detail_item.2.2c4439d3DYxIgZ&amp;gatewayAdapt=glo2esp" TargetMode="External"/><Relationship Id="rId166" Type="http://schemas.openxmlformats.org/officeDocument/2006/relationships/hyperlink" Target="https://www.amazon.com.mx/gp/product/B083MCTX7F/ref=ppx_od_dt_b_asin_title_s00?ie=UTF8&amp;th=1" TargetMode="External"/><Relationship Id="rId1" Type="http://schemas.openxmlformats.org/officeDocument/2006/relationships/hyperlink" Target="https://es.aliexpress.com/item/1005007264244964.html?spm=a2g0o.order_detail.order_detail_item.3.304f39d364SaIW&amp;gatewayAdapt=glo2es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pmaqOWT0wOkfI1EKnhixGVQ_KDURMHcd/view?usp=drive_link" TargetMode="External"/><Relationship Id="rId21" Type="http://schemas.openxmlformats.org/officeDocument/2006/relationships/hyperlink" Target="https://drive.google.com/file/d/1pMiEgtd5__8q5mur8rhRvJ4mt_QnKIU6/view?usp=drive_link" TargetMode="External"/><Relationship Id="rId42" Type="http://schemas.openxmlformats.org/officeDocument/2006/relationships/hyperlink" Target="https://drive.google.com/file/d/1ZVCVnOGHFLnA5AuG6Cz6XOJs6OJIt1nr/view?usp=drive_link" TargetMode="External"/><Relationship Id="rId63" Type="http://schemas.openxmlformats.org/officeDocument/2006/relationships/hyperlink" Target="https://drive.google.com/file/d/13NqbOndubha920nSpMY1NJrqt9QetZEx/view?usp=drive_link" TargetMode="External"/><Relationship Id="rId84" Type="http://schemas.openxmlformats.org/officeDocument/2006/relationships/hyperlink" Target="https://drive.google.com/file/d/139VTMMWa_B7VPjwtOJviOg-SbrGV5xP7/view?usp=drive_link" TargetMode="External"/><Relationship Id="rId138" Type="http://schemas.openxmlformats.org/officeDocument/2006/relationships/hyperlink" Target="https://drive.google.com/file/d/1irbT4TQjZ0031tdw97flAFAm8TZYcqLm/view?usp=drive_link" TargetMode="External"/><Relationship Id="rId159" Type="http://schemas.openxmlformats.org/officeDocument/2006/relationships/hyperlink" Target="https://drive.google.com/file/d/1EH4n9XAV1kvXLRdNshO7baF9xGzG272q/view?usp=drive_link" TargetMode="External"/><Relationship Id="rId170" Type="http://schemas.openxmlformats.org/officeDocument/2006/relationships/hyperlink" Target="https://drive.google.com/file/d/1H3MItFudXjPuVJ8dogNrHt2JoiGuGNUZ/view?usp=drive_link" TargetMode="External"/><Relationship Id="rId191" Type="http://schemas.openxmlformats.org/officeDocument/2006/relationships/hyperlink" Target="https://drive.google.com/file/d/1yijKE0OHngIgyi-pNMaWiKtOOLv7S8Af/view?usp=drive_link" TargetMode="External"/><Relationship Id="rId107" Type="http://schemas.openxmlformats.org/officeDocument/2006/relationships/hyperlink" Target="https://drive.google.com/file/d/1lg_0OQgBA-t-y1QQlgsLYqlHoyfv5Mjl/view?usp=drive_link" TargetMode="External"/><Relationship Id="rId11" Type="http://schemas.openxmlformats.org/officeDocument/2006/relationships/hyperlink" Target="https://drive.google.com/file/d/1Xd1ZlunLzqoZ25eSfGVC5ivp1qAY_4QT/view?usp=drive_link" TargetMode="External"/><Relationship Id="rId32" Type="http://schemas.openxmlformats.org/officeDocument/2006/relationships/hyperlink" Target="https://drive.google.com/file/d/1Cg5WvVWZn0El_h2Q7wZ4_7o0CCtUxT8B/view?usp=drive_link" TargetMode="External"/><Relationship Id="rId53" Type="http://schemas.openxmlformats.org/officeDocument/2006/relationships/hyperlink" Target="https://drive.google.com/file/d/1E7-Zac4qJ-wnLnjun0SunCtAHNIqwXVC/view?usp=drive_link" TargetMode="External"/><Relationship Id="rId74" Type="http://schemas.openxmlformats.org/officeDocument/2006/relationships/hyperlink" Target="https://drive.google.com/file/d/1KPOK5JKGVFQQLR4U2YCnWn7_ecem25eJ/view?usp=drive_link" TargetMode="External"/><Relationship Id="rId128" Type="http://schemas.openxmlformats.org/officeDocument/2006/relationships/hyperlink" Target="https://drive.google.com/file/d/1NvynbKP2ndiopTaYi_UpW88cswE6ReZd/view?usp=drive_link" TargetMode="External"/><Relationship Id="rId149" Type="http://schemas.openxmlformats.org/officeDocument/2006/relationships/hyperlink" Target="https://drive.google.com/file/d/1tufSkrViDxyhL0u2qmrBG6UHigBg9wQK/view?usp=drive_link" TargetMode="External"/><Relationship Id="rId5" Type="http://schemas.openxmlformats.org/officeDocument/2006/relationships/hyperlink" Target="https://drive.google.com/file/d/18GATewGeNKu368wNB0FoMN5HkUdSIgIa/view?usp=drive_link" TargetMode="External"/><Relationship Id="rId95" Type="http://schemas.openxmlformats.org/officeDocument/2006/relationships/hyperlink" Target="https://drive.google.com/file/d/1bEZGl2gTF4bVCL6cMCUC3x790myJ4u7z/view?usp=drive_link" TargetMode="External"/><Relationship Id="rId160" Type="http://schemas.openxmlformats.org/officeDocument/2006/relationships/hyperlink" Target="https://drive.google.com/file/d/15n7daj0QWD6T4mOCj5OVce0cMTiBqJZB/view?usp=drive_link" TargetMode="External"/><Relationship Id="rId181" Type="http://schemas.openxmlformats.org/officeDocument/2006/relationships/hyperlink" Target="https://drive.google.com/file/d/19UsIbF3p0TZPfLjL0hvbmAT4_9Y-LTPF/view?usp=drive_link" TargetMode="External"/><Relationship Id="rId22" Type="http://schemas.openxmlformats.org/officeDocument/2006/relationships/hyperlink" Target="https://drive.google.com/file/d/1h5LWpJu25DT6TmqPiC_Ul7aQbHNJvJSm/view?usp=drive_link" TargetMode="External"/><Relationship Id="rId43" Type="http://schemas.openxmlformats.org/officeDocument/2006/relationships/hyperlink" Target="https://drive.google.com/file/d/1Af1OyHLogQQ1eubjMcRkgJWzRRHe8d1x/view?usp=drive_link" TargetMode="External"/><Relationship Id="rId64" Type="http://schemas.openxmlformats.org/officeDocument/2006/relationships/hyperlink" Target="https://drive.google.com/file/d/1rR-RMdz32E6QxUbt05LbLoV5YSzpLQQB/view?usp=drive_link" TargetMode="External"/><Relationship Id="rId118" Type="http://schemas.openxmlformats.org/officeDocument/2006/relationships/hyperlink" Target="https://drive.google.com/file/d/1J9fPEbHcw83O_O5WfYXoaL4ltAQMPkeZ/view?usp=drive_link" TargetMode="External"/><Relationship Id="rId139" Type="http://schemas.openxmlformats.org/officeDocument/2006/relationships/hyperlink" Target="https://drive.google.com/file/d/1TlJK0pCwp3YT_5dlGwvOzzEf_QNGv_QY/view?usp=drive_link" TargetMode="External"/><Relationship Id="rId85" Type="http://schemas.openxmlformats.org/officeDocument/2006/relationships/hyperlink" Target="https://drive.google.com/file/d/1HRFO7tGfFJyPvWtgIWoLDg1QThvgaHTk/view?usp=drive_link" TargetMode="External"/><Relationship Id="rId150" Type="http://schemas.openxmlformats.org/officeDocument/2006/relationships/hyperlink" Target="https://drive.google.com/file/d/1f0SoRmp6moPS4zjekAvINozLbBhEDMgq/view?usp=drive_link" TargetMode="External"/><Relationship Id="rId171" Type="http://schemas.openxmlformats.org/officeDocument/2006/relationships/hyperlink" Target="https://drive.google.com/file/d/1CE-CtEnjQKMnkphdReg2LaWRCkS_6d9C/view?usp=drive_link" TargetMode="External"/><Relationship Id="rId192" Type="http://schemas.openxmlformats.org/officeDocument/2006/relationships/hyperlink" Target="https://drive.google.com/file/d/1sCrrQ_N6ms749Ctwh22LnDoFJhkQMRga/view?usp=drive_link" TargetMode="External"/><Relationship Id="rId12" Type="http://schemas.openxmlformats.org/officeDocument/2006/relationships/hyperlink" Target="https://drive.google.com/file/d/1KIS4f-6wNAwDA85y1IJPmSqU0jOotME7/view?usp=drive_link" TargetMode="External"/><Relationship Id="rId33" Type="http://schemas.openxmlformats.org/officeDocument/2006/relationships/hyperlink" Target="https://drive.google.com/file/d/1Mc4eMWR0GMTWXNTUJd28wAqA1xxJz4Mt/view?usp=drive_link" TargetMode="External"/><Relationship Id="rId108" Type="http://schemas.openxmlformats.org/officeDocument/2006/relationships/hyperlink" Target="https://drive.google.com/file/d/1dkijNyMne-9M-qvaxMvIWSris-sP-fov/view?usp=drive_link" TargetMode="External"/><Relationship Id="rId129" Type="http://schemas.openxmlformats.org/officeDocument/2006/relationships/hyperlink" Target="https://drive.google.com/file/d/1uDxTaoLIjKBIHYYmYohik0mEtesc573t/view?usp=drive_link" TargetMode="External"/><Relationship Id="rId54" Type="http://schemas.openxmlformats.org/officeDocument/2006/relationships/hyperlink" Target="https://drive.google.com/file/d/10V6Y5EhTkMpFuNjpDOEQ0h77FWXtrekm/view?usp=drive_link" TargetMode="External"/><Relationship Id="rId75" Type="http://schemas.openxmlformats.org/officeDocument/2006/relationships/hyperlink" Target="https://drive.google.com/file/d/108jD5dZHZqJZfTN0K3EAbeRIzvxSjnk-/view?usp=drive_link" TargetMode="External"/><Relationship Id="rId96" Type="http://schemas.openxmlformats.org/officeDocument/2006/relationships/hyperlink" Target="https://drive.google.com/file/d/1wyHrIePAjdq3IhjYvOtLGN0TaQZRDnwq/view?usp=drive_link" TargetMode="External"/><Relationship Id="rId140" Type="http://schemas.openxmlformats.org/officeDocument/2006/relationships/hyperlink" Target="https://drive.google.com/file/d/1m_P5l1Z1Wing_IpSgJ1P017CHTA07Ato/view?usp=drive_link" TargetMode="External"/><Relationship Id="rId161" Type="http://schemas.openxmlformats.org/officeDocument/2006/relationships/hyperlink" Target="https://drive.google.com/file/d/1cYeysUmnuAHU7Mm6dkrtNyz57yzndFVq/view?usp=drive_link" TargetMode="External"/><Relationship Id="rId182" Type="http://schemas.openxmlformats.org/officeDocument/2006/relationships/hyperlink" Target="https://drive.google.com/file/d/1cMCw1--1if_6ngwRUESQsTDdzJywT5oP/view?usp=drive_link" TargetMode="External"/><Relationship Id="rId6" Type="http://schemas.openxmlformats.org/officeDocument/2006/relationships/hyperlink" Target="https://drive.google.com/file/d/1aT3p0DNR4m7TH_0dLhbhjXNpQkEpR1Q2/view?usp=drive_link" TargetMode="External"/><Relationship Id="rId23" Type="http://schemas.openxmlformats.org/officeDocument/2006/relationships/hyperlink" Target="https://drive.google.com/file/d/1vnzZ8EZieFhMoiR0X7yhgPbtoLoctYvi/view?usp=drive_link" TargetMode="External"/><Relationship Id="rId119" Type="http://schemas.openxmlformats.org/officeDocument/2006/relationships/hyperlink" Target="https://drive.google.com/file/d/1XIwNFX0d8ss1o_dRvE81PrUqr5aurnie/view?usp=drive_link" TargetMode="External"/><Relationship Id="rId44" Type="http://schemas.openxmlformats.org/officeDocument/2006/relationships/hyperlink" Target="https://drive.google.com/file/d/1w63itrwO0jes5ynqJFKEpu3km7VlGJ7r/view?usp=drive_link" TargetMode="External"/><Relationship Id="rId65" Type="http://schemas.openxmlformats.org/officeDocument/2006/relationships/hyperlink" Target="https://drive.google.com/file/d/1PNSt709j06OZ9pgotKYdUSuuUZimZU0K/view?usp=drive_link" TargetMode="External"/><Relationship Id="rId86" Type="http://schemas.openxmlformats.org/officeDocument/2006/relationships/hyperlink" Target="https://drive.google.com/file/d/1-8Vg0Bqik_xlE1w7qqYZHhvjEepmC_Pp/view?usp=drive_link" TargetMode="External"/><Relationship Id="rId130" Type="http://schemas.openxmlformats.org/officeDocument/2006/relationships/hyperlink" Target="https://drive.google.com/file/d/1uDxTaoLIjKBIHYYmYohik0mEtesc573t/view?usp=drive_link" TargetMode="External"/><Relationship Id="rId151" Type="http://schemas.openxmlformats.org/officeDocument/2006/relationships/hyperlink" Target="https://drive.google.com/file/d/1aHyegyeqJb7Jrno78y4W1H1OtC5OSQdL/view?usp=drive_link" TargetMode="External"/><Relationship Id="rId172" Type="http://schemas.openxmlformats.org/officeDocument/2006/relationships/hyperlink" Target="https://drive.google.com/file/d/1FbU6BXT327lzJ9WUIYU8YTBqudMKLeTw/view?usp=drive_link" TargetMode="External"/><Relationship Id="rId193" Type="http://schemas.openxmlformats.org/officeDocument/2006/relationships/hyperlink" Target="https://drive.google.com/file/d/17m2JzmZaEzlS23NaaKELwu2Pt_GNjgVR/view?usp=drive_link" TargetMode="External"/><Relationship Id="rId13" Type="http://schemas.openxmlformats.org/officeDocument/2006/relationships/hyperlink" Target="https://drive.google.com/file/d/1ISd3Io-GbXG48G0cB6p0nXm-F1un0yB7/view?usp=drive_link" TargetMode="External"/><Relationship Id="rId109" Type="http://schemas.openxmlformats.org/officeDocument/2006/relationships/hyperlink" Target="https://drive.google.com/file/d/1dkijNyMne-9M-qvaxMvIWSris-sP-fov/view?usp=drive_link" TargetMode="External"/><Relationship Id="rId34" Type="http://schemas.openxmlformats.org/officeDocument/2006/relationships/hyperlink" Target="https://drive.google.com/file/d/108jD5dZHZqJZfTN0K3EAbeRIzvxSjnk-/view?usp=drive_link" TargetMode="External"/><Relationship Id="rId55" Type="http://schemas.openxmlformats.org/officeDocument/2006/relationships/hyperlink" Target="https://drive.google.com/file/d/19GM6LT04RL9B41bllaqB-fL6oQmQqhmx/view?usp=drive_link" TargetMode="External"/><Relationship Id="rId76" Type="http://schemas.openxmlformats.org/officeDocument/2006/relationships/hyperlink" Target="https://drive.google.com/file/d/17a7FCHI7czecLByfr2agrMC-GQrEvHya/view?usp=drive_link" TargetMode="External"/><Relationship Id="rId97" Type="http://schemas.openxmlformats.org/officeDocument/2006/relationships/hyperlink" Target="https://drive.google.com/file/d/1gbyx6TSU9f5mHTl1mTU6c5F9eRaj0vSZ/view?usp=drive_link" TargetMode="External"/><Relationship Id="rId120" Type="http://schemas.openxmlformats.org/officeDocument/2006/relationships/hyperlink" Target="https://drive.google.com/file/d/1LPRT_pjjF0WVauR0i9MeCW1fMQWHYo9k/view?usp=drive_link" TargetMode="External"/><Relationship Id="rId141" Type="http://schemas.openxmlformats.org/officeDocument/2006/relationships/hyperlink" Target="https://drive.google.com/file/d/1byaEMIiVEJctK6aRhLy3C7i3ynsn6Dcb/view?usp=drive_link" TargetMode="External"/><Relationship Id="rId7" Type="http://schemas.openxmlformats.org/officeDocument/2006/relationships/hyperlink" Target="https://drive.google.com/file/d/1zSBOeQwIHY8S5TVApQudBLCwYk1Omi44/view?usp=drive_link" TargetMode="External"/><Relationship Id="rId71" Type="http://schemas.openxmlformats.org/officeDocument/2006/relationships/hyperlink" Target="https://drive.google.com/file/d/1RXzeFXscGlpNA9gewZhMrbw0LA8CbMIL/view?usp=drive_link" TargetMode="External"/><Relationship Id="rId92" Type="http://schemas.openxmlformats.org/officeDocument/2006/relationships/hyperlink" Target="https://drive.google.com/file/d/1AzvpRJlDUHjOiWEkq-m7gwOj2xhK4E4z/view?usp=drive_link" TargetMode="External"/><Relationship Id="rId162" Type="http://schemas.openxmlformats.org/officeDocument/2006/relationships/hyperlink" Target="https://drive.google.com/file/d/1pdWthSptOlQUA3_Z0l1IQQd-aOrY0UBu/view?usp=drive_link" TargetMode="External"/><Relationship Id="rId183" Type="http://schemas.openxmlformats.org/officeDocument/2006/relationships/hyperlink" Target="https://drive.google.com/file/d/1toCYSyCj7qloj_xC2L83EPJjuZxYKCFW/view?usp=drive_link" TargetMode="External"/><Relationship Id="rId2" Type="http://schemas.openxmlformats.org/officeDocument/2006/relationships/hyperlink" Target="https://drive.google.com/file/d/1sPEDPq2CjimVxGe54JyA6bmGvabVCbJ9/view?usp=drive_link" TargetMode="External"/><Relationship Id="rId29" Type="http://schemas.openxmlformats.org/officeDocument/2006/relationships/hyperlink" Target="https://drive.google.com/file/d/1RsoHL6fniNbC9MEZCGQgb2EBnobkH8vD/view?usp=drive_link" TargetMode="External"/><Relationship Id="rId24" Type="http://schemas.openxmlformats.org/officeDocument/2006/relationships/hyperlink" Target="https://drive.google.com/file/d/1vnzZ8EZieFhMoiR0X7yhgPbtoLoctYvi/view?usp=drive_link" TargetMode="External"/><Relationship Id="rId40" Type="http://schemas.openxmlformats.org/officeDocument/2006/relationships/hyperlink" Target="https://drive.google.com/file/d/1prCxXNW94smfeFNW22tek8MwhUn6yafX/view?usp=drive_link" TargetMode="External"/><Relationship Id="rId45" Type="http://schemas.openxmlformats.org/officeDocument/2006/relationships/hyperlink" Target="https://drive.google.com/file/d/1XVFTIQo3ewRzz_o1IcSDKP5hP20bDOrN/view?usp=drive_link" TargetMode="External"/><Relationship Id="rId66" Type="http://schemas.openxmlformats.org/officeDocument/2006/relationships/hyperlink" Target="https://drive.google.com/file/d/13_ySOhFf7RgZrlmAoGQN55Nl9-sja6Xc/view?usp=drive_link" TargetMode="External"/><Relationship Id="rId87" Type="http://schemas.openxmlformats.org/officeDocument/2006/relationships/hyperlink" Target="https://drive.google.com/file/d/16UjNEQ5yWYH-XgO9iTiU0GWkzfe7hbm_/view?usp=drive_link" TargetMode="External"/><Relationship Id="rId110" Type="http://schemas.openxmlformats.org/officeDocument/2006/relationships/hyperlink" Target="https://drive.google.com/file/d/1JHD1Ev1qA6h-3ZiyBUeQrQv-wFzEs6P_/view?usp=drive_link" TargetMode="External"/><Relationship Id="rId115" Type="http://schemas.openxmlformats.org/officeDocument/2006/relationships/hyperlink" Target="https://drive.google.com/file/d/10lF0MtkLtkosbUIuKVa_AERMWkYB2law/view?usp=drive_link" TargetMode="External"/><Relationship Id="rId131" Type="http://schemas.openxmlformats.org/officeDocument/2006/relationships/hyperlink" Target="https://drive.google.com/file/d/1-_NtDkpF7ny0OkAEQ7N_NfXaAhje75ql/view?usp=drive_link" TargetMode="External"/><Relationship Id="rId136" Type="http://schemas.openxmlformats.org/officeDocument/2006/relationships/hyperlink" Target="https://drive.google.com/file/d/1bUAxtd5-pjX7V6km3LL-BjFB-C3v2qKQ/view?usp=drive_link" TargetMode="External"/><Relationship Id="rId157" Type="http://schemas.openxmlformats.org/officeDocument/2006/relationships/hyperlink" Target="https://drive.google.com/file/d/15lqEyMZvx_ZtD7JRIRRo7aJ3VP8OLQmf/view?usp=drive_link" TargetMode="External"/><Relationship Id="rId178" Type="http://schemas.openxmlformats.org/officeDocument/2006/relationships/hyperlink" Target="https://drive.google.com/file/d/11KwhLH95JtNZNZn74ttYGSMMUNyb7BEI/view?usp=drive_link" TargetMode="External"/><Relationship Id="rId61" Type="http://schemas.openxmlformats.org/officeDocument/2006/relationships/hyperlink" Target="https://drive.google.com/file/d/13N39pqqsNOUxM6y17cs0yfnzqQFtov-5/view?usp=drive_link" TargetMode="External"/><Relationship Id="rId82" Type="http://schemas.openxmlformats.org/officeDocument/2006/relationships/hyperlink" Target="https://drive.google.com/file/d/1tAH5u-kGpMbQGO7ZNGUGU1n4OdA34ls4/view?usp=drive_link" TargetMode="External"/><Relationship Id="rId152" Type="http://schemas.openxmlformats.org/officeDocument/2006/relationships/hyperlink" Target="https://drive.google.com/file/d/1HnlGqiIZhfXda-7UHjaKVnRW5wgTi6JJ/view?usp=drive_link" TargetMode="External"/><Relationship Id="rId173" Type="http://schemas.openxmlformats.org/officeDocument/2006/relationships/hyperlink" Target="https://drive.google.com/file/d/14qY0UvInsA50vXDi6Rtnxs4aYc2aGWXq/view?usp=drive_link" TargetMode="External"/><Relationship Id="rId194" Type="http://schemas.openxmlformats.org/officeDocument/2006/relationships/hyperlink" Target="https://drive.google.com/file/d/1ktgPWXuStIq6SFZGhAX1TnO6xpWGg2vX/view?usp=drive_link" TargetMode="External"/><Relationship Id="rId199" Type="http://schemas.openxmlformats.org/officeDocument/2006/relationships/hyperlink" Target="https://drive.google.com/file/d/1oFfw4uRh5wj0eCSvSc140PilyfbqZIsG/view?usp=drive_link" TargetMode="External"/><Relationship Id="rId19" Type="http://schemas.openxmlformats.org/officeDocument/2006/relationships/hyperlink" Target="https://drive.google.com/file/d/1eVmYL8j_nKqGOjoiw4BEhEmrMqvVpdFs/view?usp=drive_link" TargetMode="External"/><Relationship Id="rId14" Type="http://schemas.openxmlformats.org/officeDocument/2006/relationships/hyperlink" Target="https://drive.google.com/file/d/1_7gvarX4V3p-p7rLUbRi-yLHpMHqq0b2/view?usp=drive_link" TargetMode="External"/><Relationship Id="rId30" Type="http://schemas.openxmlformats.org/officeDocument/2006/relationships/hyperlink" Target="https://drive.google.com/file/d/1eJPhp5PMZrxygHlE6jhXrZIaYyZu25CM/view?usp=drive_link" TargetMode="External"/><Relationship Id="rId35" Type="http://schemas.openxmlformats.org/officeDocument/2006/relationships/hyperlink" Target="https://drive.google.com/file/d/12UKmZ6y42CX4sZ0zzRCd4pAkY_LCISRq/view?usp=drive_link" TargetMode="External"/><Relationship Id="rId56" Type="http://schemas.openxmlformats.org/officeDocument/2006/relationships/hyperlink" Target="https://drive.google.com/file/d/1p4DwqHMF1IMTDhchlJNhvFDXY6f6VfUa/view?usp=drive_link" TargetMode="External"/><Relationship Id="rId77" Type="http://schemas.openxmlformats.org/officeDocument/2006/relationships/hyperlink" Target="https://drive.google.com/file/d/17a7FCHI7czecLByfr2agrMC-GQrEvHya/view?usp=drive_link" TargetMode="External"/><Relationship Id="rId100" Type="http://schemas.openxmlformats.org/officeDocument/2006/relationships/hyperlink" Target="https://drive.google.com/file/d/1skQQYlTckxNIMLbuMCuJfiUrscgAwZj3/view?usp=drive_link" TargetMode="External"/><Relationship Id="rId105" Type="http://schemas.openxmlformats.org/officeDocument/2006/relationships/hyperlink" Target="https://drive.google.com/file/d/1m2gGLubg0EB5p7hMjZIAfj_D8vQgFrai/view?usp=drive_link" TargetMode="External"/><Relationship Id="rId126" Type="http://schemas.openxmlformats.org/officeDocument/2006/relationships/hyperlink" Target="https://drive.google.com/file/d/1xp6E9vm50Z1hcmvB1s5KbM-wJ_7ySOne/view?usp=drive_link" TargetMode="External"/><Relationship Id="rId147" Type="http://schemas.openxmlformats.org/officeDocument/2006/relationships/hyperlink" Target="https://drive.google.com/file/d/1vnzZ8EZieFhMoiR0X7yhgPbtoLoctYvi/view?usp=drive_link" TargetMode="External"/><Relationship Id="rId168" Type="http://schemas.openxmlformats.org/officeDocument/2006/relationships/hyperlink" Target="https://drive.google.com/file/d/1GjFtPktOq-y_vzkn8QQgh0LQL2Q9XAAB/view?usp=drive_link%7d" TargetMode="External"/><Relationship Id="rId8" Type="http://schemas.openxmlformats.org/officeDocument/2006/relationships/hyperlink" Target="https://drive.google.com/file/d/1HXWDkf5EyGVGSxeU4w6myGlouqPHNJJt/view?usp=drive_link" TargetMode="External"/><Relationship Id="rId51" Type="http://schemas.openxmlformats.org/officeDocument/2006/relationships/hyperlink" Target="https://drive.google.com/file/d/1Gl063CdLfnJ9oqVxYkI76sH78IvWf9kD/view?usp=drive_link" TargetMode="External"/><Relationship Id="rId72" Type="http://schemas.openxmlformats.org/officeDocument/2006/relationships/hyperlink" Target="https://drive.google.com/file/d/1mIaTErVLvy8G3mKOI2LoqFuoKDUz2C7A/view?usp=drive_link" TargetMode="External"/><Relationship Id="rId93" Type="http://schemas.openxmlformats.org/officeDocument/2006/relationships/hyperlink" Target="https://drive.google.com/file/d/1Jw1Af5Vl7XgGHpyqc9szthxEePpxLjVx/view?usp=drive_link" TargetMode="External"/><Relationship Id="rId98" Type="http://schemas.openxmlformats.org/officeDocument/2006/relationships/hyperlink" Target="https://drive.google.com/file/d/1dVSlB3aEzucdeW75vUISoBBcjhmSAkEC/view?usp=drive_link" TargetMode="External"/><Relationship Id="rId121" Type="http://schemas.openxmlformats.org/officeDocument/2006/relationships/hyperlink" Target="https://drive.google.com/file/d/18X2MMCE9ZT1m4wsfDNpYyp0n4mw0_uKc/view?usp=drive_link" TargetMode="External"/><Relationship Id="rId142" Type="http://schemas.openxmlformats.org/officeDocument/2006/relationships/hyperlink" Target="https://drive.google.com/file/d/1ORnMXwH4o_1PKKaEXPbdjGTVG6dkTaA4/view?usp=drive_link" TargetMode="External"/><Relationship Id="rId163" Type="http://schemas.openxmlformats.org/officeDocument/2006/relationships/hyperlink" Target="https://drive.google.com/file/d/1PIjKuyhb50fz1e3UytSv34M3P2OOmZ0_/view?usp=drive_link" TargetMode="External"/><Relationship Id="rId184" Type="http://schemas.openxmlformats.org/officeDocument/2006/relationships/hyperlink" Target="https://drive.google.com/file/d/1dzmOWkn7JJxIu2kRLzuPIlhkD4ij5kSz/view?usp=drive_link" TargetMode="External"/><Relationship Id="rId189" Type="http://schemas.openxmlformats.org/officeDocument/2006/relationships/hyperlink" Target="https://drive.google.com/file/d/14OWMOiAjA8ayKkq9V42qubV7m9w30Ozb/view?usp=drive_link" TargetMode="External"/><Relationship Id="rId3" Type="http://schemas.openxmlformats.org/officeDocument/2006/relationships/hyperlink" Target="https://drive.google.com/file/d/1tbu6EuMeZav1Is1KHkK_orMZnA0DImw_/view?usp=drive_link" TargetMode="External"/><Relationship Id="rId25" Type="http://schemas.openxmlformats.org/officeDocument/2006/relationships/hyperlink" Target="https://drive.google.com/file/d/1daLJud_AFX0YvYyhTy6CqMlgOxaJ-BLz/view?usp=drive_link" TargetMode="External"/><Relationship Id="rId46" Type="http://schemas.openxmlformats.org/officeDocument/2006/relationships/hyperlink" Target="https://drive.google.com/file/d/1voZT6R9c1Mbh8DD05jHQ7OR23k6qCRW4/view?usp=drive_link" TargetMode="External"/><Relationship Id="rId67" Type="http://schemas.openxmlformats.org/officeDocument/2006/relationships/hyperlink" Target="https://drive.google.com/file/d/13R1EMzD5FmNF2WFXdV8Q-o3Bmxo_0oD-/view?usp=drive_link" TargetMode="External"/><Relationship Id="rId116" Type="http://schemas.openxmlformats.org/officeDocument/2006/relationships/hyperlink" Target="https://drive.google.com/file/d/1eIoxL0-pIMaZQOKzByPccS9RtuBE56aS/view?usp=drive_link" TargetMode="External"/><Relationship Id="rId137" Type="http://schemas.openxmlformats.org/officeDocument/2006/relationships/hyperlink" Target="https://drive.google.com/file/d/1irbT4TQjZ0031tdw97flAFAm8TZYcqLm/view?usp=drive_link" TargetMode="External"/><Relationship Id="rId158" Type="http://schemas.openxmlformats.org/officeDocument/2006/relationships/hyperlink" Target="https://drive.google.com/file/d/1t-PERvhwiUxqkvKcRBxh1ex3gQvDy54F/view?usp=drive_link" TargetMode="External"/><Relationship Id="rId20" Type="http://schemas.openxmlformats.org/officeDocument/2006/relationships/hyperlink" Target="https://drive.google.com/file/d/1XGmt0o_Qf76OKj6NbGn_R0YT8DHBsmRY/view?usp=drive_link" TargetMode="External"/><Relationship Id="rId41" Type="http://schemas.openxmlformats.org/officeDocument/2006/relationships/hyperlink" Target="https://drive.google.com/file/d/1KSKYEKaRu7818ZW0cyeBxzcIaJCfJDNB/view?usp=drive_link" TargetMode="External"/><Relationship Id="rId62" Type="http://schemas.openxmlformats.org/officeDocument/2006/relationships/hyperlink" Target="https://drive.google.com/file/d/13PNL7XFa8l_ckJR3-0cRJBJJ9LNYvmZR/view?usp=drive_link" TargetMode="External"/><Relationship Id="rId83" Type="http://schemas.openxmlformats.org/officeDocument/2006/relationships/hyperlink" Target="https://drive.google.com/file/d/1ZaaCF_F1cFK4xYsoUds8NFb38595F9en/view?usp=drive_link" TargetMode="External"/><Relationship Id="rId88" Type="http://schemas.openxmlformats.org/officeDocument/2006/relationships/hyperlink" Target="https://drive.google.com/file/d/1eu5zDOiOLNVfhg0xnWzVeXunG1jnfsUv/view?usp=drive_link" TargetMode="External"/><Relationship Id="rId111" Type="http://schemas.openxmlformats.org/officeDocument/2006/relationships/hyperlink" Target="https://drive.google.com/file/d/143WHCN8e18B_h8YOG-ij7HSiLN6sMvkT/view?usp=drive_link" TargetMode="External"/><Relationship Id="rId132" Type="http://schemas.openxmlformats.org/officeDocument/2006/relationships/hyperlink" Target="https://drive.google.com/file/d/1uDxTaoLIjKBIHYYmYohik0mEtesc573t/view?usp=drive_link" TargetMode="External"/><Relationship Id="rId153" Type="http://schemas.openxmlformats.org/officeDocument/2006/relationships/hyperlink" Target="https://drive.google.com/file/d/1ovIWZlsLJpTzx03UUZsB6bdJXvrcG0ba/view?usp=drive_link" TargetMode="External"/><Relationship Id="rId174" Type="http://schemas.openxmlformats.org/officeDocument/2006/relationships/hyperlink" Target="https://drive.google.com/file/d/1opeNbktMXyT0viEyMnCZLl7CuaeoUM3k/view?usp=drive_link" TargetMode="External"/><Relationship Id="rId179" Type="http://schemas.openxmlformats.org/officeDocument/2006/relationships/hyperlink" Target="https://drive.google.com/file/d/1UT6xdSq6H8KDiL8Mwir_bjejQATfLsY7/view?usp=drive_link" TargetMode="External"/><Relationship Id="rId195" Type="http://schemas.openxmlformats.org/officeDocument/2006/relationships/hyperlink" Target="https://drive.google.com/file/d/1LCtxEn_SmOfStUHB-CZFw37HFh1yvMEO/view?usp=drive_link" TargetMode="External"/><Relationship Id="rId190" Type="http://schemas.openxmlformats.org/officeDocument/2006/relationships/hyperlink" Target="https://drive.google.com/file/d/19ohJPU-y3wZLrlfc8H13lSCSyFWcU06t/view?usp=drive_link" TargetMode="External"/><Relationship Id="rId15" Type="http://schemas.openxmlformats.org/officeDocument/2006/relationships/hyperlink" Target="https://drive.google.com/file/d/1r1KsiU6elsjVf7tOfswTxFIstmKvC0v5/view?usp=drive_link" TargetMode="External"/><Relationship Id="rId36" Type="http://schemas.openxmlformats.org/officeDocument/2006/relationships/hyperlink" Target="https://drive.google.com/file/d/12UW9XLSfFGO31zMAD7W2u9Nq-2TgAZtA/view?usp=drive_link" TargetMode="External"/><Relationship Id="rId57" Type="http://schemas.openxmlformats.org/officeDocument/2006/relationships/hyperlink" Target="https://drive.google.com/file/d/1uNLeUVrvhqovdGHfjOm4mSsIB_U_rHtk/view?usp=drive_link" TargetMode="External"/><Relationship Id="rId106" Type="http://schemas.openxmlformats.org/officeDocument/2006/relationships/hyperlink" Target="https://drive.google.com/file/d/1d8eVaD6fGenSc81A7-yEnwCZz4W6UYtx/view?usp=drive_link" TargetMode="External"/><Relationship Id="rId127" Type="http://schemas.openxmlformats.org/officeDocument/2006/relationships/hyperlink" Target="https://drive.google.com/file/d/1NvynbKP2ndiopTaYi_UpW88cswE6ReZd/view?usp=drive_link" TargetMode="External"/><Relationship Id="rId10" Type="http://schemas.openxmlformats.org/officeDocument/2006/relationships/hyperlink" Target="https://drive.google.com/file/d/10LV33zArSdm8sRf5JUH5KEh7n9iqd3bz/view?usp=drive_link" TargetMode="External"/><Relationship Id="rId31" Type="http://schemas.openxmlformats.org/officeDocument/2006/relationships/hyperlink" Target="https://drive.google.com/file/d/12JNchjse8jqqEZ8N4ixy6Q9THHBSJW3c/view?usp=drive_link" TargetMode="External"/><Relationship Id="rId52" Type="http://schemas.openxmlformats.org/officeDocument/2006/relationships/hyperlink" Target="https://drive.google.com/file/d/1ZVCVnOGHFLnA5AuG6Cz6XOJs6OJIt1nr/view?usp=drive_link" TargetMode="External"/><Relationship Id="rId73" Type="http://schemas.openxmlformats.org/officeDocument/2006/relationships/hyperlink" Target="https://drive.google.com/file/d/1A-c_wJ4a-anq7qCvZrOsjiHgofKBP8R6/view?usp=drive_link" TargetMode="External"/><Relationship Id="rId78" Type="http://schemas.openxmlformats.org/officeDocument/2006/relationships/hyperlink" Target="https://drive.google.com/file/d/17a7FCHI7czecLByfr2agrMC-GQrEvHya/view?usp=drive_link" TargetMode="External"/><Relationship Id="rId94" Type="http://schemas.openxmlformats.org/officeDocument/2006/relationships/hyperlink" Target="https://drive.google.com/file/d/1Rs63G4MX3ljOwY5REEZ5dSZVBG_Sn11y/view?usp=drive_link" TargetMode="External"/><Relationship Id="rId99" Type="http://schemas.openxmlformats.org/officeDocument/2006/relationships/hyperlink" Target="https://drive.google.com/file/d/13qtq3hndGASRh_UK6ezTa309zgYWTbdc/view?usp=drive_link" TargetMode="External"/><Relationship Id="rId101" Type="http://schemas.openxmlformats.org/officeDocument/2006/relationships/hyperlink" Target="https://drive.google.com/file/d/1xQPZ9bWH4_ZQJ6da3Ur1_fIZk-lShSmF/view?usp=drive_link" TargetMode="External"/><Relationship Id="rId122" Type="http://schemas.openxmlformats.org/officeDocument/2006/relationships/hyperlink" Target="https://drive.google.com/file/d/1MICbRzaJnyoLq9zlQO-jC_Z6Qg1NbEQy/view?usp=drive_link" TargetMode="External"/><Relationship Id="rId143" Type="http://schemas.openxmlformats.org/officeDocument/2006/relationships/hyperlink" Target="https://drive.google.com/file/d/1-3blfxKLtXvQWtxoNm1rHabdtSw89xL1/view?usp=drive_link" TargetMode="External"/><Relationship Id="rId148" Type="http://schemas.openxmlformats.org/officeDocument/2006/relationships/hyperlink" Target="https://drive.google.com/file/d/1mibgVs48eEk-IyhqKefVCmYoijevY5Xz/view?usp=drive_link" TargetMode="External"/><Relationship Id="rId164" Type="http://schemas.openxmlformats.org/officeDocument/2006/relationships/hyperlink" Target="https://drive.google.com/file/d/1PIjKuyhb50fz1e3UytSv34M3P2OOmZ0_/view?usp=drive_link" TargetMode="External"/><Relationship Id="rId169" Type="http://schemas.openxmlformats.org/officeDocument/2006/relationships/hyperlink" Target="https://drive.google.com/file/d/1S6tqxc-YSjjdtOteAhI80FplKSc9agzJ/view?usp=drive_link" TargetMode="External"/><Relationship Id="rId185" Type="http://schemas.openxmlformats.org/officeDocument/2006/relationships/hyperlink" Target="https://drive.google.com/file/d/1FfF7YZLUVQILVgbUB3fvNNuPxC_f6lC5/view?usp=drive_link" TargetMode="External"/><Relationship Id="rId4" Type="http://schemas.openxmlformats.org/officeDocument/2006/relationships/hyperlink" Target="https://drive.google.com/file/d/1rAG48bBePUXEJxOM63mjmOIwL-ATeLnd/view?usp=drive_link" TargetMode="External"/><Relationship Id="rId9" Type="http://schemas.openxmlformats.org/officeDocument/2006/relationships/hyperlink" Target="https://drive.google.com/file/d/1ik7ze_-Yvl85AczFicZTEYvG6GDxEL4V/view?usp=drive_link" TargetMode="External"/><Relationship Id="rId180" Type="http://schemas.openxmlformats.org/officeDocument/2006/relationships/hyperlink" Target="https://drive.google.com/file/d/13mQTmG82Vt1CItFmJhQKwSsT2IMtomlG/view?usp=drive_link" TargetMode="External"/><Relationship Id="rId26" Type="http://schemas.openxmlformats.org/officeDocument/2006/relationships/hyperlink" Target="https://drive.google.com/file/d/1UD1QPUhubua2Ymwvv9FJlby7Mom_8vmn/view?usp=drive_link" TargetMode="External"/><Relationship Id="rId47" Type="http://schemas.openxmlformats.org/officeDocument/2006/relationships/hyperlink" Target="https://drive.google.com/file/d/1uGrX-KbLpwEpKnHbQxR2h1ceJiFpLLrv/view?usp=drive_link" TargetMode="External"/><Relationship Id="rId68" Type="http://schemas.openxmlformats.org/officeDocument/2006/relationships/hyperlink" Target="https://drive.google.com/file/d/1OOvpqE_7JWeuTg1fnd-vMr0m-jKPookU/view?usp=drive_link" TargetMode="External"/><Relationship Id="rId89" Type="http://schemas.openxmlformats.org/officeDocument/2006/relationships/hyperlink" Target="https://drive.google.com/file/d/1IpE1FMV9ZfPjfmWIc5rh19YUIVQpjLAB/view?usp=drive_link" TargetMode="External"/><Relationship Id="rId112" Type="http://schemas.openxmlformats.org/officeDocument/2006/relationships/hyperlink" Target="https://drive.google.com/file/d/13zb15uMWpkXRjIp118I-LluyehAin2A5/view?usp=drive_link" TargetMode="External"/><Relationship Id="rId133" Type="http://schemas.openxmlformats.org/officeDocument/2006/relationships/hyperlink" Target="https://drive.google.com/file/d/1uDxTaoLIjKBIHYYmYohik0mEtesc573t/view?usp=drive_link" TargetMode="External"/><Relationship Id="rId154" Type="http://schemas.openxmlformats.org/officeDocument/2006/relationships/hyperlink" Target="https://drive.google.com/file/d/1lUCJfjKJXpqAxl5Gn0sYzFFwnpRDjzbP/view?usp=drive_link" TargetMode="External"/><Relationship Id="rId175" Type="http://schemas.openxmlformats.org/officeDocument/2006/relationships/hyperlink" Target="https://drive.google.com/file/d/160CqgwUIWRbH7G1CC-7f8kVa5tujJOVv/view?usp=drive_link" TargetMode="External"/><Relationship Id="rId196" Type="http://schemas.openxmlformats.org/officeDocument/2006/relationships/hyperlink" Target="https://drive.google.com/file/d/1GeXZlWK61FiceBLdXXY1Qlh6BEiKFaRO/view?usp=drive_link" TargetMode="External"/><Relationship Id="rId200" Type="http://schemas.openxmlformats.org/officeDocument/2006/relationships/image" Target="../media/image1.png"/><Relationship Id="rId16" Type="http://schemas.openxmlformats.org/officeDocument/2006/relationships/hyperlink" Target="https://drive.google.com/file/d/1r1KsiU6elsjVf7tOfswTxFIstmKvC0v5/view?usp=drive_link" TargetMode="External"/><Relationship Id="rId37" Type="http://schemas.openxmlformats.org/officeDocument/2006/relationships/hyperlink" Target="https://drive.google.com/file/d/12WPM0yZL2BOLDV6o8CECaCVjN3nRLy_0/view?usp=drive_link" TargetMode="External"/><Relationship Id="rId58" Type="http://schemas.openxmlformats.org/officeDocument/2006/relationships/hyperlink" Target="https://drive.google.com/file/d/1LlFQGx8iz3Abogos301QY5xFuXOzSr-3/view?usp=drive_link" TargetMode="External"/><Relationship Id="rId79" Type="http://schemas.openxmlformats.org/officeDocument/2006/relationships/hyperlink" Target="https://drive.google.com/file/d/17a7FCHI7czecLByfr2agrMC-GQrEvHya/view?usp=drive_link" TargetMode="External"/><Relationship Id="rId102" Type="http://schemas.openxmlformats.org/officeDocument/2006/relationships/hyperlink" Target="https://drive.google.com/file/d/1WGHX0k9gPLinW6gIWexmQ8ndTWoJKj9q/view?usp=drive_link" TargetMode="External"/><Relationship Id="rId123" Type="http://schemas.openxmlformats.org/officeDocument/2006/relationships/hyperlink" Target="https://drive.google.com/file/d/1o0Q3W5CHnIhDHQTXvfPGOdfXLFU7Apit/view?usp=drive_link" TargetMode="External"/><Relationship Id="rId144" Type="http://schemas.openxmlformats.org/officeDocument/2006/relationships/hyperlink" Target="https://drive.google.com/file/d/14uXdmBWpU_kl-_h0zUiimlD3iPvE5_pM/view?usp=drive_link" TargetMode="External"/><Relationship Id="rId90" Type="http://schemas.openxmlformats.org/officeDocument/2006/relationships/hyperlink" Target="https://drive.google.com/file/d/1Xvpf0I3silslFrWacgMzABw22NCVVG9R/view?usp=drive_link" TargetMode="External"/><Relationship Id="rId165" Type="http://schemas.openxmlformats.org/officeDocument/2006/relationships/hyperlink" Target="https://drive.google.com/file/d/16W86GlwZ7dguj5DHUO9NMs_7V49B3k9J/view?usp=drive_link" TargetMode="External"/><Relationship Id="rId186" Type="http://schemas.openxmlformats.org/officeDocument/2006/relationships/hyperlink" Target="https://drive.google.com/file/d/1p0v5z-3dCB4P881wVW7lxgWjj4D-JzYm/view?usp=drive_link" TargetMode="External"/><Relationship Id="rId27" Type="http://schemas.openxmlformats.org/officeDocument/2006/relationships/hyperlink" Target="https://drive.google.com/file/d/1UD1QPUhubua2Ymwvv9FJlby7Mom_8vmn/view?usp=drive_link" TargetMode="External"/><Relationship Id="rId48" Type="http://schemas.openxmlformats.org/officeDocument/2006/relationships/hyperlink" Target="https://drive.google.com/file/d/1x6CT9YD5gPQuIrI8k2ACmivH2bG6701x/view?usp=drive_link" TargetMode="External"/><Relationship Id="rId69" Type="http://schemas.openxmlformats.org/officeDocument/2006/relationships/hyperlink" Target="https://drive.google.com/file/d/13nlt3ZNedMMvmV5g2yw9YeOmik9aYw-P/view?usp=drive_link" TargetMode="External"/><Relationship Id="rId113" Type="http://schemas.openxmlformats.org/officeDocument/2006/relationships/hyperlink" Target="https://drive.google.com/file/d/1uqNLGQGhm0dVjTVw0NAPdAjmwlTEi-Zg/view?usp=drive_link" TargetMode="External"/><Relationship Id="rId134" Type="http://schemas.openxmlformats.org/officeDocument/2006/relationships/hyperlink" Target="https://drive.google.com/file/d/1d2o6nv6n6ECQNq2tq3fVlD_LrYuMpVkZ/view?usp=drive_link" TargetMode="External"/><Relationship Id="rId80" Type="http://schemas.openxmlformats.org/officeDocument/2006/relationships/hyperlink" Target="https://drive.google.com/file/d/1q_3EMmY4-CHngrQm5aCxf0hf5mwRVKEq/view?usp=drive_link" TargetMode="External"/><Relationship Id="rId155" Type="http://schemas.openxmlformats.org/officeDocument/2006/relationships/hyperlink" Target="https://drive.google.com/file/d/1YyZxC72sH1ZZM-vbyXVNQb3RmRKyomEA/view?usp=drive_link" TargetMode="External"/><Relationship Id="rId176" Type="http://schemas.openxmlformats.org/officeDocument/2006/relationships/hyperlink" Target="https://drive.google.com/file/d/1o0Q3W5CHnIhDHQTXvfPGOdfXLFU7Apit/view" TargetMode="External"/><Relationship Id="rId197" Type="http://schemas.openxmlformats.org/officeDocument/2006/relationships/hyperlink" Target="https://drive.google.com/file/d/1KSsacwuwDGfKW9Qd11gORmOXzuKxgJBb/view?usp=drive_link" TargetMode="External"/><Relationship Id="rId17" Type="http://schemas.openxmlformats.org/officeDocument/2006/relationships/hyperlink" Target="https://drive.google.com/file/d/1r1KsiU6elsjVf7tOfswTxFIstmKvC0v5/view?usp=drive_link" TargetMode="External"/><Relationship Id="rId38" Type="http://schemas.openxmlformats.org/officeDocument/2006/relationships/hyperlink" Target="https://drive.google.com/file/d/1Ueltf5qJD9H2MkHN9qMMxPnJSTSt-09O/view?usp=drive_link" TargetMode="External"/><Relationship Id="rId59" Type="http://schemas.openxmlformats.org/officeDocument/2006/relationships/hyperlink" Target="https://drive.google.com/file/d/1XilpM5jrhK79Ocrw6otAPzD0wu_PxtUa/view?usp=drive_link" TargetMode="External"/><Relationship Id="rId103" Type="http://schemas.openxmlformats.org/officeDocument/2006/relationships/hyperlink" Target="https://drive.google.com/file/d/1-RiA-elCKKBcJXBV4AENWrkXSGp6EJui/view?usp=drive_link" TargetMode="External"/><Relationship Id="rId124" Type="http://schemas.openxmlformats.org/officeDocument/2006/relationships/hyperlink" Target="https://drive.google.com/file/d/15cMk92lx_U0XWzNc__-GT0RpIKVJxpou/view?usp=drive_link" TargetMode="External"/><Relationship Id="rId70" Type="http://schemas.openxmlformats.org/officeDocument/2006/relationships/hyperlink" Target="https://drive.google.com/file/d/1OnaJNoj4XuraB-0J4ctVNQOhJEZAjuN5/view?usp=drive_link" TargetMode="External"/><Relationship Id="rId91" Type="http://schemas.openxmlformats.org/officeDocument/2006/relationships/hyperlink" Target="https://drive.google.com/file/d/1L3p4a3uVqHpIFONicKsxLo-QoPm5QNSj/view?usp=drive_link" TargetMode="External"/><Relationship Id="rId145" Type="http://schemas.openxmlformats.org/officeDocument/2006/relationships/hyperlink" Target="https://drive.google.com/file/d/1nuxQCKNas5Gy9xtMIT6CN0mxf_vzC3N7/view?usp=drive_link" TargetMode="External"/><Relationship Id="rId166" Type="http://schemas.openxmlformats.org/officeDocument/2006/relationships/hyperlink" Target="https://drive.google.com/file/d/1weSnLAbiuuFQHbo1a7UyYoOa1lNYa5p4/view?usp=drive_link" TargetMode="External"/><Relationship Id="rId187" Type="http://schemas.openxmlformats.org/officeDocument/2006/relationships/hyperlink" Target="https://drive.google.com/file/d/1IpkEvgideLPgscnHE8Ca4Nelk-hiKxkx/view?usp=drive_link" TargetMode="External"/><Relationship Id="rId1" Type="http://schemas.openxmlformats.org/officeDocument/2006/relationships/hyperlink" Target="https://drive.google.com/file/d/1n3ydoh30w9r7XGjYV43rN4bcxtipJqzA/view?usp=drive_link" TargetMode="External"/><Relationship Id="rId28" Type="http://schemas.openxmlformats.org/officeDocument/2006/relationships/hyperlink" Target="https://drive.google.com/file/d/1jq5xXZOPfjAGOXatYbMeRXGMoeR1bD9Q/view?usp=drive_link" TargetMode="External"/><Relationship Id="rId49" Type="http://schemas.openxmlformats.org/officeDocument/2006/relationships/hyperlink" Target="https://drive.google.com/file/d/1bwiiYIxVAzXNSBxiSEq1b-JaP6Hi4Vvv/view?usp=drive_link" TargetMode="External"/><Relationship Id="rId114" Type="http://schemas.openxmlformats.org/officeDocument/2006/relationships/hyperlink" Target="https://drive.google.com/file/d/1eoHfPzvkH4h-Jc8c7xUXjCyNj1x5HhVG/view?usp=drive_link" TargetMode="External"/><Relationship Id="rId60" Type="http://schemas.openxmlformats.org/officeDocument/2006/relationships/hyperlink" Target="https://drive.google.com/file/d/1iYFHjCqPhKvrDjrLBM0zwUDMcUnmSOoo/view?usp=drive_link" TargetMode="External"/><Relationship Id="rId81" Type="http://schemas.openxmlformats.org/officeDocument/2006/relationships/hyperlink" Target="https://drive.google.com/file/d/1q_3EMmY4-CHngrQm5aCxf0hf5mwRVKEq/view?usp=drive_link" TargetMode="External"/><Relationship Id="rId135" Type="http://schemas.openxmlformats.org/officeDocument/2006/relationships/hyperlink" Target="https://drive.google.com/file/d/1bUAxtd5-pjX7V6km3LL-BjFB-C3v2qKQ/view?usp=drive_link" TargetMode="External"/><Relationship Id="rId156" Type="http://schemas.openxmlformats.org/officeDocument/2006/relationships/hyperlink" Target="https://drive.google.com/file/d/15mimbQB21V5RoSOcqt891KeIvnNFQOvY/view?usp=drive_link" TargetMode="External"/><Relationship Id="rId177" Type="http://schemas.openxmlformats.org/officeDocument/2006/relationships/hyperlink" Target="https://drive.google.com/file/d/1AMkwjr3zvhoM8sCIgLVTBlpK4OVwZQIC/view?usp=drive_link" TargetMode="External"/><Relationship Id="rId198" Type="http://schemas.openxmlformats.org/officeDocument/2006/relationships/hyperlink" Target="https://drive.google.com/file/d/15bgB8aUZsolcUGZ0x9epWD1_o0i4iE-7/view?usp=drive_link" TargetMode="External"/><Relationship Id="rId18" Type="http://schemas.openxmlformats.org/officeDocument/2006/relationships/hyperlink" Target="https://drive.google.com/file/d/1r1KsiU6elsjVf7tOfswTxFIstmKvC0v5/view?usp=drive_link" TargetMode="External"/><Relationship Id="rId39" Type="http://schemas.openxmlformats.org/officeDocument/2006/relationships/hyperlink" Target="https://drive.google.com/file/d/1DI1pIXHOSqeEzx2j9yclvUGzjmcySmgw/view?usp=drive_link" TargetMode="External"/><Relationship Id="rId50" Type="http://schemas.openxmlformats.org/officeDocument/2006/relationships/hyperlink" Target="https://drive.google.com/file/d/1UP1KPQOMfUHzk9fdDpegCs2zlL76e2U6/view?usp=drive_link" TargetMode="External"/><Relationship Id="rId104" Type="http://schemas.openxmlformats.org/officeDocument/2006/relationships/hyperlink" Target="https://drive.google.com/file/d/1B6XlIiIV3WuFCyHmMFBbe-SMxSNQOO-c/view?usp=drive_link" TargetMode="External"/><Relationship Id="rId125" Type="http://schemas.openxmlformats.org/officeDocument/2006/relationships/hyperlink" Target="https://drive.google.com/file/d/15czIz6clX5EwUPBLaFxnU-ipZS4W_sJ4/view?usp=drive_link" TargetMode="External"/><Relationship Id="rId146" Type="http://schemas.openxmlformats.org/officeDocument/2006/relationships/hyperlink" Target="https://drive.google.com/file/d/1Whzy9h-oPxY23RrW5SJU_N1SyNSyPHGJ/view?usp=drive_link" TargetMode="External"/><Relationship Id="rId167" Type="http://schemas.openxmlformats.org/officeDocument/2006/relationships/hyperlink" Target="https://drive.google.com/file/d/1weSnLAbiuuFQHbo1a7UyYoOa1lNYa5p4/view?usp=drive_link" TargetMode="External"/><Relationship Id="rId188" Type="http://schemas.openxmlformats.org/officeDocument/2006/relationships/hyperlink" Target="https://drive.google.com/file/d/1FfF7YZLUVQILVgbUB3fvNNuPxC_f6lC5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5"/>
  <sheetViews>
    <sheetView zoomScaleNormal="100" workbookViewId="0">
      <pane ySplit="1" topLeftCell="A202" activePane="bottomLeft" state="frozen"/>
      <selection pane="bottomLeft" activeCell="A206" sqref="A206:XFD206"/>
    </sheetView>
  </sheetViews>
  <sheetFormatPr baseColWidth="10" defaultColWidth="10.69921875" defaultRowHeight="15.6" x14ac:dyDescent="0.3"/>
  <cols>
    <col min="1" max="1" width="33.69921875" style="19" customWidth="1"/>
    <col min="2" max="2" width="4.296875" style="19" bestFit="1" customWidth="1"/>
    <col min="3" max="3" width="10.5" style="19" bestFit="1" customWidth="1"/>
    <col min="4" max="4" width="6.19921875" style="19" bestFit="1" customWidth="1"/>
    <col min="5" max="5" width="8.5" style="19" bestFit="1" customWidth="1"/>
    <col min="6" max="6" width="10.19921875" style="19" bestFit="1" customWidth="1"/>
    <col min="7" max="7" width="9.296875" style="19" bestFit="1" customWidth="1"/>
    <col min="8" max="8" width="6.19921875" style="19" bestFit="1" customWidth="1"/>
    <col min="9" max="9" width="9" style="19" bestFit="1" customWidth="1"/>
    <col min="10" max="11" width="10.5" style="19" bestFit="1" customWidth="1"/>
    <col min="12" max="12" width="4.296875" style="19" bestFit="1" customWidth="1"/>
    <col min="13" max="13" width="7.69921875" style="19" bestFit="1" customWidth="1"/>
    <col min="14" max="14" width="6" style="19" bestFit="1" customWidth="1"/>
    <col min="15" max="15" width="8" style="19" bestFit="1" customWidth="1"/>
    <col min="16" max="16" width="4.5" style="19" bestFit="1" customWidth="1"/>
    <col min="17" max="17" width="9.296875" style="19" bestFit="1" customWidth="1"/>
    <col min="18" max="18" width="10.69921875" style="19"/>
    <col min="19" max="19" width="10.19921875" style="19" bestFit="1" customWidth="1"/>
    <col min="20" max="20" width="10.19921875" style="19" customWidth="1"/>
    <col min="21" max="21" width="11.796875" style="19" bestFit="1" customWidth="1"/>
    <col min="22" max="16384" width="10.69921875" style="19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219</v>
      </c>
      <c r="U1" s="1" t="s">
        <v>19</v>
      </c>
    </row>
    <row r="2" spans="1:21" ht="46.8" x14ac:dyDescent="0.3">
      <c r="A2" s="3" t="s">
        <v>335</v>
      </c>
      <c r="B2" s="4">
        <v>1</v>
      </c>
      <c r="C2" s="5">
        <v>199.96</v>
      </c>
      <c r="D2" s="6">
        <f t="shared" ref="D2:D7" si="0">(((C2-F2)*100)/C2)/100</f>
        <v>8.7334133493365371E-2</v>
      </c>
      <c r="E2" s="7">
        <v>0</v>
      </c>
      <c r="F2" s="7">
        <f>547.49/3</f>
        <v>182.49666666666667</v>
      </c>
      <c r="G2" s="8">
        <f t="shared" ref="G2:G7" si="1">B2*F2</f>
        <v>182.49666666666667</v>
      </c>
      <c r="H2" s="7">
        <v>0</v>
      </c>
      <c r="I2" s="7">
        <v>0</v>
      </c>
      <c r="J2" s="9">
        <v>45567</v>
      </c>
      <c r="K2" s="9">
        <v>45575</v>
      </c>
      <c r="L2" s="5"/>
      <c r="M2" s="7">
        <v>19.41</v>
      </c>
      <c r="N2" s="5"/>
      <c r="O2" s="11">
        <v>0</v>
      </c>
      <c r="P2" s="4">
        <v>1</v>
      </c>
      <c r="Q2" s="8">
        <f t="shared" ref="Q2:Q33" si="2">F2+(I2/B2)-(O2/B2)</f>
        <v>182.49666666666667</v>
      </c>
      <c r="R2" s="12" t="s">
        <v>63</v>
      </c>
      <c r="S2" s="11">
        <f>SUM(O2:O181)-O40</f>
        <v>3033.7900000000004</v>
      </c>
      <c r="T2" s="8">
        <f t="shared" ref="T2:T33" si="3">B2*Q2</f>
        <v>182.49666666666667</v>
      </c>
      <c r="U2" s="13">
        <f>SUM(T2:T181)-Q40</f>
        <v>36869.660000000025</v>
      </c>
    </row>
    <row r="3" spans="1:21" ht="46.8" x14ac:dyDescent="0.3">
      <c r="A3" s="3" t="s">
        <v>64</v>
      </c>
      <c r="B3" s="4">
        <v>1</v>
      </c>
      <c r="C3" s="5">
        <v>136.99</v>
      </c>
      <c r="D3" s="6">
        <f t="shared" si="0"/>
        <v>0.33980582524271846</v>
      </c>
      <c r="E3" s="7">
        <v>0</v>
      </c>
      <c r="F3" s="7">
        <v>90.44</v>
      </c>
      <c r="G3" s="8">
        <f t="shared" si="1"/>
        <v>90.44</v>
      </c>
      <c r="H3" s="7">
        <v>0</v>
      </c>
      <c r="I3" s="7">
        <v>0</v>
      </c>
      <c r="J3" s="9">
        <v>45567</v>
      </c>
      <c r="K3" s="9">
        <v>45575</v>
      </c>
      <c r="L3" s="5"/>
      <c r="M3" s="7">
        <v>19.41</v>
      </c>
      <c r="N3" s="5"/>
      <c r="O3" s="11">
        <v>0</v>
      </c>
      <c r="P3" s="4">
        <v>1</v>
      </c>
      <c r="Q3" s="8">
        <f t="shared" si="2"/>
        <v>90.44</v>
      </c>
      <c r="R3" s="12" t="s">
        <v>62</v>
      </c>
      <c r="S3" s="11"/>
      <c r="T3" s="8">
        <f t="shared" si="3"/>
        <v>90.44</v>
      </c>
      <c r="U3" s="13"/>
    </row>
    <row r="4" spans="1:21" ht="46.8" x14ac:dyDescent="0.3">
      <c r="A4" s="3" t="s">
        <v>336</v>
      </c>
      <c r="B4" s="4">
        <v>1</v>
      </c>
      <c r="C4" s="5">
        <v>547.49</v>
      </c>
      <c r="D4" s="6">
        <f t="shared" si="0"/>
        <v>0.33333333333333337</v>
      </c>
      <c r="E4" s="7">
        <v>0</v>
      </c>
      <c r="F4" s="7">
        <f>(547.49/3)*2</f>
        <v>364.99333333333334</v>
      </c>
      <c r="G4" s="8">
        <f t="shared" si="1"/>
        <v>364.99333333333334</v>
      </c>
      <c r="H4" s="7">
        <v>0</v>
      </c>
      <c r="I4" s="7">
        <v>0</v>
      </c>
      <c r="J4" s="9">
        <v>45567</v>
      </c>
      <c r="K4" s="9">
        <v>45607</v>
      </c>
      <c r="L4" s="5"/>
      <c r="M4" s="7">
        <v>19.41</v>
      </c>
      <c r="N4" s="5"/>
      <c r="O4" s="11">
        <v>0</v>
      </c>
      <c r="P4" s="4">
        <v>1</v>
      </c>
      <c r="Q4" s="8">
        <f t="shared" si="2"/>
        <v>364.99333333333334</v>
      </c>
      <c r="R4" s="12"/>
      <c r="S4" s="11"/>
      <c r="T4" s="8">
        <f t="shared" si="3"/>
        <v>364.99333333333334</v>
      </c>
      <c r="U4" s="13"/>
    </row>
    <row r="5" spans="1:21" ht="31.2" x14ac:dyDescent="0.3">
      <c r="A5" s="3" t="s">
        <v>57</v>
      </c>
      <c r="B5" s="4">
        <v>2</v>
      </c>
      <c r="C5" s="5">
        <v>217.84</v>
      </c>
      <c r="D5" s="6">
        <f t="shared" si="0"/>
        <v>0.58483290488431872</v>
      </c>
      <c r="E5" s="7">
        <v>0</v>
      </c>
      <c r="F5" s="7">
        <v>90.44</v>
      </c>
      <c r="G5" s="8">
        <f t="shared" si="1"/>
        <v>180.88</v>
      </c>
      <c r="H5" s="7">
        <v>0</v>
      </c>
      <c r="I5" s="7">
        <v>0</v>
      </c>
      <c r="J5" s="9">
        <v>45602</v>
      </c>
      <c r="K5" s="9">
        <v>45610</v>
      </c>
      <c r="L5" s="5"/>
      <c r="M5" s="7">
        <v>20.170000000000002</v>
      </c>
      <c r="N5" s="5"/>
      <c r="O5" s="11">
        <v>9.85</v>
      </c>
      <c r="P5" s="4">
        <v>1</v>
      </c>
      <c r="Q5" s="8">
        <f t="shared" si="2"/>
        <v>85.515000000000001</v>
      </c>
      <c r="R5" s="12" t="s">
        <v>30</v>
      </c>
      <c r="S5" s="11"/>
      <c r="T5" s="8">
        <f t="shared" si="3"/>
        <v>171.03</v>
      </c>
      <c r="U5" s="13"/>
    </row>
    <row r="6" spans="1:21" ht="31.2" x14ac:dyDescent="0.3">
      <c r="A6" s="3" t="s">
        <v>32</v>
      </c>
      <c r="B6" s="4">
        <v>2</v>
      </c>
      <c r="C6" s="5">
        <v>243.18</v>
      </c>
      <c r="D6" s="6">
        <f t="shared" si="0"/>
        <v>0.61115223291389098</v>
      </c>
      <c r="E6" s="7">
        <v>0</v>
      </c>
      <c r="F6" s="7">
        <v>94.56</v>
      </c>
      <c r="G6" s="8">
        <f t="shared" si="1"/>
        <v>189.12</v>
      </c>
      <c r="H6" s="7">
        <v>0</v>
      </c>
      <c r="I6" s="7">
        <v>0</v>
      </c>
      <c r="J6" s="9">
        <v>45602</v>
      </c>
      <c r="K6" s="9">
        <v>45610</v>
      </c>
      <c r="L6" s="5"/>
      <c r="M6" s="7">
        <v>20.170000000000002</v>
      </c>
      <c r="N6" s="5"/>
      <c r="O6" s="11">
        <v>10.25</v>
      </c>
      <c r="P6" s="4">
        <v>1</v>
      </c>
      <c r="Q6" s="8">
        <f t="shared" si="2"/>
        <v>89.435000000000002</v>
      </c>
      <c r="R6" s="12" t="s">
        <v>31</v>
      </c>
      <c r="S6" s="14"/>
      <c r="T6" s="8">
        <f t="shared" si="3"/>
        <v>178.87</v>
      </c>
      <c r="U6" s="4"/>
    </row>
    <row r="7" spans="1:21" ht="31.2" x14ac:dyDescent="0.3">
      <c r="A7" s="3" t="s">
        <v>337</v>
      </c>
      <c r="B7" s="4">
        <v>1</v>
      </c>
      <c r="C7" s="5">
        <v>523.04999999999995</v>
      </c>
      <c r="D7" s="6">
        <f t="shared" si="0"/>
        <v>0.75226077812828596</v>
      </c>
      <c r="E7" s="7">
        <v>0</v>
      </c>
      <c r="F7" s="7">
        <v>129.58000000000001</v>
      </c>
      <c r="G7" s="8">
        <f t="shared" si="1"/>
        <v>129.58000000000001</v>
      </c>
      <c r="H7" s="7">
        <v>0</v>
      </c>
      <c r="I7" s="7">
        <v>0</v>
      </c>
      <c r="J7" s="9">
        <v>45602</v>
      </c>
      <c r="K7" s="9">
        <v>45610</v>
      </c>
      <c r="L7" s="5"/>
      <c r="M7" s="7">
        <v>20.170000000000002</v>
      </c>
      <c r="N7" s="5"/>
      <c r="O7" s="11">
        <v>7.05</v>
      </c>
      <c r="P7" s="4">
        <v>1</v>
      </c>
      <c r="Q7" s="8">
        <f t="shared" si="2"/>
        <v>122.53000000000002</v>
      </c>
      <c r="R7" s="12" t="s">
        <v>33</v>
      </c>
      <c r="T7" s="8">
        <f t="shared" si="3"/>
        <v>122.53000000000002</v>
      </c>
    </row>
    <row r="8" spans="1:21" ht="31.2" x14ac:dyDescent="0.3">
      <c r="A8" s="3" t="s">
        <v>433</v>
      </c>
      <c r="B8" s="4">
        <v>1</v>
      </c>
      <c r="C8" s="5">
        <v>609.83000000000004</v>
      </c>
      <c r="D8" s="6">
        <f t="shared" ref="D8:D20" si="4">(((C8-F8)*100)/C8)/100</f>
        <v>0.72669432464785277</v>
      </c>
      <c r="E8" s="7">
        <v>0</v>
      </c>
      <c r="F8" s="7">
        <v>166.67</v>
      </c>
      <c r="G8" s="8">
        <f t="shared" ref="G8:G20" si="5">B8*F8</f>
        <v>166.67</v>
      </c>
      <c r="H8" s="7">
        <v>0</v>
      </c>
      <c r="I8" s="7">
        <v>0</v>
      </c>
      <c r="J8" s="9">
        <v>45602</v>
      </c>
      <c r="K8" s="9">
        <v>45610</v>
      </c>
      <c r="L8" s="5"/>
      <c r="M8" s="7">
        <v>20.170000000000002</v>
      </c>
      <c r="N8" s="5"/>
      <c r="O8" s="11">
        <v>9.0500000000000007</v>
      </c>
      <c r="P8" s="4">
        <v>1</v>
      </c>
      <c r="Q8" s="8">
        <f t="shared" si="2"/>
        <v>157.61999999999998</v>
      </c>
      <c r="R8" s="12" t="s">
        <v>34</v>
      </c>
      <c r="T8" s="8">
        <f t="shared" si="3"/>
        <v>157.61999999999998</v>
      </c>
    </row>
    <row r="9" spans="1:21" ht="31.2" x14ac:dyDescent="0.3">
      <c r="A9" s="3" t="s">
        <v>338</v>
      </c>
      <c r="B9" s="4">
        <v>1</v>
      </c>
      <c r="C9" s="5">
        <v>508.78</v>
      </c>
      <c r="D9" s="6">
        <f t="shared" si="4"/>
        <v>0.74531231573568135</v>
      </c>
      <c r="E9" s="7">
        <v>0</v>
      </c>
      <c r="F9" s="7">
        <v>129.58000000000001</v>
      </c>
      <c r="G9" s="8">
        <f t="shared" si="5"/>
        <v>129.58000000000001</v>
      </c>
      <c r="H9" s="7">
        <v>0</v>
      </c>
      <c r="I9" s="7">
        <v>0</v>
      </c>
      <c r="J9" s="9">
        <v>45602</v>
      </c>
      <c r="K9" s="9">
        <v>45610</v>
      </c>
      <c r="L9" s="5"/>
      <c r="M9" s="7">
        <v>20.170000000000002</v>
      </c>
      <c r="N9" s="5"/>
      <c r="O9" s="11">
        <v>7.05</v>
      </c>
      <c r="P9" s="4">
        <v>1</v>
      </c>
      <c r="Q9" s="8">
        <f t="shared" si="2"/>
        <v>122.53000000000002</v>
      </c>
      <c r="R9" s="12" t="s">
        <v>35</v>
      </c>
      <c r="T9" s="8">
        <f t="shared" si="3"/>
        <v>122.53000000000002</v>
      </c>
    </row>
    <row r="10" spans="1:21" ht="46.8" x14ac:dyDescent="0.3">
      <c r="A10" s="3" t="s">
        <v>339</v>
      </c>
      <c r="B10" s="4">
        <v>1</v>
      </c>
      <c r="C10" s="5">
        <v>280.56</v>
      </c>
      <c r="D10" s="6">
        <f t="shared" si="4"/>
        <v>0.72169945822640424</v>
      </c>
      <c r="E10" s="7">
        <v>0</v>
      </c>
      <c r="F10" s="7">
        <v>78.08</v>
      </c>
      <c r="G10" s="8">
        <f t="shared" si="5"/>
        <v>78.08</v>
      </c>
      <c r="H10" s="7">
        <v>0</v>
      </c>
      <c r="I10" s="7">
        <v>0</v>
      </c>
      <c r="J10" s="9">
        <v>45602</v>
      </c>
      <c r="K10" s="9">
        <v>45610</v>
      </c>
      <c r="L10" s="5"/>
      <c r="M10" s="7">
        <v>20.170000000000002</v>
      </c>
      <c r="N10" s="5"/>
      <c r="O10" s="11">
        <v>4.24</v>
      </c>
      <c r="P10" s="4">
        <v>4</v>
      </c>
      <c r="Q10" s="8">
        <f t="shared" si="2"/>
        <v>73.84</v>
      </c>
      <c r="R10" s="12" t="s">
        <v>36</v>
      </c>
      <c r="T10" s="8">
        <f t="shared" si="3"/>
        <v>73.84</v>
      </c>
    </row>
    <row r="11" spans="1:21" ht="31.2" x14ac:dyDescent="0.3">
      <c r="A11" s="3" t="s">
        <v>340</v>
      </c>
      <c r="B11" s="4">
        <v>1</v>
      </c>
      <c r="C11" s="5">
        <v>568.46</v>
      </c>
      <c r="D11" s="6">
        <f t="shared" si="4"/>
        <v>0.73941878056503541</v>
      </c>
      <c r="E11" s="7">
        <v>0</v>
      </c>
      <c r="F11" s="7">
        <v>148.13</v>
      </c>
      <c r="G11" s="8">
        <f t="shared" si="5"/>
        <v>148.13</v>
      </c>
      <c r="H11" s="7">
        <v>0</v>
      </c>
      <c r="I11" s="7">
        <v>0</v>
      </c>
      <c r="J11" s="9">
        <v>45602</v>
      </c>
      <c r="K11" s="9">
        <v>45610</v>
      </c>
      <c r="L11" s="5"/>
      <c r="M11" s="7">
        <v>20.170000000000002</v>
      </c>
      <c r="N11" s="5"/>
      <c r="O11" s="11">
        <v>8.0500000000000007</v>
      </c>
      <c r="P11" s="4">
        <v>6</v>
      </c>
      <c r="Q11" s="8">
        <f t="shared" si="2"/>
        <v>140.07999999999998</v>
      </c>
      <c r="R11" s="12" t="s">
        <v>37</v>
      </c>
      <c r="T11" s="8">
        <f t="shared" si="3"/>
        <v>140.07999999999998</v>
      </c>
    </row>
    <row r="12" spans="1:21" ht="31.2" x14ac:dyDescent="0.3">
      <c r="A12" s="3" t="s">
        <v>341</v>
      </c>
      <c r="B12" s="4">
        <v>1</v>
      </c>
      <c r="C12" s="5">
        <v>457.88</v>
      </c>
      <c r="D12" s="6">
        <f t="shared" si="4"/>
        <v>0.71621385515855673</v>
      </c>
      <c r="E12" s="7">
        <v>0</v>
      </c>
      <c r="F12" s="7">
        <v>129.94</v>
      </c>
      <c r="G12" s="8">
        <f t="shared" si="5"/>
        <v>129.94</v>
      </c>
      <c r="H12" s="7">
        <v>0</v>
      </c>
      <c r="I12" s="7">
        <v>0.02</v>
      </c>
      <c r="J12" s="9">
        <v>45603</v>
      </c>
      <c r="K12" s="9">
        <v>45612</v>
      </c>
      <c r="L12" s="5"/>
      <c r="M12" s="7">
        <v>19.79</v>
      </c>
      <c r="N12" s="5"/>
      <c r="O12" s="11">
        <f>1.32+14.5</f>
        <v>15.82</v>
      </c>
      <c r="P12" s="4">
        <v>1</v>
      </c>
      <c r="Q12" s="8">
        <f t="shared" si="2"/>
        <v>114.14000000000001</v>
      </c>
      <c r="R12" s="12" t="s">
        <v>37</v>
      </c>
      <c r="T12" s="8">
        <f t="shared" si="3"/>
        <v>114.14000000000001</v>
      </c>
    </row>
    <row r="13" spans="1:21" ht="46.8" x14ac:dyDescent="0.3">
      <c r="A13" s="3" t="s">
        <v>342</v>
      </c>
      <c r="B13" s="4">
        <v>1</v>
      </c>
      <c r="C13" s="5">
        <v>722.55</v>
      </c>
      <c r="D13" s="6">
        <f t="shared" si="4"/>
        <v>0.68583489031900902</v>
      </c>
      <c r="E13" s="7">
        <v>0</v>
      </c>
      <c r="F13" s="7">
        <v>227</v>
      </c>
      <c r="G13" s="8">
        <f t="shared" si="5"/>
        <v>227</v>
      </c>
      <c r="H13" s="7">
        <v>0</v>
      </c>
      <c r="I13" s="7">
        <v>0.05</v>
      </c>
      <c r="J13" s="9">
        <v>45603</v>
      </c>
      <c r="K13" s="9">
        <v>45614</v>
      </c>
      <c r="L13" s="5"/>
      <c r="M13" s="7">
        <v>19.79</v>
      </c>
      <c r="N13" s="5"/>
      <c r="O13" s="11">
        <f>2.26+25.33</f>
        <v>27.589999999999996</v>
      </c>
      <c r="P13" s="4">
        <v>1</v>
      </c>
      <c r="Q13" s="8">
        <f t="shared" si="2"/>
        <v>199.46</v>
      </c>
      <c r="R13" s="12" t="s">
        <v>45</v>
      </c>
      <c r="T13" s="8">
        <f t="shared" si="3"/>
        <v>199.46</v>
      </c>
    </row>
    <row r="14" spans="1:21" ht="46.8" x14ac:dyDescent="0.3">
      <c r="A14" s="3" t="s">
        <v>343</v>
      </c>
      <c r="B14" s="4">
        <v>1</v>
      </c>
      <c r="C14" s="5">
        <v>501.74</v>
      </c>
      <c r="D14" s="6">
        <f>(((C14-F14)*100)/C14)/100</f>
        <v>0.72635229401682144</v>
      </c>
      <c r="E14" s="7">
        <v>0</v>
      </c>
      <c r="F14" s="7">
        <v>137.30000000000001</v>
      </c>
      <c r="G14" s="8">
        <f>B14*F14</f>
        <v>137.30000000000001</v>
      </c>
      <c r="H14" s="7">
        <v>0</v>
      </c>
      <c r="I14" s="7">
        <v>0.01</v>
      </c>
      <c r="J14" s="9">
        <v>45603</v>
      </c>
      <c r="K14" s="9">
        <v>45614</v>
      </c>
      <c r="L14" s="5"/>
      <c r="M14" s="7">
        <v>19.79</v>
      </c>
      <c r="N14" s="5"/>
      <c r="O14" s="11">
        <f>1.37+15.32</f>
        <v>16.690000000000001</v>
      </c>
      <c r="P14" s="4">
        <v>1</v>
      </c>
      <c r="Q14" s="8">
        <f t="shared" si="2"/>
        <v>120.62</v>
      </c>
      <c r="R14" s="12" t="s">
        <v>58</v>
      </c>
      <c r="T14" s="8">
        <f t="shared" si="3"/>
        <v>120.62</v>
      </c>
    </row>
    <row r="15" spans="1:21" ht="46.8" x14ac:dyDescent="0.3">
      <c r="A15" s="3" t="s">
        <v>344</v>
      </c>
      <c r="B15" s="4">
        <v>1</v>
      </c>
      <c r="C15" s="5">
        <v>359.93</v>
      </c>
      <c r="D15" s="6">
        <f t="shared" si="4"/>
        <v>0.54771761175784173</v>
      </c>
      <c r="E15" s="7">
        <v>0</v>
      </c>
      <c r="F15" s="7">
        <v>162.79</v>
      </c>
      <c r="G15" s="8">
        <f t="shared" si="5"/>
        <v>162.79</v>
      </c>
      <c r="H15" s="7">
        <v>0</v>
      </c>
      <c r="I15" s="7">
        <v>0.03</v>
      </c>
      <c r="J15" s="9">
        <v>45603</v>
      </c>
      <c r="K15" s="9">
        <v>45614</v>
      </c>
      <c r="L15" s="5"/>
      <c r="M15" s="7">
        <v>19.79</v>
      </c>
      <c r="N15" s="5"/>
      <c r="O15" s="11">
        <v>18.329999999999998</v>
      </c>
      <c r="P15" s="4">
        <v>1</v>
      </c>
      <c r="Q15" s="8">
        <f t="shared" si="2"/>
        <v>144.49</v>
      </c>
      <c r="R15" s="12" t="s">
        <v>46</v>
      </c>
      <c r="T15" s="8">
        <f t="shared" si="3"/>
        <v>144.49</v>
      </c>
    </row>
    <row r="16" spans="1:21" ht="46.8" x14ac:dyDescent="0.3">
      <c r="A16" s="3" t="s">
        <v>345</v>
      </c>
      <c r="B16" s="4">
        <v>1</v>
      </c>
      <c r="C16" s="5">
        <v>266.76</v>
      </c>
      <c r="D16" s="6">
        <f t="shared" si="4"/>
        <v>0.67566351776878097</v>
      </c>
      <c r="E16" s="7">
        <v>0</v>
      </c>
      <c r="F16" s="7">
        <v>86.52</v>
      </c>
      <c r="G16" s="8">
        <f t="shared" si="5"/>
        <v>86.52</v>
      </c>
      <c r="H16" s="7">
        <v>0</v>
      </c>
      <c r="I16" s="7">
        <v>0.02</v>
      </c>
      <c r="J16" s="9">
        <v>45603</v>
      </c>
      <c r="K16" s="9">
        <v>45612</v>
      </c>
      <c r="L16" s="5"/>
      <c r="M16" s="7">
        <v>19.79</v>
      </c>
      <c r="N16" s="5"/>
      <c r="O16" s="11">
        <f>0.86+9.65</f>
        <v>10.51</v>
      </c>
      <c r="P16" s="4">
        <v>1</v>
      </c>
      <c r="Q16" s="8">
        <f t="shared" si="2"/>
        <v>76.029999999999987</v>
      </c>
      <c r="R16" s="12" t="s">
        <v>47</v>
      </c>
      <c r="T16" s="8">
        <f t="shared" si="3"/>
        <v>76.029999999999987</v>
      </c>
    </row>
    <row r="17" spans="1:20" ht="31.2" x14ac:dyDescent="0.3">
      <c r="A17" s="3" t="s">
        <v>50</v>
      </c>
      <c r="B17" s="4">
        <v>1</v>
      </c>
      <c r="C17" s="5">
        <v>275.44</v>
      </c>
      <c r="D17" s="6">
        <f t="shared" si="4"/>
        <v>0.73794655823409816</v>
      </c>
      <c r="E17" s="7">
        <v>0</v>
      </c>
      <c r="F17" s="7">
        <v>72.180000000000007</v>
      </c>
      <c r="G17" s="8">
        <f t="shared" si="5"/>
        <v>72.180000000000007</v>
      </c>
      <c r="H17" s="7">
        <v>0</v>
      </c>
      <c r="I17" s="7">
        <v>0.02</v>
      </c>
      <c r="J17" s="9">
        <v>45603</v>
      </c>
      <c r="K17" s="9">
        <v>45614</v>
      </c>
      <c r="L17" s="5"/>
      <c r="M17" s="7">
        <v>19.79</v>
      </c>
      <c r="N17" s="5"/>
      <c r="O17" s="11">
        <v>8.14</v>
      </c>
      <c r="P17" s="4">
        <v>1</v>
      </c>
      <c r="Q17" s="8">
        <f t="shared" si="2"/>
        <v>64.06</v>
      </c>
      <c r="R17" s="12" t="s">
        <v>48</v>
      </c>
      <c r="T17" s="8">
        <f t="shared" si="3"/>
        <v>64.06</v>
      </c>
    </row>
    <row r="18" spans="1:20" ht="31.2" x14ac:dyDescent="0.3">
      <c r="A18" s="3" t="s">
        <v>49</v>
      </c>
      <c r="B18" s="4">
        <v>1</v>
      </c>
      <c r="C18" s="5">
        <v>293.36</v>
      </c>
      <c r="D18" s="6">
        <f t="shared" si="4"/>
        <v>0.73656940278156524</v>
      </c>
      <c r="E18" s="7">
        <v>0</v>
      </c>
      <c r="F18" s="7">
        <v>77.28</v>
      </c>
      <c r="G18" s="8">
        <f t="shared" si="5"/>
        <v>77.28</v>
      </c>
      <c r="H18" s="7">
        <v>0</v>
      </c>
      <c r="I18" s="7">
        <v>0.01</v>
      </c>
      <c r="J18" s="9">
        <v>45603</v>
      </c>
      <c r="K18" s="9">
        <v>45614</v>
      </c>
      <c r="L18" s="5"/>
      <c r="M18" s="7">
        <v>19.79</v>
      </c>
      <c r="N18" s="5"/>
      <c r="O18" s="11">
        <v>8.7100000000000009</v>
      </c>
      <c r="P18" s="4">
        <v>1</v>
      </c>
      <c r="Q18" s="8">
        <f t="shared" si="2"/>
        <v>68.580000000000013</v>
      </c>
      <c r="R18" s="12" t="s">
        <v>51</v>
      </c>
      <c r="T18" s="8">
        <f t="shared" si="3"/>
        <v>68.580000000000013</v>
      </c>
    </row>
    <row r="19" spans="1:20" ht="31.2" x14ac:dyDescent="0.3">
      <c r="A19" s="3" t="s">
        <v>346</v>
      </c>
      <c r="B19" s="4">
        <v>2</v>
      </c>
      <c r="C19" s="5">
        <v>221.83</v>
      </c>
      <c r="D19" s="6">
        <f t="shared" si="4"/>
        <v>0.71622413559933273</v>
      </c>
      <c r="E19" s="7">
        <v>0</v>
      </c>
      <c r="F19" s="7">
        <v>62.95</v>
      </c>
      <c r="G19" s="8">
        <f t="shared" si="5"/>
        <v>125.9</v>
      </c>
      <c r="H19" s="7">
        <v>0</v>
      </c>
      <c r="I19" s="7">
        <v>0.02</v>
      </c>
      <c r="J19" s="9">
        <v>45603</v>
      </c>
      <c r="K19" s="9">
        <v>45612</v>
      </c>
      <c r="L19" s="5"/>
      <c r="M19" s="7">
        <v>19.79</v>
      </c>
      <c r="N19" s="5"/>
      <c r="O19" s="11">
        <f>1.26+14.06</f>
        <v>15.32</v>
      </c>
      <c r="P19" s="4">
        <v>1</v>
      </c>
      <c r="Q19" s="8">
        <f t="shared" si="2"/>
        <v>55.3</v>
      </c>
      <c r="R19" s="12" t="s">
        <v>52</v>
      </c>
      <c r="T19" s="8">
        <f t="shared" si="3"/>
        <v>110.6</v>
      </c>
    </row>
    <row r="20" spans="1:20" ht="31.2" x14ac:dyDescent="0.3">
      <c r="A20" s="3" t="s">
        <v>347</v>
      </c>
      <c r="B20" s="4">
        <v>2</v>
      </c>
      <c r="C20" s="5">
        <v>237.32</v>
      </c>
      <c r="D20" s="6">
        <f t="shared" si="4"/>
        <v>0.71629024102477667</v>
      </c>
      <c r="E20" s="7">
        <v>0</v>
      </c>
      <c r="F20" s="7">
        <v>67.33</v>
      </c>
      <c r="G20" s="8">
        <f t="shared" si="5"/>
        <v>134.66</v>
      </c>
      <c r="H20" s="7">
        <v>0</v>
      </c>
      <c r="I20" s="7">
        <v>0.02</v>
      </c>
      <c r="J20" s="9">
        <v>45603</v>
      </c>
      <c r="K20" s="9">
        <v>45612</v>
      </c>
      <c r="L20" s="5"/>
      <c r="M20" s="7">
        <v>19.79</v>
      </c>
      <c r="N20" s="5"/>
      <c r="O20" s="11">
        <f>1.35+15.03</f>
        <v>16.38</v>
      </c>
      <c r="P20" s="4">
        <v>1</v>
      </c>
      <c r="Q20" s="8">
        <f t="shared" si="2"/>
        <v>59.150000000000006</v>
      </c>
      <c r="R20" s="12"/>
      <c r="T20" s="8">
        <f t="shared" si="3"/>
        <v>118.30000000000001</v>
      </c>
    </row>
    <row r="21" spans="1:20" ht="31.2" x14ac:dyDescent="0.3">
      <c r="A21" s="3" t="s">
        <v>348</v>
      </c>
      <c r="B21" s="4">
        <v>2</v>
      </c>
      <c r="C21" s="5">
        <v>191.74</v>
      </c>
      <c r="D21" s="6">
        <f t="shared" ref="D21:D27" si="6">(((C21-F21)*100)/C21)/100</f>
        <v>0.70606028997600911</v>
      </c>
      <c r="E21" s="7">
        <v>0</v>
      </c>
      <c r="F21" s="7">
        <v>56.36</v>
      </c>
      <c r="G21" s="8">
        <f t="shared" ref="G21:G27" si="7">B21*F21</f>
        <v>112.72</v>
      </c>
      <c r="H21" s="7">
        <v>0</v>
      </c>
      <c r="I21" s="7">
        <v>0.02</v>
      </c>
      <c r="J21" s="9">
        <v>45603</v>
      </c>
      <c r="K21" s="9">
        <v>45614</v>
      </c>
      <c r="L21" s="5"/>
      <c r="M21" s="7">
        <v>19.79</v>
      </c>
      <c r="N21" s="5"/>
      <c r="O21" s="11">
        <f>1.12+12.59</f>
        <v>13.71</v>
      </c>
      <c r="P21" s="4">
        <v>1</v>
      </c>
      <c r="Q21" s="8">
        <f t="shared" si="2"/>
        <v>49.515000000000001</v>
      </c>
      <c r="R21" s="12" t="s">
        <v>53</v>
      </c>
      <c r="T21" s="8">
        <f t="shared" si="3"/>
        <v>99.03</v>
      </c>
    </row>
    <row r="22" spans="1:20" ht="31.2" x14ac:dyDescent="0.3">
      <c r="A22" s="3" t="s">
        <v>349</v>
      </c>
      <c r="B22" s="4">
        <v>2</v>
      </c>
      <c r="C22" s="5">
        <v>208.66</v>
      </c>
      <c r="D22" s="6">
        <f t="shared" si="6"/>
        <v>0.7061247963193712</v>
      </c>
      <c r="E22" s="7">
        <v>0</v>
      </c>
      <c r="F22" s="7">
        <v>61.32</v>
      </c>
      <c r="G22" s="8">
        <f t="shared" si="7"/>
        <v>122.64</v>
      </c>
      <c r="H22" s="7">
        <v>0</v>
      </c>
      <c r="I22" s="7">
        <v>0.02</v>
      </c>
      <c r="J22" s="9">
        <v>45603</v>
      </c>
      <c r="K22" s="9">
        <v>45614</v>
      </c>
      <c r="L22" s="5"/>
      <c r="M22" s="7">
        <v>19.79</v>
      </c>
      <c r="N22" s="5"/>
      <c r="O22" s="11">
        <f>1.23+13.69</f>
        <v>14.92</v>
      </c>
      <c r="P22" s="4">
        <v>1</v>
      </c>
      <c r="Q22" s="8">
        <f t="shared" si="2"/>
        <v>53.87</v>
      </c>
      <c r="R22" s="12"/>
      <c r="T22" s="8">
        <f t="shared" si="3"/>
        <v>107.74</v>
      </c>
    </row>
    <row r="23" spans="1:20" ht="31.2" x14ac:dyDescent="0.3">
      <c r="A23" s="3" t="s">
        <v>350</v>
      </c>
      <c r="B23" s="4">
        <v>1</v>
      </c>
      <c r="C23" s="5">
        <v>319.47000000000003</v>
      </c>
      <c r="D23" s="6">
        <f t="shared" si="6"/>
        <v>0.54393213760290482</v>
      </c>
      <c r="E23" s="7">
        <v>0</v>
      </c>
      <c r="F23" s="7">
        <v>145.69999999999999</v>
      </c>
      <c r="G23" s="8">
        <f t="shared" si="7"/>
        <v>145.69999999999999</v>
      </c>
      <c r="H23" s="7">
        <v>0</v>
      </c>
      <c r="I23" s="7">
        <v>0.02</v>
      </c>
      <c r="J23" s="9">
        <v>45603</v>
      </c>
      <c r="K23" s="9">
        <v>45614</v>
      </c>
      <c r="L23" s="5"/>
      <c r="M23" s="7">
        <v>19.79</v>
      </c>
      <c r="N23" s="5"/>
      <c r="O23" s="11">
        <f>1.46+16.27</f>
        <v>17.73</v>
      </c>
      <c r="P23" s="4">
        <v>1</v>
      </c>
      <c r="Q23" s="8">
        <f t="shared" si="2"/>
        <v>127.99</v>
      </c>
      <c r="R23" s="12" t="s">
        <v>54</v>
      </c>
      <c r="T23" s="8">
        <f t="shared" si="3"/>
        <v>127.99</v>
      </c>
    </row>
    <row r="24" spans="1:20" ht="31.2" x14ac:dyDescent="0.3">
      <c r="A24" s="3" t="s">
        <v>351</v>
      </c>
      <c r="B24" s="4">
        <v>1</v>
      </c>
      <c r="C24" s="5">
        <v>339.45</v>
      </c>
      <c r="D24" s="6">
        <f t="shared" si="6"/>
        <v>0.51353660332891449</v>
      </c>
      <c r="E24" s="7">
        <v>0</v>
      </c>
      <c r="F24" s="7">
        <v>165.13</v>
      </c>
      <c r="G24" s="8">
        <f t="shared" si="7"/>
        <v>165.13</v>
      </c>
      <c r="H24" s="7">
        <v>0</v>
      </c>
      <c r="I24" s="7">
        <v>0.02</v>
      </c>
      <c r="J24" s="9">
        <v>45603</v>
      </c>
      <c r="K24" s="9">
        <v>45614</v>
      </c>
      <c r="L24" s="5"/>
      <c r="M24" s="7">
        <v>19.79</v>
      </c>
      <c r="N24" s="5"/>
      <c r="O24" s="11">
        <f>1.66+18.44</f>
        <v>20.100000000000001</v>
      </c>
      <c r="P24" s="4">
        <v>1</v>
      </c>
      <c r="Q24" s="8">
        <f t="shared" si="2"/>
        <v>145.05000000000001</v>
      </c>
      <c r="R24" s="12" t="s">
        <v>55</v>
      </c>
      <c r="T24" s="8">
        <f t="shared" si="3"/>
        <v>145.05000000000001</v>
      </c>
    </row>
    <row r="25" spans="1:20" ht="31.2" x14ac:dyDescent="0.3">
      <c r="A25" s="3" t="s">
        <v>352</v>
      </c>
      <c r="B25" s="4">
        <v>1</v>
      </c>
      <c r="C25" s="5">
        <v>302.39999999999998</v>
      </c>
      <c r="D25" s="6">
        <f t="shared" si="6"/>
        <v>0.70611772486772484</v>
      </c>
      <c r="E25" s="7">
        <v>0</v>
      </c>
      <c r="F25" s="7">
        <v>88.87</v>
      </c>
      <c r="G25" s="8">
        <f t="shared" si="7"/>
        <v>88.87</v>
      </c>
      <c r="H25" s="7">
        <v>0</v>
      </c>
      <c r="I25" s="7">
        <v>0.01</v>
      </c>
      <c r="J25" s="9">
        <v>45603</v>
      </c>
      <c r="K25" s="9">
        <v>45612</v>
      </c>
      <c r="L25" s="5"/>
      <c r="M25" s="7">
        <v>19.79</v>
      </c>
      <c r="N25" s="5"/>
      <c r="O25" s="11">
        <f>0.89+9.92</f>
        <v>10.81</v>
      </c>
      <c r="P25" s="4">
        <v>1</v>
      </c>
      <c r="Q25" s="8">
        <f t="shared" si="2"/>
        <v>78.070000000000007</v>
      </c>
      <c r="R25" s="12" t="s">
        <v>56</v>
      </c>
      <c r="T25" s="8">
        <f t="shared" si="3"/>
        <v>78.070000000000007</v>
      </c>
    </row>
    <row r="26" spans="1:20" ht="46.8" x14ac:dyDescent="0.3">
      <c r="A26" s="3" t="s">
        <v>353</v>
      </c>
      <c r="B26" s="4">
        <v>1</v>
      </c>
      <c r="C26" s="5">
        <v>555</v>
      </c>
      <c r="D26" s="6">
        <f t="shared" si="6"/>
        <v>0.28472072072072069</v>
      </c>
      <c r="E26" s="7">
        <v>0</v>
      </c>
      <c r="F26" s="7">
        <v>396.98</v>
      </c>
      <c r="G26" s="8">
        <f t="shared" si="7"/>
        <v>396.98</v>
      </c>
      <c r="H26" s="7">
        <v>0</v>
      </c>
      <c r="I26" s="7">
        <v>0</v>
      </c>
      <c r="J26" s="9">
        <v>45603</v>
      </c>
      <c r="K26" s="9"/>
      <c r="L26" s="5"/>
      <c r="M26" s="7">
        <v>19.79</v>
      </c>
      <c r="N26" s="5"/>
      <c r="O26" s="11">
        <v>0</v>
      </c>
      <c r="P26" s="4">
        <v>1</v>
      </c>
      <c r="Q26" s="8">
        <f t="shared" si="2"/>
        <v>396.98</v>
      </c>
      <c r="R26" s="12" t="s">
        <v>67</v>
      </c>
      <c r="T26" s="8">
        <f t="shared" si="3"/>
        <v>396.98</v>
      </c>
    </row>
    <row r="27" spans="1:20" ht="31.2" x14ac:dyDescent="0.3">
      <c r="A27" s="3" t="s">
        <v>220</v>
      </c>
      <c r="B27" s="4">
        <v>1</v>
      </c>
      <c r="C27" s="5">
        <v>490</v>
      </c>
      <c r="D27" s="6">
        <f t="shared" si="6"/>
        <v>0.39810204081632655</v>
      </c>
      <c r="E27" s="7">
        <v>0</v>
      </c>
      <c r="F27" s="7">
        <v>294.93</v>
      </c>
      <c r="G27" s="8">
        <f t="shared" si="7"/>
        <v>294.93</v>
      </c>
      <c r="H27" s="7">
        <v>0</v>
      </c>
      <c r="I27" s="7">
        <v>0</v>
      </c>
      <c r="J27" s="9">
        <v>45603</v>
      </c>
      <c r="K27" s="9"/>
      <c r="L27" s="5"/>
      <c r="M27" s="7">
        <v>19.79</v>
      </c>
      <c r="N27" s="5"/>
      <c r="O27" s="11">
        <v>0</v>
      </c>
      <c r="P27" s="4">
        <v>1</v>
      </c>
      <c r="Q27" s="8">
        <f t="shared" si="2"/>
        <v>294.93</v>
      </c>
      <c r="R27" s="12"/>
      <c r="T27" s="8">
        <f t="shared" si="3"/>
        <v>294.93</v>
      </c>
    </row>
    <row r="28" spans="1:20" ht="46.8" x14ac:dyDescent="0.3">
      <c r="A28" s="3" t="s">
        <v>354</v>
      </c>
      <c r="B28" s="4">
        <v>2</v>
      </c>
      <c r="C28" s="5">
        <v>196.83</v>
      </c>
      <c r="D28" s="6">
        <f>(((C28-F28)*100)/C28)/100</f>
        <v>0.62531118223847992</v>
      </c>
      <c r="E28" s="7">
        <v>0</v>
      </c>
      <c r="F28" s="7">
        <v>73.75</v>
      </c>
      <c r="G28" s="8">
        <f>B28*F28</f>
        <v>147.5</v>
      </c>
      <c r="H28" s="7">
        <v>0</v>
      </c>
      <c r="I28" s="7">
        <v>0.02</v>
      </c>
      <c r="J28" s="9">
        <v>45607</v>
      </c>
      <c r="K28" s="9">
        <v>45615</v>
      </c>
      <c r="L28" s="5"/>
      <c r="M28" s="7">
        <v>20.34</v>
      </c>
      <c r="N28" s="5"/>
      <c r="O28" s="11">
        <f>1.49+17.38</f>
        <v>18.869999999999997</v>
      </c>
      <c r="P28" s="4">
        <v>1</v>
      </c>
      <c r="Q28" s="8">
        <f t="shared" si="2"/>
        <v>64.325000000000003</v>
      </c>
      <c r="R28" s="12" t="s">
        <v>69</v>
      </c>
      <c r="T28" s="8">
        <f t="shared" si="3"/>
        <v>128.65</v>
      </c>
    </row>
    <row r="29" spans="1:20" ht="31.2" x14ac:dyDescent="0.3">
      <c r="A29" s="3" t="s">
        <v>221</v>
      </c>
      <c r="B29" s="4">
        <v>1</v>
      </c>
      <c r="C29" s="5">
        <v>190.15</v>
      </c>
      <c r="D29" s="6">
        <f>(((C29-F29)*100)/C29)/100</f>
        <v>0.65763870628451226</v>
      </c>
      <c r="E29" s="7">
        <v>0</v>
      </c>
      <c r="F29" s="7">
        <v>65.099999999999994</v>
      </c>
      <c r="G29" s="8">
        <f t="shared" ref="G29:G39" si="8">B29*F29</f>
        <v>65.099999999999994</v>
      </c>
      <c r="H29" s="7">
        <v>0</v>
      </c>
      <c r="I29" s="7">
        <v>0</v>
      </c>
      <c r="J29" s="9">
        <v>45607</v>
      </c>
      <c r="K29" s="24">
        <v>45621</v>
      </c>
      <c r="L29" s="5"/>
      <c r="M29" s="7">
        <v>20.34</v>
      </c>
      <c r="N29" s="5"/>
      <c r="O29" s="11">
        <f>0.66+7.67</f>
        <v>8.33</v>
      </c>
      <c r="P29" s="4">
        <v>1</v>
      </c>
      <c r="Q29" s="8">
        <f t="shared" si="2"/>
        <v>56.769999999999996</v>
      </c>
      <c r="R29" s="12" t="s">
        <v>70</v>
      </c>
      <c r="T29" s="8">
        <f t="shared" si="3"/>
        <v>56.769999999999996</v>
      </c>
    </row>
    <row r="30" spans="1:20" ht="31.2" x14ac:dyDescent="0.3">
      <c r="A30" s="3" t="s">
        <v>222</v>
      </c>
      <c r="B30" s="4">
        <v>1</v>
      </c>
      <c r="C30" s="5">
        <v>183.15</v>
      </c>
      <c r="D30" s="6">
        <f t="shared" ref="D30:D39" si="9">(((C30-F30)*100)/C30)/100</f>
        <v>0.6576576576576576</v>
      </c>
      <c r="E30" s="7">
        <v>0</v>
      </c>
      <c r="F30" s="7">
        <v>62.7</v>
      </c>
      <c r="G30" s="8">
        <f t="shared" si="8"/>
        <v>62.7</v>
      </c>
      <c r="H30" s="7">
        <v>0</v>
      </c>
      <c r="I30" s="7">
        <v>0</v>
      </c>
      <c r="J30" s="9">
        <v>45607</v>
      </c>
      <c r="K30" s="9">
        <v>45619</v>
      </c>
      <c r="L30" s="5"/>
      <c r="M30" s="7">
        <v>20.34</v>
      </c>
      <c r="N30" s="5"/>
      <c r="O30" s="11">
        <f>0.63+7.39</f>
        <v>8.02</v>
      </c>
      <c r="P30" s="4">
        <v>1</v>
      </c>
      <c r="Q30" s="8">
        <f t="shared" si="2"/>
        <v>54.680000000000007</v>
      </c>
      <c r="R30" s="12"/>
      <c r="T30" s="8">
        <f t="shared" si="3"/>
        <v>54.680000000000007</v>
      </c>
    </row>
    <row r="31" spans="1:20" ht="46.8" x14ac:dyDescent="0.3">
      <c r="A31" s="3" t="s">
        <v>72</v>
      </c>
      <c r="B31" s="4">
        <v>1</v>
      </c>
      <c r="C31" s="5">
        <v>281.64</v>
      </c>
      <c r="D31" s="6">
        <f t="shared" si="9"/>
        <v>0.71410311035364304</v>
      </c>
      <c r="E31" s="7">
        <v>0</v>
      </c>
      <c r="F31" s="7">
        <v>80.52</v>
      </c>
      <c r="G31" s="8">
        <f t="shared" si="8"/>
        <v>80.52</v>
      </c>
      <c r="H31" s="7">
        <v>0</v>
      </c>
      <c r="I31" s="7">
        <v>0.01</v>
      </c>
      <c r="J31" s="9">
        <v>45607</v>
      </c>
      <c r="K31" s="9">
        <v>45619</v>
      </c>
      <c r="L31" s="5"/>
      <c r="M31" s="7">
        <v>20.34</v>
      </c>
      <c r="N31" s="5"/>
      <c r="O31" s="11">
        <f>0.8+9.49</f>
        <v>10.290000000000001</v>
      </c>
      <c r="P31" s="4">
        <v>1</v>
      </c>
      <c r="Q31" s="8">
        <f t="shared" si="2"/>
        <v>70.239999999999995</v>
      </c>
      <c r="R31" s="12" t="s">
        <v>71</v>
      </c>
      <c r="T31" s="8">
        <f t="shared" si="3"/>
        <v>70.239999999999995</v>
      </c>
    </row>
    <row r="32" spans="1:20" ht="31.2" x14ac:dyDescent="0.3">
      <c r="A32" s="3" t="s">
        <v>355</v>
      </c>
      <c r="B32" s="4">
        <v>2</v>
      </c>
      <c r="C32" s="5">
        <v>199.61</v>
      </c>
      <c r="D32" s="6">
        <f t="shared" si="9"/>
        <v>0.625419568157908</v>
      </c>
      <c r="E32" s="7">
        <v>0</v>
      </c>
      <c r="F32" s="7">
        <v>74.77</v>
      </c>
      <c r="G32" s="8">
        <f t="shared" si="8"/>
        <v>149.54</v>
      </c>
      <c r="H32" s="7">
        <v>0</v>
      </c>
      <c r="I32" s="7">
        <v>0.01</v>
      </c>
      <c r="J32" s="9">
        <v>45607</v>
      </c>
      <c r="K32" s="9">
        <v>45615</v>
      </c>
      <c r="L32" s="5"/>
      <c r="M32" s="7">
        <v>20.34</v>
      </c>
      <c r="N32" s="5"/>
      <c r="O32" s="11">
        <f>1.49+17.62</f>
        <v>19.11</v>
      </c>
      <c r="P32" s="4">
        <v>1</v>
      </c>
      <c r="Q32" s="8">
        <f t="shared" si="2"/>
        <v>65.22</v>
      </c>
      <c r="R32" s="12" t="s">
        <v>73</v>
      </c>
      <c r="T32" s="8">
        <f t="shared" si="3"/>
        <v>130.44</v>
      </c>
    </row>
    <row r="33" spans="1:20" ht="46.8" x14ac:dyDescent="0.3">
      <c r="A33" s="3" t="s">
        <v>75</v>
      </c>
      <c r="B33" s="4">
        <v>1</v>
      </c>
      <c r="C33" s="5">
        <v>289.56</v>
      </c>
      <c r="D33" s="6">
        <f t="shared" si="9"/>
        <v>0.71411797209559325</v>
      </c>
      <c r="E33" s="7">
        <v>0</v>
      </c>
      <c r="F33" s="7">
        <v>82.78</v>
      </c>
      <c r="G33" s="8">
        <f t="shared" si="8"/>
        <v>82.78</v>
      </c>
      <c r="H33" s="7">
        <v>0</v>
      </c>
      <c r="I33" s="7">
        <v>0.01</v>
      </c>
      <c r="J33" s="9">
        <v>45607</v>
      </c>
      <c r="K33" s="24">
        <v>45621</v>
      </c>
      <c r="L33" s="5"/>
      <c r="M33" s="7">
        <v>20.34</v>
      </c>
      <c r="N33" s="5"/>
      <c r="O33" s="11">
        <f>0.83+9.76</f>
        <v>10.59</v>
      </c>
      <c r="P33" s="4">
        <v>1</v>
      </c>
      <c r="Q33" s="8">
        <f t="shared" si="2"/>
        <v>72.2</v>
      </c>
      <c r="R33" s="12" t="s">
        <v>74</v>
      </c>
      <c r="T33" s="8">
        <f t="shared" si="3"/>
        <v>72.2</v>
      </c>
    </row>
    <row r="34" spans="1:20" ht="31.2" x14ac:dyDescent="0.3">
      <c r="A34" s="3" t="s">
        <v>223</v>
      </c>
      <c r="B34" s="4">
        <v>1</v>
      </c>
      <c r="C34" s="5">
        <v>86.34</v>
      </c>
      <c r="D34" s="6">
        <f t="shared" si="9"/>
        <v>0.12879314338661113</v>
      </c>
      <c r="E34" s="7">
        <v>0</v>
      </c>
      <c r="F34" s="7">
        <v>75.22</v>
      </c>
      <c r="G34" s="8">
        <f t="shared" si="8"/>
        <v>75.22</v>
      </c>
      <c r="H34" s="7">
        <v>0</v>
      </c>
      <c r="I34" s="7">
        <v>0.01</v>
      </c>
      <c r="J34" s="9">
        <v>45607</v>
      </c>
      <c r="K34" s="9">
        <v>45617</v>
      </c>
      <c r="L34" s="5"/>
      <c r="M34" s="7">
        <v>20.34</v>
      </c>
      <c r="N34" s="5"/>
      <c r="O34" s="11">
        <v>7.92</v>
      </c>
      <c r="P34" s="4">
        <v>1</v>
      </c>
      <c r="Q34" s="8">
        <f t="shared" ref="Q34:Q65" si="10">F34+(I34/B34)-(O34/B34)</f>
        <v>67.31</v>
      </c>
      <c r="R34" s="12" t="s">
        <v>76</v>
      </c>
      <c r="T34" s="8">
        <f t="shared" ref="T34:T65" si="11">B34*Q34</f>
        <v>67.31</v>
      </c>
    </row>
    <row r="35" spans="1:20" ht="46.8" x14ac:dyDescent="0.3">
      <c r="A35" s="3" t="s">
        <v>78</v>
      </c>
      <c r="B35" s="4">
        <v>1</v>
      </c>
      <c r="C35" s="5">
        <v>287.73</v>
      </c>
      <c r="D35" s="6">
        <f t="shared" si="9"/>
        <v>0.65829075869738995</v>
      </c>
      <c r="E35" s="7">
        <v>0</v>
      </c>
      <c r="F35" s="7">
        <v>98.32</v>
      </c>
      <c r="G35" s="8">
        <f t="shared" si="8"/>
        <v>98.32</v>
      </c>
      <c r="H35" s="7">
        <v>0</v>
      </c>
      <c r="I35" s="7">
        <v>0.02</v>
      </c>
      <c r="J35" s="9">
        <v>45607</v>
      </c>
      <c r="K35" s="9">
        <v>45614</v>
      </c>
      <c r="L35" s="5"/>
      <c r="M35" s="7">
        <v>20.34</v>
      </c>
      <c r="N35" s="5"/>
      <c r="O35" s="11">
        <f>0.97+11.07</f>
        <v>12.040000000000001</v>
      </c>
      <c r="P35" s="4">
        <v>1</v>
      </c>
      <c r="Q35" s="8">
        <f t="shared" si="10"/>
        <v>86.299999999999983</v>
      </c>
      <c r="R35" s="12" t="s">
        <v>77</v>
      </c>
      <c r="T35" s="8">
        <f t="shared" si="11"/>
        <v>86.299999999999983</v>
      </c>
    </row>
    <row r="36" spans="1:20" ht="46.8" x14ac:dyDescent="0.3">
      <c r="A36" s="3" t="s">
        <v>356</v>
      </c>
      <c r="B36" s="4">
        <v>1</v>
      </c>
      <c r="C36" s="5">
        <v>355.97</v>
      </c>
      <c r="D36" s="6">
        <f t="shared" si="9"/>
        <v>0.56619939882574377</v>
      </c>
      <c r="E36" s="7">
        <v>0</v>
      </c>
      <c r="F36" s="7">
        <v>154.41999999999999</v>
      </c>
      <c r="G36" s="8">
        <f t="shared" si="8"/>
        <v>154.41999999999999</v>
      </c>
      <c r="H36" s="7">
        <v>0</v>
      </c>
      <c r="I36" s="7">
        <v>0.04</v>
      </c>
      <c r="J36" s="9">
        <v>45607</v>
      </c>
      <c r="K36" s="9">
        <v>45615</v>
      </c>
      <c r="L36" s="5"/>
      <c r="M36" s="7">
        <v>20.34</v>
      </c>
      <c r="N36" s="5"/>
      <c r="O36" s="11">
        <v>17.55</v>
      </c>
      <c r="P36" s="4">
        <v>1</v>
      </c>
      <c r="Q36" s="8">
        <f t="shared" si="10"/>
        <v>136.90999999999997</v>
      </c>
      <c r="R36" s="12" t="s">
        <v>79</v>
      </c>
      <c r="T36" s="8">
        <f t="shared" si="11"/>
        <v>136.90999999999997</v>
      </c>
    </row>
    <row r="37" spans="1:20" ht="46.8" x14ac:dyDescent="0.3">
      <c r="A37" s="3" t="s">
        <v>357</v>
      </c>
      <c r="B37" s="4">
        <v>1</v>
      </c>
      <c r="C37" s="5">
        <v>310.52</v>
      </c>
      <c r="D37" s="6">
        <f t="shared" si="9"/>
        <v>0.7338657735411569</v>
      </c>
      <c r="E37" s="7">
        <v>0</v>
      </c>
      <c r="F37" s="7">
        <v>82.64</v>
      </c>
      <c r="G37" s="8">
        <f t="shared" si="8"/>
        <v>82.64</v>
      </c>
      <c r="H37" s="7">
        <v>0</v>
      </c>
      <c r="I37" s="7">
        <v>0.02</v>
      </c>
      <c r="J37" s="9">
        <v>45607</v>
      </c>
      <c r="K37" s="9">
        <v>45615</v>
      </c>
      <c r="L37" s="5"/>
      <c r="M37" s="7">
        <v>20.34</v>
      </c>
      <c r="N37" s="5"/>
      <c r="O37" s="11">
        <f>0.83+9.3</f>
        <v>10.130000000000001</v>
      </c>
      <c r="P37" s="4">
        <v>1</v>
      </c>
      <c r="Q37" s="8">
        <f t="shared" si="10"/>
        <v>72.53</v>
      </c>
      <c r="R37" s="12" t="s">
        <v>80</v>
      </c>
      <c r="T37" s="8">
        <f t="shared" si="11"/>
        <v>72.53</v>
      </c>
    </row>
    <row r="38" spans="1:20" ht="31.2" x14ac:dyDescent="0.3">
      <c r="A38" s="3" t="s">
        <v>359</v>
      </c>
      <c r="B38" s="4">
        <v>1</v>
      </c>
      <c r="C38" s="5">
        <v>137.29</v>
      </c>
      <c r="D38" s="6">
        <f t="shared" si="9"/>
        <v>0.11042319178381525</v>
      </c>
      <c r="E38" s="7">
        <v>0</v>
      </c>
      <c r="F38" s="7">
        <v>122.13</v>
      </c>
      <c r="G38" s="8">
        <f t="shared" si="8"/>
        <v>122.13</v>
      </c>
      <c r="H38" s="7">
        <v>0</v>
      </c>
      <c r="I38" s="7">
        <v>0.02</v>
      </c>
      <c r="J38" s="9">
        <v>45607</v>
      </c>
      <c r="K38" s="9">
        <v>45615</v>
      </c>
      <c r="L38" s="5"/>
      <c r="M38" s="7">
        <v>20.34</v>
      </c>
      <c r="N38" s="5"/>
      <c r="O38" s="11">
        <v>13.88</v>
      </c>
      <c r="P38" s="4">
        <v>1</v>
      </c>
      <c r="Q38" s="8">
        <f t="shared" si="10"/>
        <v>108.27</v>
      </c>
      <c r="R38" s="12" t="s">
        <v>81</v>
      </c>
      <c r="T38" s="8">
        <f t="shared" si="11"/>
        <v>108.27</v>
      </c>
    </row>
    <row r="39" spans="1:20" ht="31.2" x14ac:dyDescent="0.3">
      <c r="A39" s="3" t="s">
        <v>358</v>
      </c>
      <c r="B39" s="4">
        <v>1</v>
      </c>
      <c r="C39" s="5">
        <v>106.93</v>
      </c>
      <c r="D39" s="6">
        <f t="shared" si="9"/>
        <v>0.11203591134386987</v>
      </c>
      <c r="E39" s="7">
        <v>0</v>
      </c>
      <c r="F39" s="7">
        <v>94.95</v>
      </c>
      <c r="G39" s="8">
        <f t="shared" si="8"/>
        <v>94.95</v>
      </c>
      <c r="H39" s="7">
        <v>0</v>
      </c>
      <c r="I39" s="7">
        <v>0.03</v>
      </c>
      <c r="J39" s="9">
        <v>45607</v>
      </c>
      <c r="K39" s="9">
        <v>45615</v>
      </c>
      <c r="L39" s="5"/>
      <c r="M39" s="7">
        <v>20.34</v>
      </c>
      <c r="N39" s="5"/>
      <c r="O39" s="11">
        <v>10.8</v>
      </c>
      <c r="P39" s="4">
        <v>1</v>
      </c>
      <c r="Q39" s="8">
        <f t="shared" si="10"/>
        <v>84.18</v>
      </c>
      <c r="R39" s="12"/>
      <c r="T39" s="8">
        <f t="shared" si="11"/>
        <v>84.18</v>
      </c>
    </row>
    <row r="40" spans="1:20" ht="46.8" x14ac:dyDescent="0.3">
      <c r="A40" s="26" t="s">
        <v>83</v>
      </c>
      <c r="B40" s="27">
        <v>1</v>
      </c>
      <c r="C40" s="28">
        <v>3693.28</v>
      </c>
      <c r="D40" s="29">
        <f t="shared" ref="D40:D68" si="12">(((C40-F40)*100)/C40)/100</f>
        <v>0.47004288870597416</v>
      </c>
      <c r="E40" s="30">
        <v>0</v>
      </c>
      <c r="F40" s="30">
        <v>1957.28</v>
      </c>
      <c r="G40" s="31">
        <f t="shared" ref="G40:G68" si="13">B40*F40</f>
        <v>1957.28</v>
      </c>
      <c r="H40" s="30">
        <v>0</v>
      </c>
      <c r="I40" s="30">
        <v>44.22</v>
      </c>
      <c r="J40" s="24">
        <v>45609</v>
      </c>
      <c r="K40" s="24" t="s">
        <v>289</v>
      </c>
      <c r="L40" s="28"/>
      <c r="M40" s="30">
        <v>20.52</v>
      </c>
      <c r="N40" s="5"/>
      <c r="O40" s="11">
        <v>270.02</v>
      </c>
      <c r="P40" s="4">
        <v>1</v>
      </c>
      <c r="Q40" s="31">
        <f t="shared" si="10"/>
        <v>1731.48</v>
      </c>
      <c r="R40" s="12" t="s">
        <v>82</v>
      </c>
      <c r="T40" s="8">
        <f t="shared" si="11"/>
        <v>1731.48</v>
      </c>
    </row>
    <row r="41" spans="1:20" ht="31.2" x14ac:dyDescent="0.3">
      <c r="A41" s="3" t="s">
        <v>85</v>
      </c>
      <c r="B41" s="4">
        <v>2</v>
      </c>
      <c r="C41" s="5">
        <v>250</v>
      </c>
      <c r="D41" s="6">
        <f t="shared" si="12"/>
        <v>0.15987999999999999</v>
      </c>
      <c r="E41" s="7">
        <v>0</v>
      </c>
      <c r="F41" s="7">
        <v>210.03</v>
      </c>
      <c r="G41" s="8">
        <f t="shared" si="13"/>
        <v>420.06</v>
      </c>
      <c r="H41" s="7">
        <v>0</v>
      </c>
      <c r="I41" s="7">
        <v>0.2</v>
      </c>
      <c r="J41" s="9">
        <v>45610</v>
      </c>
      <c r="K41" s="9">
        <v>45620</v>
      </c>
      <c r="L41" s="5"/>
      <c r="M41" s="7">
        <v>20.440000000000001</v>
      </c>
      <c r="N41" s="5"/>
      <c r="O41" s="11">
        <v>60</v>
      </c>
      <c r="P41" s="4">
        <v>1</v>
      </c>
      <c r="Q41" s="8">
        <f t="shared" si="10"/>
        <v>180.13</v>
      </c>
      <c r="R41" s="12" t="s">
        <v>84</v>
      </c>
      <c r="T41" s="8">
        <f t="shared" si="11"/>
        <v>360.26</v>
      </c>
    </row>
    <row r="42" spans="1:20" ht="31.2" x14ac:dyDescent="0.3">
      <c r="A42" s="3" t="s">
        <v>224</v>
      </c>
      <c r="B42" s="4">
        <v>1</v>
      </c>
      <c r="C42" s="5">
        <v>961.31</v>
      </c>
      <c r="D42" s="6">
        <f t="shared" ref="D42:D44" si="14">(((C42-F42)*100)/C42)/100</f>
        <v>0.55374436966223173</v>
      </c>
      <c r="E42" s="7">
        <v>0</v>
      </c>
      <c r="F42" s="7">
        <v>428.99</v>
      </c>
      <c r="G42" s="8">
        <f t="shared" ref="G42:G44" si="15">B42*F42</f>
        <v>428.99</v>
      </c>
      <c r="H42" s="7">
        <v>0</v>
      </c>
      <c r="I42" s="7">
        <v>0</v>
      </c>
      <c r="J42" s="9">
        <v>45610</v>
      </c>
      <c r="K42" s="9">
        <v>45612</v>
      </c>
      <c r="L42" s="5"/>
      <c r="M42" s="7">
        <v>20.440000000000001</v>
      </c>
      <c r="N42" s="5"/>
      <c r="O42" s="11">
        <v>0</v>
      </c>
      <c r="P42" s="4">
        <v>1</v>
      </c>
      <c r="Q42" s="8">
        <f t="shared" si="10"/>
        <v>428.99</v>
      </c>
      <c r="R42" s="12" t="s">
        <v>174</v>
      </c>
      <c r="T42" s="8">
        <f t="shared" si="11"/>
        <v>428.99</v>
      </c>
    </row>
    <row r="43" spans="1:20" ht="31.2" x14ac:dyDescent="0.3">
      <c r="A43" s="3" t="s">
        <v>176</v>
      </c>
      <c r="B43" s="4">
        <v>1</v>
      </c>
      <c r="C43" s="5">
        <v>798.98</v>
      </c>
      <c r="D43" s="6">
        <f t="shared" si="14"/>
        <v>0.49812260632306193</v>
      </c>
      <c r="E43" s="7">
        <v>0</v>
      </c>
      <c r="F43" s="7">
        <v>400.99</v>
      </c>
      <c r="G43" s="8">
        <f t="shared" si="15"/>
        <v>400.99</v>
      </c>
      <c r="H43" s="7">
        <v>0</v>
      </c>
      <c r="I43" s="7">
        <v>0</v>
      </c>
      <c r="J43" s="9">
        <v>45610</v>
      </c>
      <c r="K43" s="9">
        <v>45612</v>
      </c>
      <c r="L43" s="5"/>
      <c r="M43" s="7">
        <v>20.440000000000001</v>
      </c>
      <c r="N43" s="5"/>
      <c r="O43" s="11">
        <v>0</v>
      </c>
      <c r="P43" s="4">
        <v>1</v>
      </c>
      <c r="Q43" s="8">
        <f t="shared" si="10"/>
        <v>400.99</v>
      </c>
      <c r="R43" s="12" t="s">
        <v>175</v>
      </c>
      <c r="T43" s="8">
        <f t="shared" si="11"/>
        <v>400.99</v>
      </c>
    </row>
    <row r="44" spans="1:20" ht="31.2" x14ac:dyDescent="0.3">
      <c r="A44" s="3" t="s">
        <v>360</v>
      </c>
      <c r="B44" s="4">
        <v>1</v>
      </c>
      <c r="C44" s="5">
        <v>798.98</v>
      </c>
      <c r="D44" s="6">
        <f t="shared" si="14"/>
        <v>0.60200505644696989</v>
      </c>
      <c r="E44" s="7">
        <v>0</v>
      </c>
      <c r="F44" s="7">
        <v>317.99</v>
      </c>
      <c r="G44" s="8">
        <f t="shared" si="15"/>
        <v>317.99</v>
      </c>
      <c r="H44" s="7">
        <v>0</v>
      </c>
      <c r="I44" s="7">
        <v>0</v>
      </c>
      <c r="J44" s="9">
        <v>45610</v>
      </c>
      <c r="K44" s="9">
        <v>45612</v>
      </c>
      <c r="L44" s="5"/>
      <c r="M44" s="7">
        <v>20.440000000000001</v>
      </c>
      <c r="N44" s="5"/>
      <c r="O44" s="11">
        <v>0</v>
      </c>
      <c r="P44" s="4">
        <v>1</v>
      </c>
      <c r="Q44" s="8">
        <f t="shared" si="10"/>
        <v>317.99</v>
      </c>
      <c r="R44" s="12" t="s">
        <v>177</v>
      </c>
      <c r="T44" s="8">
        <f t="shared" si="11"/>
        <v>317.99</v>
      </c>
    </row>
    <row r="45" spans="1:20" ht="46.8" x14ac:dyDescent="0.3">
      <c r="A45" s="3" t="s">
        <v>179</v>
      </c>
      <c r="B45" s="4">
        <v>1</v>
      </c>
      <c r="C45" s="5">
        <v>592</v>
      </c>
      <c r="D45" s="6">
        <f t="shared" ref="D45:D49" si="16">(((C45-F45)*100)/C45)/100</f>
        <v>0.24070945945945948</v>
      </c>
      <c r="E45" s="7">
        <v>0</v>
      </c>
      <c r="F45" s="7">
        <v>449.5</v>
      </c>
      <c r="G45" s="8">
        <f t="shared" ref="G45:G49" si="17">B45*F45</f>
        <v>449.5</v>
      </c>
      <c r="H45" s="7">
        <v>0</v>
      </c>
      <c r="I45" s="7">
        <v>0</v>
      </c>
      <c r="J45" s="9">
        <v>45610</v>
      </c>
      <c r="K45" s="9">
        <v>45612</v>
      </c>
      <c r="L45" s="5"/>
      <c r="M45" s="7">
        <v>20.440000000000001</v>
      </c>
      <c r="N45" s="5"/>
      <c r="O45" s="11">
        <v>0</v>
      </c>
      <c r="P45" s="4">
        <v>1</v>
      </c>
      <c r="Q45" s="8">
        <f t="shared" si="10"/>
        <v>449.5</v>
      </c>
      <c r="R45" s="12" t="s">
        <v>178</v>
      </c>
      <c r="T45" s="8">
        <f t="shared" si="11"/>
        <v>449.5</v>
      </c>
    </row>
    <row r="46" spans="1:20" ht="46.8" x14ac:dyDescent="0.3">
      <c r="A46" s="3" t="s">
        <v>181</v>
      </c>
      <c r="B46" s="4">
        <v>1</v>
      </c>
      <c r="C46" s="5">
        <v>776.04</v>
      </c>
      <c r="D46" s="6">
        <f t="shared" si="16"/>
        <v>0.63803412195247677</v>
      </c>
      <c r="E46" s="7">
        <v>0</v>
      </c>
      <c r="F46" s="7">
        <v>280.89999999999998</v>
      </c>
      <c r="G46" s="8">
        <f t="shared" si="17"/>
        <v>280.89999999999998</v>
      </c>
      <c r="H46" s="7">
        <v>0</v>
      </c>
      <c r="I46" s="7">
        <v>0</v>
      </c>
      <c r="J46" s="9">
        <v>45610</v>
      </c>
      <c r="K46" s="9">
        <v>45612</v>
      </c>
      <c r="L46" s="5"/>
      <c r="M46" s="7">
        <v>20.440000000000001</v>
      </c>
      <c r="N46" s="5"/>
      <c r="O46" s="11">
        <v>0</v>
      </c>
      <c r="P46" s="4">
        <v>1</v>
      </c>
      <c r="Q46" s="8">
        <f t="shared" si="10"/>
        <v>280.89999999999998</v>
      </c>
      <c r="R46" s="12" t="s">
        <v>180</v>
      </c>
      <c r="T46" s="8">
        <f t="shared" si="11"/>
        <v>280.89999999999998</v>
      </c>
    </row>
    <row r="47" spans="1:20" x14ac:dyDescent="0.3">
      <c r="A47" s="3" t="s">
        <v>183</v>
      </c>
      <c r="B47" s="4">
        <v>1</v>
      </c>
      <c r="C47" s="5">
        <v>469</v>
      </c>
      <c r="D47" s="6">
        <f t="shared" si="16"/>
        <v>0.57569296375266521</v>
      </c>
      <c r="E47" s="7">
        <v>0</v>
      </c>
      <c r="F47" s="7">
        <v>199</v>
      </c>
      <c r="G47" s="8">
        <f t="shared" si="17"/>
        <v>199</v>
      </c>
      <c r="H47" s="7">
        <v>0</v>
      </c>
      <c r="I47" s="7">
        <v>0</v>
      </c>
      <c r="J47" s="9">
        <v>45610</v>
      </c>
      <c r="K47" s="9">
        <v>45612</v>
      </c>
      <c r="L47" s="5"/>
      <c r="M47" s="7">
        <v>20.440000000000001</v>
      </c>
      <c r="N47" s="5"/>
      <c r="O47" s="11">
        <v>0</v>
      </c>
      <c r="P47" s="4">
        <v>1</v>
      </c>
      <c r="Q47" s="8">
        <f t="shared" si="10"/>
        <v>199</v>
      </c>
      <c r="R47" s="12" t="s">
        <v>182</v>
      </c>
      <c r="T47" s="8">
        <f t="shared" si="11"/>
        <v>199</v>
      </c>
    </row>
    <row r="48" spans="1:20" ht="31.2" x14ac:dyDescent="0.3">
      <c r="A48" s="3" t="s">
        <v>361</v>
      </c>
      <c r="B48" s="4">
        <v>1</v>
      </c>
      <c r="C48" s="5">
        <v>4599</v>
      </c>
      <c r="D48" s="6">
        <f t="shared" si="16"/>
        <v>0.40746684061752553</v>
      </c>
      <c r="E48" s="7">
        <v>0</v>
      </c>
      <c r="F48" s="7">
        <v>2725.06</v>
      </c>
      <c r="G48" s="8">
        <f t="shared" si="17"/>
        <v>2725.06</v>
      </c>
      <c r="H48" s="7">
        <v>0</v>
      </c>
      <c r="I48" s="7">
        <v>0</v>
      </c>
      <c r="J48" s="9">
        <v>45610</v>
      </c>
      <c r="K48" s="9">
        <v>45612</v>
      </c>
      <c r="L48" s="5"/>
      <c r="M48" s="7">
        <v>20.440000000000001</v>
      </c>
      <c r="N48" s="5"/>
      <c r="O48" s="11">
        <v>0</v>
      </c>
      <c r="P48" s="4">
        <v>1</v>
      </c>
      <c r="Q48" s="8">
        <f t="shared" si="10"/>
        <v>2725.06</v>
      </c>
      <c r="R48" s="12" t="s">
        <v>184</v>
      </c>
      <c r="T48" s="8">
        <f t="shared" si="11"/>
        <v>2725.06</v>
      </c>
    </row>
    <row r="49" spans="1:20" ht="46.8" x14ac:dyDescent="0.3">
      <c r="A49" s="3" t="s">
        <v>186</v>
      </c>
      <c r="B49" s="4">
        <v>1</v>
      </c>
      <c r="C49" s="5">
        <v>399</v>
      </c>
      <c r="D49" s="6">
        <f t="shared" si="16"/>
        <v>0.50125313283208017</v>
      </c>
      <c r="E49" s="7">
        <v>0</v>
      </c>
      <c r="F49" s="7">
        <v>199</v>
      </c>
      <c r="G49" s="8">
        <f t="shared" si="17"/>
        <v>199</v>
      </c>
      <c r="H49" s="7">
        <v>0</v>
      </c>
      <c r="I49" s="7">
        <v>0</v>
      </c>
      <c r="J49" s="9">
        <v>45610</v>
      </c>
      <c r="K49" s="9">
        <v>45612</v>
      </c>
      <c r="L49" s="5"/>
      <c r="M49" s="7">
        <v>20.440000000000001</v>
      </c>
      <c r="N49" s="5"/>
      <c r="O49" s="11">
        <v>0</v>
      </c>
      <c r="P49" s="4">
        <v>1</v>
      </c>
      <c r="Q49" s="8">
        <f t="shared" si="10"/>
        <v>199</v>
      </c>
      <c r="R49" s="12" t="s">
        <v>185</v>
      </c>
      <c r="T49" s="8">
        <f t="shared" si="11"/>
        <v>199</v>
      </c>
    </row>
    <row r="50" spans="1:20" ht="46.8" x14ac:dyDescent="0.3">
      <c r="A50" s="3" t="s">
        <v>188</v>
      </c>
      <c r="B50" s="4">
        <v>1</v>
      </c>
      <c r="C50" s="5">
        <v>810</v>
      </c>
      <c r="D50" s="6">
        <f t="shared" ref="D50" si="18">(((C50-F50)*100)/C50)/100</f>
        <v>0.28890123456790123</v>
      </c>
      <c r="E50" s="7">
        <v>0</v>
      </c>
      <c r="F50" s="7">
        <v>575.99</v>
      </c>
      <c r="G50" s="8">
        <f t="shared" ref="G50" si="19">B50*F50</f>
        <v>575.99</v>
      </c>
      <c r="H50" s="7">
        <v>0</v>
      </c>
      <c r="I50" s="7">
        <v>0</v>
      </c>
      <c r="J50" s="9">
        <v>45611</v>
      </c>
      <c r="K50" s="9">
        <v>45612</v>
      </c>
      <c r="L50" s="5"/>
      <c r="M50" s="7">
        <v>20.329999999999998</v>
      </c>
      <c r="N50" s="5"/>
      <c r="O50" s="11">
        <v>0</v>
      </c>
      <c r="P50" s="4">
        <v>1</v>
      </c>
      <c r="Q50" s="8">
        <f t="shared" si="10"/>
        <v>575.99</v>
      </c>
      <c r="R50" s="12" t="s">
        <v>187</v>
      </c>
      <c r="T50" s="8">
        <f t="shared" si="11"/>
        <v>575.99</v>
      </c>
    </row>
    <row r="51" spans="1:20" ht="31.2" x14ac:dyDescent="0.3">
      <c r="A51" s="3" t="s">
        <v>362</v>
      </c>
      <c r="B51" s="4">
        <v>1</v>
      </c>
      <c r="C51" s="5">
        <v>399</v>
      </c>
      <c r="D51" s="6">
        <f t="shared" ref="D51:D57" si="20">(((C51-F51)*100)/C51)/100</f>
        <v>0.39285714285714285</v>
      </c>
      <c r="E51" s="7">
        <v>0</v>
      </c>
      <c r="F51" s="7">
        <v>242.25</v>
      </c>
      <c r="G51" s="8">
        <f t="shared" ref="G51:G57" si="21">B51*F51</f>
        <v>242.25</v>
      </c>
      <c r="H51" s="7">
        <v>0</v>
      </c>
      <c r="I51" s="7">
        <v>0</v>
      </c>
      <c r="J51" s="9">
        <v>45611</v>
      </c>
      <c r="K51" s="9">
        <v>45612</v>
      </c>
      <c r="L51" s="5"/>
      <c r="M51" s="7">
        <v>20.329999999999998</v>
      </c>
      <c r="N51" s="5"/>
      <c r="O51" s="11">
        <v>0</v>
      </c>
      <c r="P51" s="4">
        <v>1</v>
      </c>
      <c r="Q51" s="8">
        <f t="shared" si="10"/>
        <v>242.25</v>
      </c>
      <c r="R51" s="12" t="s">
        <v>189</v>
      </c>
      <c r="T51" s="8">
        <f t="shared" si="11"/>
        <v>242.25</v>
      </c>
    </row>
    <row r="52" spans="1:20" ht="46.8" x14ac:dyDescent="0.3">
      <c r="A52" s="3" t="s">
        <v>191</v>
      </c>
      <c r="B52" s="4">
        <v>1</v>
      </c>
      <c r="C52" s="5">
        <v>429</v>
      </c>
      <c r="D52" s="6">
        <f t="shared" si="20"/>
        <v>0.4794871794871795</v>
      </c>
      <c r="E52" s="7">
        <v>0</v>
      </c>
      <c r="F52" s="7">
        <v>223.3</v>
      </c>
      <c r="G52" s="8">
        <f t="shared" si="21"/>
        <v>223.3</v>
      </c>
      <c r="H52" s="7">
        <v>0</v>
      </c>
      <c r="I52" s="7">
        <v>0</v>
      </c>
      <c r="J52" s="9">
        <v>45611</v>
      </c>
      <c r="K52" s="9">
        <v>45612</v>
      </c>
      <c r="L52" s="5"/>
      <c r="M52" s="7">
        <v>20.329999999999998</v>
      </c>
      <c r="N52" s="5"/>
      <c r="O52" s="11">
        <v>0</v>
      </c>
      <c r="P52" s="4">
        <v>1</v>
      </c>
      <c r="Q52" s="8">
        <f t="shared" si="10"/>
        <v>223.3</v>
      </c>
      <c r="R52" s="12" t="s">
        <v>190</v>
      </c>
      <c r="T52" s="8">
        <f t="shared" si="11"/>
        <v>223.3</v>
      </c>
    </row>
    <row r="53" spans="1:20" ht="46.8" x14ac:dyDescent="0.3">
      <c r="A53" s="3" t="s">
        <v>363</v>
      </c>
      <c r="B53" s="4">
        <v>1</v>
      </c>
      <c r="C53" s="5">
        <v>499</v>
      </c>
      <c r="D53" s="6">
        <f t="shared" si="20"/>
        <v>0.34859719438877756</v>
      </c>
      <c r="E53" s="7">
        <v>0</v>
      </c>
      <c r="F53" s="7">
        <v>325.05</v>
      </c>
      <c r="G53" s="8">
        <f t="shared" si="21"/>
        <v>325.05</v>
      </c>
      <c r="H53" s="7">
        <v>0</v>
      </c>
      <c r="I53" s="7">
        <v>0</v>
      </c>
      <c r="J53" s="9">
        <v>45611</v>
      </c>
      <c r="K53" s="9">
        <v>45612</v>
      </c>
      <c r="L53" s="5"/>
      <c r="M53" s="7">
        <v>20.329999999999998</v>
      </c>
      <c r="N53" s="5"/>
      <c r="O53" s="11">
        <v>0</v>
      </c>
      <c r="P53" s="4">
        <v>1</v>
      </c>
      <c r="Q53" s="8">
        <f t="shared" si="10"/>
        <v>325.05</v>
      </c>
      <c r="R53" s="12" t="s">
        <v>192</v>
      </c>
      <c r="T53" s="8">
        <f t="shared" si="11"/>
        <v>325.05</v>
      </c>
    </row>
    <row r="54" spans="1:20" ht="31.2" x14ac:dyDescent="0.3">
      <c r="A54" s="3" t="s">
        <v>194</v>
      </c>
      <c r="B54" s="4">
        <v>1</v>
      </c>
      <c r="C54" s="5">
        <v>429</v>
      </c>
      <c r="D54" s="6">
        <f t="shared" si="20"/>
        <v>0.40312354312354315</v>
      </c>
      <c r="E54" s="7">
        <v>0</v>
      </c>
      <c r="F54" s="7">
        <v>256.06</v>
      </c>
      <c r="G54" s="8">
        <f t="shared" si="21"/>
        <v>256.06</v>
      </c>
      <c r="H54" s="7">
        <v>0</v>
      </c>
      <c r="I54" s="7">
        <v>0</v>
      </c>
      <c r="J54" s="9">
        <v>45611</v>
      </c>
      <c r="K54" s="9">
        <v>45612</v>
      </c>
      <c r="L54" s="5"/>
      <c r="M54" s="7">
        <v>20.329999999999998</v>
      </c>
      <c r="N54" s="5"/>
      <c r="O54" s="11">
        <v>0</v>
      </c>
      <c r="P54" s="4">
        <v>1</v>
      </c>
      <c r="Q54" s="8">
        <f t="shared" si="10"/>
        <v>256.06</v>
      </c>
      <c r="R54" s="12" t="s">
        <v>193</v>
      </c>
      <c r="T54" s="8">
        <f t="shared" si="11"/>
        <v>256.06</v>
      </c>
    </row>
    <row r="55" spans="1:20" ht="46.8" x14ac:dyDescent="0.3">
      <c r="A55" s="3" t="s">
        <v>179</v>
      </c>
      <c r="B55" s="4">
        <v>1</v>
      </c>
      <c r="C55" s="5">
        <v>692</v>
      </c>
      <c r="D55" s="6">
        <f t="shared" si="20"/>
        <v>0.35043352601156064</v>
      </c>
      <c r="E55" s="7">
        <v>0</v>
      </c>
      <c r="F55" s="7">
        <v>449.5</v>
      </c>
      <c r="G55" s="8">
        <f t="shared" si="21"/>
        <v>449.5</v>
      </c>
      <c r="H55" s="7">
        <v>0</v>
      </c>
      <c r="I55" s="7">
        <v>0</v>
      </c>
      <c r="J55" s="9">
        <v>45611</v>
      </c>
      <c r="K55" s="9">
        <v>45612</v>
      </c>
      <c r="L55" s="5"/>
      <c r="M55" s="7">
        <v>20.329999999999998</v>
      </c>
      <c r="N55" s="5"/>
      <c r="O55" s="11">
        <v>0</v>
      </c>
      <c r="P55" s="4">
        <v>1</v>
      </c>
      <c r="Q55" s="8">
        <f t="shared" si="10"/>
        <v>449.5</v>
      </c>
      <c r="R55" s="12" t="s">
        <v>195</v>
      </c>
      <c r="T55" s="8">
        <f t="shared" si="11"/>
        <v>449.5</v>
      </c>
    </row>
    <row r="56" spans="1:20" ht="31.2" x14ac:dyDescent="0.3">
      <c r="A56" s="3" t="s">
        <v>197</v>
      </c>
      <c r="B56" s="4">
        <v>1</v>
      </c>
      <c r="C56" s="5">
        <v>679</v>
      </c>
      <c r="D56" s="6">
        <f t="shared" si="20"/>
        <v>0.44490427098674518</v>
      </c>
      <c r="E56" s="7">
        <v>0</v>
      </c>
      <c r="F56" s="7">
        <v>376.91</v>
      </c>
      <c r="G56" s="8">
        <f t="shared" si="21"/>
        <v>376.91</v>
      </c>
      <c r="H56" s="7">
        <v>0</v>
      </c>
      <c r="I56" s="7">
        <v>0</v>
      </c>
      <c r="J56" s="9">
        <v>45611</v>
      </c>
      <c r="K56" s="9">
        <v>45612</v>
      </c>
      <c r="L56" s="5"/>
      <c r="M56" s="7">
        <v>20.329999999999998</v>
      </c>
      <c r="N56" s="5"/>
      <c r="O56" s="11">
        <v>0</v>
      </c>
      <c r="P56" s="4">
        <v>1</v>
      </c>
      <c r="Q56" s="8">
        <f t="shared" si="10"/>
        <v>376.91</v>
      </c>
      <c r="R56" s="12" t="s">
        <v>196</v>
      </c>
      <c r="T56" s="8">
        <f t="shared" si="11"/>
        <v>376.91</v>
      </c>
    </row>
    <row r="57" spans="1:20" ht="31.2" x14ac:dyDescent="0.3">
      <c r="A57" s="3" t="s">
        <v>199</v>
      </c>
      <c r="B57" s="4">
        <v>1</v>
      </c>
      <c r="C57" s="5">
        <v>299</v>
      </c>
      <c r="D57" s="6">
        <f t="shared" si="20"/>
        <v>0.47826086956521741</v>
      </c>
      <c r="E57" s="7">
        <v>0</v>
      </c>
      <c r="F57" s="7">
        <v>156</v>
      </c>
      <c r="G57" s="8">
        <f t="shared" si="21"/>
        <v>156</v>
      </c>
      <c r="H57" s="7">
        <v>0</v>
      </c>
      <c r="I57" s="7">
        <v>0</v>
      </c>
      <c r="J57" s="9">
        <v>45611</v>
      </c>
      <c r="K57" s="9">
        <v>45612</v>
      </c>
      <c r="L57" s="5"/>
      <c r="M57" s="7">
        <v>20.329999999999998</v>
      </c>
      <c r="N57" s="5"/>
      <c r="O57" s="11">
        <v>0</v>
      </c>
      <c r="P57" s="4">
        <v>1</v>
      </c>
      <c r="Q57" s="8">
        <f t="shared" si="10"/>
        <v>156</v>
      </c>
      <c r="R57" s="12" t="s">
        <v>198</v>
      </c>
      <c r="T57" s="8">
        <f t="shared" si="11"/>
        <v>156</v>
      </c>
    </row>
    <row r="58" spans="1:20" ht="46.8" x14ac:dyDescent="0.3">
      <c r="A58" s="3" t="s">
        <v>364</v>
      </c>
      <c r="B58" s="4">
        <v>1</v>
      </c>
      <c r="C58" s="5">
        <v>759</v>
      </c>
      <c r="D58" s="6">
        <f t="shared" ref="D58" si="22">(((C58-F58)*100)/C58)/100</f>
        <v>0.50907773386034261</v>
      </c>
      <c r="E58" s="7">
        <v>0</v>
      </c>
      <c r="F58" s="7">
        <v>372.61</v>
      </c>
      <c r="G58" s="8">
        <f t="shared" ref="G58" si="23">B58*F58</f>
        <v>372.61</v>
      </c>
      <c r="H58" s="7">
        <v>0</v>
      </c>
      <c r="I58" s="7">
        <v>0</v>
      </c>
      <c r="J58" s="9">
        <v>45611</v>
      </c>
      <c r="K58" s="9">
        <v>45612</v>
      </c>
      <c r="L58" s="5"/>
      <c r="M58" s="7">
        <v>20.329999999999998</v>
      </c>
      <c r="N58" s="5"/>
      <c r="O58" s="11">
        <v>0</v>
      </c>
      <c r="P58" s="4">
        <v>1</v>
      </c>
      <c r="Q58" s="8">
        <f t="shared" si="10"/>
        <v>372.61</v>
      </c>
      <c r="R58" s="12" t="s">
        <v>200</v>
      </c>
      <c r="T58" s="8">
        <f t="shared" si="11"/>
        <v>372.61</v>
      </c>
    </row>
    <row r="59" spans="1:20" ht="46.8" x14ac:dyDescent="0.3">
      <c r="A59" s="3" t="s">
        <v>202</v>
      </c>
      <c r="B59" s="4">
        <v>1</v>
      </c>
      <c r="C59" s="5">
        <v>289</v>
      </c>
      <c r="D59" s="6">
        <f t="shared" ref="D59:D60" si="24">(((C59-F59)*100)/C59)/100</f>
        <v>0.34820069204152249</v>
      </c>
      <c r="E59" s="7">
        <v>0</v>
      </c>
      <c r="F59" s="7">
        <v>188.37</v>
      </c>
      <c r="G59" s="8">
        <f t="shared" ref="G59:G60" si="25">B59*F59</f>
        <v>188.37</v>
      </c>
      <c r="H59" s="7">
        <v>0</v>
      </c>
      <c r="I59" s="7">
        <v>0</v>
      </c>
      <c r="J59" s="9">
        <v>45611</v>
      </c>
      <c r="K59" s="9">
        <v>45612</v>
      </c>
      <c r="L59" s="5"/>
      <c r="M59" s="7">
        <v>20.329999999999998</v>
      </c>
      <c r="N59" s="5"/>
      <c r="O59" s="11">
        <v>0</v>
      </c>
      <c r="P59" s="4">
        <v>1</v>
      </c>
      <c r="Q59" s="8">
        <f t="shared" si="10"/>
        <v>188.37</v>
      </c>
      <c r="R59" s="12" t="s">
        <v>201</v>
      </c>
      <c r="T59" s="8">
        <f t="shared" si="11"/>
        <v>188.37</v>
      </c>
    </row>
    <row r="60" spans="1:20" ht="31.2" x14ac:dyDescent="0.3">
      <c r="A60" s="3" t="s">
        <v>204</v>
      </c>
      <c r="B60" s="4">
        <v>1</v>
      </c>
      <c r="C60" s="5">
        <v>799</v>
      </c>
      <c r="D60" s="6">
        <f t="shared" si="24"/>
        <v>0.50997496871088865</v>
      </c>
      <c r="E60" s="7">
        <v>0</v>
      </c>
      <c r="F60" s="7">
        <v>391.53</v>
      </c>
      <c r="G60" s="8">
        <f t="shared" si="25"/>
        <v>391.53</v>
      </c>
      <c r="H60" s="7">
        <v>0</v>
      </c>
      <c r="I60" s="7">
        <v>0</v>
      </c>
      <c r="J60" s="9">
        <v>45611</v>
      </c>
      <c r="K60" s="9">
        <v>45612</v>
      </c>
      <c r="L60" s="5"/>
      <c r="M60" s="7">
        <v>20.329999999999998</v>
      </c>
      <c r="N60" s="5"/>
      <c r="O60" s="11">
        <v>0</v>
      </c>
      <c r="P60" s="4">
        <v>1</v>
      </c>
      <c r="Q60" s="8">
        <f t="shared" si="10"/>
        <v>391.53</v>
      </c>
      <c r="R60" s="12" t="s">
        <v>203</v>
      </c>
      <c r="T60" s="8">
        <f t="shared" si="11"/>
        <v>391.53</v>
      </c>
    </row>
    <row r="61" spans="1:20" ht="62.4" x14ac:dyDescent="0.3">
      <c r="A61" s="3" t="s">
        <v>225</v>
      </c>
      <c r="B61" s="4">
        <v>1</v>
      </c>
      <c r="C61" s="5">
        <v>818.61</v>
      </c>
      <c r="D61" s="6">
        <f t="shared" si="12"/>
        <v>0.60848267184617821</v>
      </c>
      <c r="E61" s="7">
        <v>0</v>
      </c>
      <c r="F61" s="7">
        <v>320.5</v>
      </c>
      <c r="G61" s="8">
        <f t="shared" si="13"/>
        <v>320.5</v>
      </c>
      <c r="H61" s="7">
        <v>0</v>
      </c>
      <c r="I61" s="7">
        <v>0.04</v>
      </c>
      <c r="J61" s="9">
        <v>45612</v>
      </c>
      <c r="K61" s="9">
        <v>45621</v>
      </c>
      <c r="L61" s="5"/>
      <c r="M61" s="7">
        <v>20.329999999999998</v>
      </c>
      <c r="N61" s="5"/>
      <c r="O61" s="11">
        <f>3.2+41.97</f>
        <v>45.17</v>
      </c>
      <c r="P61" s="4">
        <v>1</v>
      </c>
      <c r="Q61" s="8">
        <f t="shared" si="10"/>
        <v>275.37</v>
      </c>
      <c r="R61" s="12" t="s">
        <v>86</v>
      </c>
      <c r="T61" s="8">
        <f t="shared" si="11"/>
        <v>275.37</v>
      </c>
    </row>
    <row r="62" spans="1:20" ht="46.8" x14ac:dyDescent="0.3">
      <c r="A62" s="3" t="s">
        <v>88</v>
      </c>
      <c r="B62" s="4">
        <v>1</v>
      </c>
      <c r="C62" s="5">
        <v>767.32</v>
      </c>
      <c r="D62" s="6">
        <f t="shared" si="12"/>
        <v>0.5631027472241048</v>
      </c>
      <c r="E62" s="7">
        <v>0</v>
      </c>
      <c r="F62" s="7">
        <v>335.24</v>
      </c>
      <c r="G62" s="8">
        <f t="shared" si="13"/>
        <v>335.24</v>
      </c>
      <c r="H62" s="7">
        <v>0</v>
      </c>
      <c r="I62" s="7">
        <v>0.03</v>
      </c>
      <c r="J62" s="9">
        <v>45612</v>
      </c>
      <c r="K62" s="9">
        <v>45621</v>
      </c>
      <c r="L62" s="5"/>
      <c r="M62" s="7">
        <v>20.329999999999998</v>
      </c>
      <c r="N62" s="5"/>
      <c r="O62" s="11">
        <f>3.35+43.9</f>
        <v>47.25</v>
      </c>
      <c r="P62" s="4">
        <v>1</v>
      </c>
      <c r="Q62" s="8">
        <f t="shared" si="10"/>
        <v>288.02</v>
      </c>
      <c r="R62" s="12" t="s">
        <v>87</v>
      </c>
      <c r="T62" s="8">
        <f t="shared" si="11"/>
        <v>288.02</v>
      </c>
    </row>
    <row r="63" spans="1:20" ht="31.2" x14ac:dyDescent="0.3">
      <c r="A63" s="3" t="s">
        <v>90</v>
      </c>
      <c r="B63" s="4">
        <v>1</v>
      </c>
      <c r="C63" s="5">
        <v>1440.17</v>
      </c>
      <c r="D63" s="6">
        <f t="shared" si="12"/>
        <v>0.54782421519681701</v>
      </c>
      <c r="E63" s="7">
        <v>0</v>
      </c>
      <c r="F63" s="7">
        <v>651.21</v>
      </c>
      <c r="G63" s="8">
        <f t="shared" si="13"/>
        <v>651.21</v>
      </c>
      <c r="H63" s="7">
        <v>0</v>
      </c>
      <c r="I63" s="7">
        <v>0.04</v>
      </c>
      <c r="J63" s="9">
        <v>45612</v>
      </c>
      <c r="K63" s="9">
        <v>45621</v>
      </c>
      <c r="L63" s="5"/>
      <c r="M63" s="7">
        <v>20.329999999999998</v>
      </c>
      <c r="N63" s="5"/>
      <c r="O63" s="11">
        <v>89.04</v>
      </c>
      <c r="P63" s="4">
        <v>3</v>
      </c>
      <c r="Q63" s="8">
        <f t="shared" si="10"/>
        <v>562.21</v>
      </c>
      <c r="R63" s="12" t="s">
        <v>89</v>
      </c>
      <c r="T63" s="8">
        <f t="shared" si="11"/>
        <v>562.21</v>
      </c>
    </row>
    <row r="64" spans="1:20" ht="31.2" x14ac:dyDescent="0.3">
      <c r="A64" s="3" t="s">
        <v>226</v>
      </c>
      <c r="B64" s="4">
        <v>1</v>
      </c>
      <c r="C64" s="5">
        <v>217.11</v>
      </c>
      <c r="D64" s="6">
        <f t="shared" si="12"/>
        <v>5.4120031320528755E-2</v>
      </c>
      <c r="E64" s="7">
        <v>0</v>
      </c>
      <c r="F64" s="7">
        <v>205.36</v>
      </c>
      <c r="G64" s="8">
        <f t="shared" si="13"/>
        <v>205.36</v>
      </c>
      <c r="H64" s="7">
        <v>0</v>
      </c>
      <c r="I64" s="7">
        <v>0</v>
      </c>
      <c r="J64" s="9">
        <v>45612</v>
      </c>
      <c r="K64" s="9">
        <v>45620</v>
      </c>
      <c r="L64" s="5"/>
      <c r="M64" s="7">
        <v>20.329999999999998</v>
      </c>
      <c r="N64" s="5"/>
      <c r="O64" s="11">
        <v>28.08</v>
      </c>
      <c r="P64" s="4">
        <v>1</v>
      </c>
      <c r="Q64" s="8">
        <f t="shared" si="10"/>
        <v>177.28000000000003</v>
      </c>
      <c r="R64" s="12" t="s">
        <v>91</v>
      </c>
      <c r="T64" s="8">
        <f t="shared" si="11"/>
        <v>177.28000000000003</v>
      </c>
    </row>
    <row r="65" spans="1:20" ht="31.2" x14ac:dyDescent="0.3">
      <c r="A65" s="3" t="s">
        <v>93</v>
      </c>
      <c r="B65" s="4">
        <v>1</v>
      </c>
      <c r="C65" s="5">
        <v>176.65</v>
      </c>
      <c r="D65" s="6">
        <f t="shared" si="12"/>
        <v>0.54933484290970847</v>
      </c>
      <c r="E65" s="7">
        <v>0</v>
      </c>
      <c r="F65" s="7">
        <v>79.61</v>
      </c>
      <c r="G65" s="8">
        <f t="shared" si="13"/>
        <v>79.61</v>
      </c>
      <c r="H65" s="7">
        <v>0</v>
      </c>
      <c r="I65" s="7">
        <v>0.01</v>
      </c>
      <c r="J65" s="9">
        <v>45612</v>
      </c>
      <c r="K65" s="9">
        <v>45623</v>
      </c>
      <c r="L65" s="5"/>
      <c r="M65" s="7">
        <v>20.329999999999998</v>
      </c>
      <c r="N65" s="5"/>
      <c r="O65" s="11">
        <f>1.59+10.67</f>
        <v>12.26</v>
      </c>
      <c r="P65" s="4">
        <v>1</v>
      </c>
      <c r="Q65" s="8">
        <f t="shared" si="10"/>
        <v>67.36</v>
      </c>
      <c r="R65" s="12" t="s">
        <v>92</v>
      </c>
      <c r="T65" s="8">
        <f t="shared" si="11"/>
        <v>67.36</v>
      </c>
    </row>
    <row r="66" spans="1:20" ht="31.2" x14ac:dyDescent="0.3">
      <c r="A66" s="3" t="s">
        <v>365</v>
      </c>
      <c r="B66" s="4">
        <v>1</v>
      </c>
      <c r="C66" s="5">
        <v>422.31</v>
      </c>
      <c r="D66" s="6">
        <f t="shared" si="12"/>
        <v>0.67630413677156598</v>
      </c>
      <c r="E66" s="7">
        <v>0</v>
      </c>
      <c r="F66" s="7">
        <v>136.69999999999999</v>
      </c>
      <c r="G66" s="8">
        <f t="shared" si="13"/>
        <v>136.69999999999999</v>
      </c>
      <c r="H66" s="7">
        <v>0</v>
      </c>
      <c r="I66" s="7">
        <v>0.02</v>
      </c>
      <c r="J66" s="9">
        <v>45612</v>
      </c>
      <c r="K66" s="9">
        <v>45623</v>
      </c>
      <c r="L66" s="5"/>
      <c r="M66" s="7">
        <v>20.329999999999998</v>
      </c>
      <c r="N66" s="5"/>
      <c r="O66" s="11">
        <f>1.36+18.5</f>
        <v>19.86</v>
      </c>
      <c r="P66" s="4">
        <v>1</v>
      </c>
      <c r="Q66" s="8">
        <f t="shared" ref="Q66:Q100" si="26">F66+(I66/B66)-(O66/B66)</f>
        <v>116.86</v>
      </c>
      <c r="R66" s="12" t="s">
        <v>94</v>
      </c>
      <c r="T66" s="8">
        <f t="shared" ref="T66:T100" si="27">B66*Q66</f>
        <v>116.86</v>
      </c>
    </row>
    <row r="67" spans="1:20" ht="46.8" x14ac:dyDescent="0.3">
      <c r="A67" s="3" t="s">
        <v>97</v>
      </c>
      <c r="B67" s="4">
        <v>1</v>
      </c>
      <c r="C67" s="5">
        <v>511.72</v>
      </c>
      <c r="D67" s="6">
        <f t="shared" si="12"/>
        <v>0.70665598374110838</v>
      </c>
      <c r="E67" s="7">
        <v>0</v>
      </c>
      <c r="F67" s="7">
        <v>150.11000000000001</v>
      </c>
      <c r="G67" s="8">
        <f t="shared" si="13"/>
        <v>150.11000000000001</v>
      </c>
      <c r="H67" s="7">
        <v>0</v>
      </c>
      <c r="I67" s="7">
        <v>0.02</v>
      </c>
      <c r="J67" s="9">
        <v>45612</v>
      </c>
      <c r="K67" s="9">
        <v>45619</v>
      </c>
      <c r="L67" s="5"/>
      <c r="M67" s="7">
        <v>20.329999999999998</v>
      </c>
      <c r="N67" s="5"/>
      <c r="O67" s="11">
        <f>1.5+20.32</f>
        <v>21.82</v>
      </c>
      <c r="P67" s="4">
        <v>1</v>
      </c>
      <c r="Q67" s="8">
        <f t="shared" si="26"/>
        <v>128.31000000000003</v>
      </c>
      <c r="R67" s="12" t="s">
        <v>95</v>
      </c>
      <c r="T67" s="8">
        <f t="shared" si="27"/>
        <v>128.31000000000003</v>
      </c>
    </row>
    <row r="68" spans="1:20" ht="46.8" x14ac:dyDescent="0.3">
      <c r="A68" s="3" t="s">
        <v>98</v>
      </c>
      <c r="B68" s="4">
        <v>1</v>
      </c>
      <c r="C68" s="5">
        <v>381.69</v>
      </c>
      <c r="D68" s="6">
        <f t="shared" si="12"/>
        <v>0.70667295449186507</v>
      </c>
      <c r="E68" s="7">
        <v>0</v>
      </c>
      <c r="F68" s="7">
        <v>111.96</v>
      </c>
      <c r="G68" s="8">
        <f t="shared" si="13"/>
        <v>111.96</v>
      </c>
      <c r="H68" s="7">
        <v>0</v>
      </c>
      <c r="I68" s="7">
        <v>0.02</v>
      </c>
      <c r="J68" s="9">
        <v>45612</v>
      </c>
      <c r="K68" s="9">
        <v>45620</v>
      </c>
      <c r="L68" s="5"/>
      <c r="M68" s="7">
        <v>20.329999999999998</v>
      </c>
      <c r="N68" s="5"/>
      <c r="O68" s="11">
        <f>1.13+15.15</f>
        <v>16.28</v>
      </c>
      <c r="P68" s="4">
        <v>1</v>
      </c>
      <c r="Q68" s="8">
        <f t="shared" si="26"/>
        <v>95.699999999999989</v>
      </c>
      <c r="R68" s="12" t="s">
        <v>96</v>
      </c>
      <c r="T68" s="8">
        <f t="shared" si="27"/>
        <v>95.699999999999989</v>
      </c>
    </row>
    <row r="69" spans="1:20" ht="46.8" x14ac:dyDescent="0.3">
      <c r="A69" s="3" t="s">
        <v>101</v>
      </c>
      <c r="B69" s="4">
        <v>1</v>
      </c>
      <c r="C69" s="5">
        <v>112.71</v>
      </c>
      <c r="D69" s="6">
        <f t="shared" ref="D69:D112" si="28">(((C69-F69)*100)/C69)/100</f>
        <v>7.6834353650962625E-2</v>
      </c>
      <c r="E69" s="7">
        <v>0</v>
      </c>
      <c r="F69" s="7">
        <v>104.05</v>
      </c>
      <c r="G69" s="8">
        <f t="shared" ref="G69:G112" si="29">B69*F69</f>
        <v>104.05</v>
      </c>
      <c r="H69" s="7">
        <v>0</v>
      </c>
      <c r="I69" s="7">
        <v>0.09</v>
      </c>
      <c r="J69" s="9">
        <v>45612</v>
      </c>
      <c r="K69" s="9">
        <v>45622</v>
      </c>
      <c r="L69" s="5"/>
      <c r="M69" s="7">
        <v>20.329999999999998</v>
      </c>
      <c r="N69" s="5"/>
      <c r="O69" s="11">
        <v>14.23</v>
      </c>
      <c r="P69" s="4">
        <v>1</v>
      </c>
      <c r="Q69" s="8">
        <f t="shared" si="26"/>
        <v>89.91</v>
      </c>
      <c r="R69" s="12" t="s">
        <v>99</v>
      </c>
      <c r="T69" s="8">
        <f t="shared" si="27"/>
        <v>89.91</v>
      </c>
    </row>
    <row r="70" spans="1:20" ht="46.8" x14ac:dyDescent="0.3">
      <c r="A70" s="3" t="s">
        <v>100</v>
      </c>
      <c r="B70" s="4">
        <v>1</v>
      </c>
      <c r="C70" s="5">
        <v>113.33</v>
      </c>
      <c r="D70" s="6">
        <f t="shared" si="28"/>
        <v>7.6325774287478956E-2</v>
      </c>
      <c r="E70" s="7">
        <v>0</v>
      </c>
      <c r="F70" s="7">
        <v>104.68</v>
      </c>
      <c r="G70" s="8">
        <f t="shared" si="29"/>
        <v>104.68</v>
      </c>
      <c r="H70" s="7">
        <v>0</v>
      </c>
      <c r="I70" s="7">
        <v>0.1</v>
      </c>
      <c r="J70" s="9">
        <v>45612</v>
      </c>
      <c r="K70" s="9">
        <v>45622</v>
      </c>
      <c r="L70" s="5"/>
      <c r="M70" s="7">
        <v>20.329999999999998</v>
      </c>
      <c r="N70" s="5"/>
      <c r="O70" s="11">
        <v>14.31</v>
      </c>
      <c r="P70" s="4">
        <v>1</v>
      </c>
      <c r="Q70" s="8">
        <f t="shared" si="26"/>
        <v>90.47</v>
      </c>
      <c r="R70" s="12"/>
      <c r="T70" s="8">
        <f t="shared" si="27"/>
        <v>90.47</v>
      </c>
    </row>
    <row r="71" spans="1:20" ht="46.8" x14ac:dyDescent="0.3">
      <c r="A71" s="3" t="s">
        <v>102</v>
      </c>
      <c r="B71" s="4">
        <v>1</v>
      </c>
      <c r="C71" s="5">
        <v>112.71</v>
      </c>
      <c r="D71" s="6">
        <f t="shared" si="28"/>
        <v>7.6834353650962625E-2</v>
      </c>
      <c r="E71" s="7">
        <v>0</v>
      </c>
      <c r="F71" s="7">
        <v>104.05</v>
      </c>
      <c r="G71" s="8">
        <f t="shared" si="29"/>
        <v>104.05</v>
      </c>
      <c r="H71" s="7">
        <v>0</v>
      </c>
      <c r="I71" s="7">
        <v>0.09</v>
      </c>
      <c r="J71" s="9">
        <v>45612</v>
      </c>
      <c r="K71" s="9">
        <v>45620</v>
      </c>
      <c r="L71" s="5"/>
      <c r="M71" s="7">
        <v>20.329999999999998</v>
      </c>
      <c r="N71" s="5"/>
      <c r="O71" s="11">
        <v>14.23</v>
      </c>
      <c r="P71" s="4">
        <v>1</v>
      </c>
      <c r="Q71" s="8">
        <f t="shared" si="26"/>
        <v>89.91</v>
      </c>
      <c r="R71" s="12"/>
      <c r="T71" s="8">
        <f t="shared" si="27"/>
        <v>89.91</v>
      </c>
    </row>
    <row r="72" spans="1:20" ht="46.8" x14ac:dyDescent="0.3">
      <c r="A72" s="3" t="s">
        <v>103</v>
      </c>
      <c r="B72" s="4">
        <v>1</v>
      </c>
      <c r="C72" s="5">
        <v>116.83</v>
      </c>
      <c r="D72" s="6">
        <f t="shared" si="28"/>
        <v>7.3611229992296454E-2</v>
      </c>
      <c r="E72" s="7">
        <v>0</v>
      </c>
      <c r="F72" s="7">
        <v>108.23</v>
      </c>
      <c r="G72" s="8">
        <f t="shared" si="29"/>
        <v>108.23</v>
      </c>
      <c r="H72" s="7">
        <v>0</v>
      </c>
      <c r="I72" s="7">
        <v>0.06</v>
      </c>
      <c r="J72" s="9">
        <v>45612</v>
      </c>
      <c r="K72" s="9">
        <v>45620</v>
      </c>
      <c r="L72" s="5"/>
      <c r="M72" s="7">
        <v>20.329999999999998</v>
      </c>
      <c r="N72" s="5"/>
      <c r="O72" s="11">
        <v>14.8</v>
      </c>
      <c r="P72" s="4">
        <v>1</v>
      </c>
      <c r="Q72" s="8">
        <f t="shared" si="26"/>
        <v>93.490000000000009</v>
      </c>
      <c r="R72" s="12"/>
      <c r="T72" s="8">
        <f t="shared" si="27"/>
        <v>93.490000000000009</v>
      </c>
    </row>
    <row r="73" spans="1:20" ht="46.8" x14ac:dyDescent="0.3">
      <c r="A73" s="3" t="s">
        <v>105</v>
      </c>
      <c r="B73" s="4">
        <v>1</v>
      </c>
      <c r="C73" s="5">
        <v>111.48</v>
      </c>
      <c r="D73" s="6">
        <f t="shared" si="28"/>
        <v>7.7861499820595675E-2</v>
      </c>
      <c r="E73" s="7">
        <v>0</v>
      </c>
      <c r="F73" s="7">
        <v>102.8</v>
      </c>
      <c r="G73" s="8">
        <f t="shared" si="29"/>
        <v>102.8</v>
      </c>
      <c r="H73" s="7">
        <v>0</v>
      </c>
      <c r="I73" s="7">
        <v>7.0000000000000007E-2</v>
      </c>
      <c r="J73" s="9">
        <v>45612</v>
      </c>
      <c r="K73" s="9">
        <v>45620</v>
      </c>
      <c r="L73" s="5"/>
      <c r="M73" s="7">
        <v>20.329999999999998</v>
      </c>
      <c r="N73" s="5"/>
      <c r="O73" s="11">
        <v>14.06</v>
      </c>
      <c r="P73" s="4">
        <v>1</v>
      </c>
      <c r="Q73" s="8">
        <f t="shared" si="26"/>
        <v>88.809999999999988</v>
      </c>
      <c r="R73" s="12" t="s">
        <v>104</v>
      </c>
      <c r="T73" s="8">
        <f t="shared" si="27"/>
        <v>88.809999999999988</v>
      </c>
    </row>
    <row r="74" spans="1:20" ht="46.8" x14ac:dyDescent="0.3">
      <c r="A74" s="3" t="s">
        <v>227</v>
      </c>
      <c r="B74" s="4">
        <v>1</v>
      </c>
      <c r="C74" s="5">
        <v>111.06</v>
      </c>
      <c r="D74" s="6">
        <f t="shared" si="28"/>
        <v>7.8155951737799448E-2</v>
      </c>
      <c r="E74" s="7">
        <v>0</v>
      </c>
      <c r="F74" s="7">
        <v>102.38</v>
      </c>
      <c r="G74" s="8">
        <f t="shared" si="29"/>
        <v>102.38</v>
      </c>
      <c r="H74" s="7">
        <v>0</v>
      </c>
      <c r="I74" s="7">
        <v>0.06</v>
      </c>
      <c r="J74" s="9">
        <v>45612</v>
      </c>
      <c r="K74" s="9">
        <v>45622</v>
      </c>
      <c r="L74" s="5"/>
      <c r="M74" s="7">
        <v>20.329999999999998</v>
      </c>
      <c r="N74" s="5"/>
      <c r="O74" s="11">
        <v>14</v>
      </c>
      <c r="P74" s="4">
        <v>1</v>
      </c>
      <c r="Q74" s="8">
        <f t="shared" si="26"/>
        <v>88.44</v>
      </c>
      <c r="R74" s="12"/>
      <c r="T74" s="8">
        <f t="shared" si="27"/>
        <v>88.44</v>
      </c>
    </row>
    <row r="75" spans="1:20" ht="46.8" x14ac:dyDescent="0.3">
      <c r="A75" s="3" t="s">
        <v>106</v>
      </c>
      <c r="B75" s="4">
        <v>1</v>
      </c>
      <c r="C75" s="5">
        <v>112.3</v>
      </c>
      <c r="D75" s="6">
        <f t="shared" si="28"/>
        <v>7.7114870881567196E-2</v>
      </c>
      <c r="E75" s="7">
        <v>0</v>
      </c>
      <c r="F75" s="7">
        <v>103.64</v>
      </c>
      <c r="G75" s="8">
        <f t="shared" si="29"/>
        <v>103.64</v>
      </c>
      <c r="H75" s="7">
        <v>0</v>
      </c>
      <c r="I75" s="7">
        <v>0.08</v>
      </c>
      <c r="J75" s="9">
        <v>45612</v>
      </c>
      <c r="K75" s="9">
        <v>45622</v>
      </c>
      <c r="L75" s="5"/>
      <c r="M75" s="7">
        <v>20.329999999999998</v>
      </c>
      <c r="N75" s="5"/>
      <c r="O75" s="11">
        <v>14.17</v>
      </c>
      <c r="P75" s="4">
        <v>1</v>
      </c>
      <c r="Q75" s="8">
        <f t="shared" si="26"/>
        <v>89.55</v>
      </c>
      <c r="R75" s="12"/>
      <c r="T75" s="8">
        <f t="shared" si="27"/>
        <v>89.55</v>
      </c>
    </row>
    <row r="76" spans="1:20" ht="46.8" x14ac:dyDescent="0.3">
      <c r="A76" s="3" t="s">
        <v>108</v>
      </c>
      <c r="B76" s="4">
        <v>1</v>
      </c>
      <c r="C76" s="5">
        <v>292.70999999999998</v>
      </c>
      <c r="D76" s="6">
        <f t="shared" si="28"/>
        <v>0.41334426565542687</v>
      </c>
      <c r="E76" s="7">
        <v>0</v>
      </c>
      <c r="F76" s="7">
        <v>171.72</v>
      </c>
      <c r="G76" s="8">
        <f t="shared" si="29"/>
        <v>171.72</v>
      </c>
      <c r="H76" s="7">
        <v>0</v>
      </c>
      <c r="I76" s="7">
        <v>246.03</v>
      </c>
      <c r="J76" s="9">
        <v>45612</v>
      </c>
      <c r="K76" s="9">
        <v>45625</v>
      </c>
      <c r="L76" s="5"/>
      <c r="M76" s="7">
        <v>20.329999999999998</v>
      </c>
      <c r="N76" s="5"/>
      <c r="O76" s="11">
        <v>23.48</v>
      </c>
      <c r="P76" s="4">
        <v>1</v>
      </c>
      <c r="Q76" s="8">
        <f t="shared" si="26"/>
        <v>394.27</v>
      </c>
      <c r="R76" s="12" t="s">
        <v>107</v>
      </c>
      <c r="T76" s="8">
        <f t="shared" si="27"/>
        <v>394.27</v>
      </c>
    </row>
    <row r="77" spans="1:20" x14ac:dyDescent="0.3">
      <c r="A77" s="3" t="s">
        <v>409</v>
      </c>
      <c r="B77" s="4">
        <v>1</v>
      </c>
      <c r="C77" s="5">
        <v>329.79</v>
      </c>
      <c r="D77" s="6">
        <f t="shared" ref="D77:D78" si="30">(((C77-F77)*100)/C77)/100</f>
        <v>0.45146911671063406</v>
      </c>
      <c r="E77" s="7">
        <v>0</v>
      </c>
      <c r="F77" s="7">
        <v>180.9</v>
      </c>
      <c r="G77" s="8">
        <f t="shared" ref="G77:G78" si="31">B77*F77</f>
        <v>180.9</v>
      </c>
      <c r="H77" s="7">
        <v>0</v>
      </c>
      <c r="I77" s="7">
        <v>0.02</v>
      </c>
      <c r="J77" s="9">
        <v>45612</v>
      </c>
      <c r="K77" s="9">
        <v>45625</v>
      </c>
      <c r="L77" s="5"/>
      <c r="M77" s="7">
        <v>20.329999999999998</v>
      </c>
      <c r="N77" s="5"/>
      <c r="O77" s="11">
        <f>1.82+24.48</f>
        <v>26.3</v>
      </c>
      <c r="P77" s="4">
        <v>1</v>
      </c>
      <c r="Q77" s="8">
        <f t="shared" ref="Q77:Q78" si="32">F77+(I77/B77)-(O77/B77)</f>
        <v>154.62</v>
      </c>
      <c r="R77" s="12" t="s">
        <v>407</v>
      </c>
      <c r="T77" s="8">
        <f t="shared" ref="T77:T78" si="33">B77*Q77</f>
        <v>154.62</v>
      </c>
    </row>
    <row r="78" spans="1:20" x14ac:dyDescent="0.3">
      <c r="A78" s="3" t="s">
        <v>408</v>
      </c>
      <c r="B78" s="4">
        <v>1</v>
      </c>
      <c r="C78" s="5">
        <v>152.82</v>
      </c>
      <c r="D78" s="6">
        <f t="shared" si="30"/>
        <v>0.47166601230205474</v>
      </c>
      <c r="E78" s="7">
        <v>0</v>
      </c>
      <c r="F78" s="7">
        <v>80.739999999999995</v>
      </c>
      <c r="G78" s="8">
        <f t="shared" si="31"/>
        <v>80.739999999999995</v>
      </c>
      <c r="H78" s="7">
        <v>0</v>
      </c>
      <c r="I78" s="7">
        <v>0.02</v>
      </c>
      <c r="J78" s="9">
        <v>45612</v>
      </c>
      <c r="K78" s="9">
        <v>45622</v>
      </c>
      <c r="L78" s="5"/>
      <c r="M78" s="7">
        <v>20.329999999999998</v>
      </c>
      <c r="N78" s="5"/>
      <c r="O78" s="11">
        <f>0.81+10.93</f>
        <v>11.74</v>
      </c>
      <c r="P78" s="4">
        <v>1</v>
      </c>
      <c r="Q78" s="8">
        <f t="shared" si="32"/>
        <v>69.02</v>
      </c>
      <c r="R78" s="12"/>
      <c r="T78" s="8">
        <f t="shared" si="33"/>
        <v>69.02</v>
      </c>
    </row>
    <row r="79" spans="1:20" ht="31.2" x14ac:dyDescent="0.3">
      <c r="A79" s="3" t="s">
        <v>110</v>
      </c>
      <c r="B79" s="4">
        <v>1</v>
      </c>
      <c r="C79" s="5">
        <v>212.23</v>
      </c>
      <c r="D79" s="6">
        <f t="shared" si="28"/>
        <v>0.70673326108467227</v>
      </c>
      <c r="E79" s="7">
        <v>0</v>
      </c>
      <c r="F79" s="7">
        <v>62.24</v>
      </c>
      <c r="G79" s="8">
        <f t="shared" si="29"/>
        <v>62.24</v>
      </c>
      <c r="H79" s="7">
        <v>0</v>
      </c>
      <c r="I79" s="7">
        <v>0</v>
      </c>
      <c r="J79" s="9">
        <v>45612</v>
      </c>
      <c r="K79" s="9"/>
      <c r="L79" s="5"/>
      <c r="M79" s="7">
        <v>20.329999999999998</v>
      </c>
      <c r="N79" s="5"/>
      <c r="O79" s="11">
        <f>0.63+8.42</f>
        <v>9.0500000000000007</v>
      </c>
      <c r="P79" s="4">
        <v>1</v>
      </c>
      <c r="Q79" s="8">
        <f t="shared" si="26"/>
        <v>53.19</v>
      </c>
      <c r="R79" s="12" t="s">
        <v>109</v>
      </c>
      <c r="T79" s="8">
        <f t="shared" si="27"/>
        <v>53.19</v>
      </c>
    </row>
    <row r="80" spans="1:20" ht="31.2" x14ac:dyDescent="0.3">
      <c r="A80" s="3" t="s">
        <v>366</v>
      </c>
      <c r="B80" s="4">
        <v>1</v>
      </c>
      <c r="C80" s="5">
        <v>305.2</v>
      </c>
      <c r="D80" s="6">
        <f t="shared" si="28"/>
        <v>0.72077326343381387</v>
      </c>
      <c r="E80" s="7">
        <v>0</v>
      </c>
      <c r="F80" s="7">
        <v>85.22</v>
      </c>
      <c r="G80" s="8">
        <f t="shared" si="29"/>
        <v>85.22</v>
      </c>
      <c r="H80" s="7">
        <v>0</v>
      </c>
      <c r="I80" s="7">
        <v>0</v>
      </c>
      <c r="J80" s="9">
        <v>45612</v>
      </c>
      <c r="K80" s="9">
        <v>45620</v>
      </c>
      <c r="L80" s="5"/>
      <c r="M80" s="7">
        <v>20.329999999999998</v>
      </c>
      <c r="N80" s="5"/>
      <c r="O80" s="11">
        <f>0.84+11.54</f>
        <v>12.379999999999999</v>
      </c>
      <c r="P80" s="4">
        <v>1</v>
      </c>
      <c r="Q80" s="8">
        <f t="shared" si="26"/>
        <v>72.84</v>
      </c>
      <c r="R80" s="12" t="s">
        <v>111</v>
      </c>
      <c r="T80" s="8">
        <f t="shared" si="27"/>
        <v>72.84</v>
      </c>
    </row>
    <row r="81" spans="1:20" ht="46.8" x14ac:dyDescent="0.3">
      <c r="A81" s="3" t="s">
        <v>412</v>
      </c>
      <c r="B81" s="4">
        <v>1</v>
      </c>
      <c r="C81" s="5">
        <v>390.42</v>
      </c>
      <c r="D81" s="6">
        <f t="shared" ref="D81" si="34">(((C81-F81)*100)/C81)/100</f>
        <v>0.40968700373956252</v>
      </c>
      <c r="E81" s="7">
        <v>0</v>
      </c>
      <c r="F81" s="7">
        <v>230.47</v>
      </c>
      <c r="G81" s="8">
        <f t="shared" ref="G81" si="35">B81*F81</f>
        <v>230.47</v>
      </c>
      <c r="H81" s="7">
        <v>0</v>
      </c>
      <c r="I81" s="7">
        <v>167.79</v>
      </c>
      <c r="J81" s="9">
        <v>45612</v>
      </c>
      <c r="K81" s="9">
        <v>45620</v>
      </c>
      <c r="L81" s="5"/>
      <c r="M81" s="7">
        <v>20.329999999999998</v>
      </c>
      <c r="N81" s="5"/>
      <c r="O81" s="11">
        <f>4.6+30.88</f>
        <v>35.479999999999997</v>
      </c>
      <c r="P81" s="4">
        <v>1</v>
      </c>
      <c r="Q81" s="8">
        <f t="shared" ref="Q81" si="36">F81+(I81/B81)-(O81/B81)</f>
        <v>362.78</v>
      </c>
      <c r="R81" s="12" t="s">
        <v>411</v>
      </c>
      <c r="T81" s="8">
        <f t="shared" ref="T81" si="37">B81*Q81</f>
        <v>362.78</v>
      </c>
    </row>
    <row r="82" spans="1:20" ht="31.2" x14ac:dyDescent="0.3">
      <c r="A82" s="3" t="s">
        <v>367</v>
      </c>
      <c r="B82" s="4">
        <v>1</v>
      </c>
      <c r="C82" s="5">
        <v>149.15</v>
      </c>
      <c r="D82" s="6">
        <f t="shared" si="28"/>
        <v>0.53469661414683201</v>
      </c>
      <c r="E82" s="7">
        <v>0</v>
      </c>
      <c r="F82" s="7">
        <v>69.400000000000006</v>
      </c>
      <c r="G82" s="8">
        <f t="shared" si="29"/>
        <v>69.400000000000006</v>
      </c>
      <c r="H82" s="7">
        <v>0</v>
      </c>
      <c r="I82" s="7">
        <v>0.01</v>
      </c>
      <c r="J82" s="9">
        <v>45612</v>
      </c>
      <c r="K82" s="9">
        <v>45620</v>
      </c>
      <c r="L82" s="5"/>
      <c r="M82" s="7">
        <v>20.329999999999998</v>
      </c>
      <c r="N82" s="5"/>
      <c r="O82" s="11">
        <f>0.69+9.39</f>
        <v>10.08</v>
      </c>
      <c r="P82" s="4">
        <v>1</v>
      </c>
      <c r="Q82" s="8">
        <f t="shared" si="26"/>
        <v>59.330000000000013</v>
      </c>
      <c r="R82" s="12" t="s">
        <v>112</v>
      </c>
      <c r="T82" s="8">
        <f t="shared" si="27"/>
        <v>59.330000000000013</v>
      </c>
    </row>
    <row r="83" spans="1:20" ht="31.2" x14ac:dyDescent="0.3">
      <c r="A83" s="3" t="s">
        <v>368</v>
      </c>
      <c r="B83" s="4">
        <v>1</v>
      </c>
      <c r="C83" s="5">
        <v>150.06</v>
      </c>
      <c r="D83" s="6">
        <f t="shared" si="28"/>
        <v>0.53465280554444883</v>
      </c>
      <c r="E83" s="7">
        <v>0</v>
      </c>
      <c r="F83" s="7">
        <v>69.83</v>
      </c>
      <c r="G83" s="8">
        <f t="shared" si="29"/>
        <v>69.83</v>
      </c>
      <c r="H83" s="7">
        <v>0</v>
      </c>
      <c r="I83" s="7">
        <v>0.01</v>
      </c>
      <c r="J83" s="9">
        <v>45612</v>
      </c>
      <c r="K83" s="25">
        <v>45620</v>
      </c>
      <c r="L83" s="5"/>
      <c r="M83" s="7">
        <v>20.329999999999998</v>
      </c>
      <c r="N83" s="5"/>
      <c r="O83" s="11">
        <f>0.69+9.45</f>
        <v>10.139999999999999</v>
      </c>
      <c r="P83" s="4">
        <v>1</v>
      </c>
      <c r="Q83" s="8">
        <f t="shared" si="26"/>
        <v>59.7</v>
      </c>
      <c r="R83" s="12"/>
      <c r="T83" s="8">
        <f t="shared" si="27"/>
        <v>59.7</v>
      </c>
    </row>
    <row r="84" spans="1:20" ht="31.2" x14ac:dyDescent="0.3">
      <c r="A84" s="3" t="s">
        <v>369</v>
      </c>
      <c r="B84" s="4">
        <v>1</v>
      </c>
      <c r="C84" s="5">
        <v>151.12</v>
      </c>
      <c r="D84" s="6">
        <f t="shared" si="28"/>
        <v>0.53467443091582856</v>
      </c>
      <c r="E84" s="7">
        <v>0</v>
      </c>
      <c r="F84" s="7">
        <v>70.319999999999993</v>
      </c>
      <c r="G84" s="8">
        <f t="shared" si="29"/>
        <v>70.319999999999993</v>
      </c>
      <c r="H84" s="7">
        <v>0</v>
      </c>
      <c r="I84" s="7">
        <v>0.01</v>
      </c>
      <c r="J84" s="9">
        <v>45612</v>
      </c>
      <c r="K84" s="9">
        <v>45619</v>
      </c>
      <c r="L84" s="5"/>
      <c r="M84" s="7">
        <v>20.329999999999998</v>
      </c>
      <c r="N84" s="5"/>
      <c r="O84" s="11">
        <f>0.69+9.52</f>
        <v>10.209999999999999</v>
      </c>
      <c r="P84" s="4">
        <v>1</v>
      </c>
      <c r="Q84" s="8">
        <f t="shared" si="26"/>
        <v>60.12</v>
      </c>
      <c r="R84" s="12"/>
      <c r="T84" s="8">
        <f t="shared" si="27"/>
        <v>60.12</v>
      </c>
    </row>
    <row r="85" spans="1:20" ht="31.2" x14ac:dyDescent="0.3">
      <c r="A85" s="3" t="s">
        <v>370</v>
      </c>
      <c r="B85" s="4">
        <v>1</v>
      </c>
      <c r="C85" s="5">
        <v>152.52000000000001</v>
      </c>
      <c r="D85" s="6">
        <f t="shared" si="28"/>
        <v>-0.93371361132966157</v>
      </c>
      <c r="E85" s="7">
        <v>0</v>
      </c>
      <c r="F85" s="7">
        <v>294.93</v>
      </c>
      <c r="G85" s="8">
        <f t="shared" si="29"/>
        <v>294.93</v>
      </c>
      <c r="H85" s="7">
        <v>0</v>
      </c>
      <c r="I85" s="7">
        <v>0.01</v>
      </c>
      <c r="J85" s="9">
        <v>45612</v>
      </c>
      <c r="K85" s="9">
        <v>45619</v>
      </c>
      <c r="L85" s="5"/>
      <c r="M85" s="7">
        <v>20.329999999999998</v>
      </c>
      <c r="N85" s="5"/>
      <c r="O85" s="11">
        <f>0.69+9.52</f>
        <v>10.209999999999999</v>
      </c>
      <c r="P85" s="4">
        <v>1</v>
      </c>
      <c r="Q85" s="8">
        <f t="shared" si="26"/>
        <v>284.73</v>
      </c>
      <c r="R85" s="12"/>
      <c r="T85" s="8">
        <f t="shared" si="27"/>
        <v>284.73</v>
      </c>
    </row>
    <row r="86" spans="1:20" ht="46.8" x14ac:dyDescent="0.3">
      <c r="A86" s="3" t="s">
        <v>114</v>
      </c>
      <c r="B86" s="4">
        <v>1</v>
      </c>
      <c r="C86" s="5">
        <v>337.41</v>
      </c>
      <c r="D86" s="6">
        <f t="shared" si="28"/>
        <v>0.58531163865919811</v>
      </c>
      <c r="E86" s="7">
        <v>0</v>
      </c>
      <c r="F86" s="7">
        <v>139.91999999999999</v>
      </c>
      <c r="G86" s="8">
        <f t="shared" si="29"/>
        <v>139.91999999999999</v>
      </c>
      <c r="H86" s="7">
        <v>0</v>
      </c>
      <c r="I86" s="7">
        <v>0</v>
      </c>
      <c r="J86" s="9">
        <v>45612</v>
      </c>
      <c r="K86" s="9">
        <v>45622</v>
      </c>
      <c r="L86" s="5"/>
      <c r="M86" s="7">
        <v>20.329999999999998</v>
      </c>
      <c r="N86" s="5"/>
      <c r="O86" s="11">
        <f>1.39+18.94</f>
        <v>20.330000000000002</v>
      </c>
      <c r="P86" s="4">
        <v>1</v>
      </c>
      <c r="Q86" s="8">
        <f t="shared" si="26"/>
        <v>119.58999999999999</v>
      </c>
      <c r="R86" s="12" t="s">
        <v>113</v>
      </c>
      <c r="T86" s="8">
        <f t="shared" si="27"/>
        <v>119.58999999999999</v>
      </c>
    </row>
    <row r="87" spans="1:20" ht="46.8" x14ac:dyDescent="0.3">
      <c r="A87" s="3" t="s">
        <v>115</v>
      </c>
      <c r="B87" s="4">
        <v>1</v>
      </c>
      <c r="C87" s="5">
        <v>340.86</v>
      </c>
      <c r="D87" s="6">
        <f t="shared" si="28"/>
        <v>0.58528428093645479</v>
      </c>
      <c r="E87" s="7">
        <v>0</v>
      </c>
      <c r="F87" s="7">
        <v>141.36000000000001</v>
      </c>
      <c r="G87" s="8">
        <f t="shared" si="29"/>
        <v>141.36000000000001</v>
      </c>
      <c r="H87" s="7">
        <v>0</v>
      </c>
      <c r="I87" s="7">
        <v>0.01</v>
      </c>
      <c r="J87" s="9">
        <v>45612</v>
      </c>
      <c r="K87" s="9">
        <v>45621</v>
      </c>
      <c r="L87" s="5"/>
      <c r="M87" s="7">
        <v>20.329999999999998</v>
      </c>
      <c r="N87" s="5"/>
      <c r="O87" s="11">
        <f>1.41+19.13</f>
        <v>20.54</v>
      </c>
      <c r="P87" s="4">
        <v>1</v>
      </c>
      <c r="Q87" s="8">
        <f t="shared" si="26"/>
        <v>120.83000000000001</v>
      </c>
      <c r="R87" s="12"/>
      <c r="T87" s="8">
        <f t="shared" si="27"/>
        <v>120.83000000000001</v>
      </c>
    </row>
    <row r="88" spans="1:20" ht="46.8" x14ac:dyDescent="0.3">
      <c r="A88" s="3" t="s">
        <v>371</v>
      </c>
      <c r="B88" s="4">
        <v>2</v>
      </c>
      <c r="C88" s="5">
        <v>60.82</v>
      </c>
      <c r="D88" s="6">
        <f t="shared" si="28"/>
        <v>0.14205853337717855</v>
      </c>
      <c r="E88" s="7">
        <v>0</v>
      </c>
      <c r="F88" s="7">
        <v>52.18</v>
      </c>
      <c r="G88" s="8">
        <f t="shared" si="29"/>
        <v>104.36</v>
      </c>
      <c r="H88" s="7">
        <v>0</v>
      </c>
      <c r="I88" s="7">
        <v>0</v>
      </c>
      <c r="J88" s="9">
        <v>45612</v>
      </c>
      <c r="K88" s="9">
        <v>45620</v>
      </c>
      <c r="L88" s="5"/>
      <c r="M88" s="7">
        <v>20.329999999999998</v>
      </c>
      <c r="N88" s="5"/>
      <c r="O88" s="11">
        <v>14.27</v>
      </c>
      <c r="P88" s="4">
        <v>1</v>
      </c>
      <c r="Q88" s="8">
        <f t="shared" si="26"/>
        <v>45.045000000000002</v>
      </c>
      <c r="R88" s="12" t="s">
        <v>116</v>
      </c>
      <c r="T88" s="8">
        <f t="shared" si="27"/>
        <v>90.09</v>
      </c>
    </row>
    <row r="89" spans="1:20" ht="31.2" x14ac:dyDescent="0.3">
      <c r="A89" s="3" t="s">
        <v>372</v>
      </c>
      <c r="B89" s="4">
        <v>1</v>
      </c>
      <c r="C89" s="5">
        <v>192.4</v>
      </c>
      <c r="D89" s="6">
        <f t="shared" si="28"/>
        <v>0.56507276507276505</v>
      </c>
      <c r="E89" s="7">
        <v>0</v>
      </c>
      <c r="F89" s="7">
        <v>83.68</v>
      </c>
      <c r="G89" s="8">
        <f t="shared" si="29"/>
        <v>83.68</v>
      </c>
      <c r="H89" s="7">
        <v>0</v>
      </c>
      <c r="I89" s="7">
        <v>0.01</v>
      </c>
      <c r="J89" s="9">
        <v>45612</v>
      </c>
      <c r="K89" s="9">
        <v>45622</v>
      </c>
      <c r="L89" s="5"/>
      <c r="M89" s="7">
        <v>20.329999999999998</v>
      </c>
      <c r="N89" s="5"/>
      <c r="O89" s="11">
        <f>0.84+11.33</f>
        <v>12.17</v>
      </c>
      <c r="P89" s="4">
        <v>1</v>
      </c>
      <c r="Q89" s="8">
        <f t="shared" si="26"/>
        <v>71.52000000000001</v>
      </c>
      <c r="R89" s="12" t="s">
        <v>117</v>
      </c>
      <c r="T89" s="8">
        <f t="shared" si="27"/>
        <v>71.52000000000001</v>
      </c>
    </row>
    <row r="90" spans="1:20" ht="31.2" x14ac:dyDescent="0.3">
      <c r="A90" s="3" t="s">
        <v>119</v>
      </c>
      <c r="B90" s="4">
        <v>1</v>
      </c>
      <c r="C90" s="5">
        <v>112.43</v>
      </c>
      <c r="D90" s="6">
        <f t="shared" si="28"/>
        <v>0.53473272258294047</v>
      </c>
      <c r="E90" s="7">
        <v>0</v>
      </c>
      <c r="F90" s="7">
        <v>52.31</v>
      </c>
      <c r="G90" s="8">
        <f t="shared" si="29"/>
        <v>52.31</v>
      </c>
      <c r="H90" s="7">
        <v>0</v>
      </c>
      <c r="I90" s="7">
        <v>0</v>
      </c>
      <c r="J90" s="9">
        <v>45612</v>
      </c>
      <c r="K90" s="24">
        <v>45621</v>
      </c>
      <c r="L90" s="5"/>
      <c r="M90" s="7">
        <v>20.329999999999998</v>
      </c>
      <c r="N90" s="5"/>
      <c r="O90" s="11">
        <f>0.52+7.08</f>
        <v>7.6</v>
      </c>
      <c r="P90" s="4">
        <v>1</v>
      </c>
      <c r="Q90" s="8">
        <f t="shared" si="26"/>
        <v>44.71</v>
      </c>
      <c r="R90" s="12" t="s">
        <v>118</v>
      </c>
      <c r="T90" s="8">
        <f t="shared" si="27"/>
        <v>44.71</v>
      </c>
    </row>
    <row r="91" spans="1:20" ht="31.2" x14ac:dyDescent="0.3">
      <c r="A91" s="3" t="s">
        <v>153</v>
      </c>
      <c r="B91" s="4">
        <v>1</v>
      </c>
      <c r="C91" s="5">
        <v>1299</v>
      </c>
      <c r="D91" s="6">
        <f t="shared" ref="D91" si="38">(((C91-F91)*100)/C91)/100</f>
        <v>0.46189376443418012</v>
      </c>
      <c r="E91" s="7">
        <v>0</v>
      </c>
      <c r="F91" s="7">
        <v>699</v>
      </c>
      <c r="G91" s="8">
        <f t="shared" ref="G91" si="39">B91*F91</f>
        <v>699</v>
      </c>
      <c r="H91" s="7">
        <v>0</v>
      </c>
      <c r="I91" s="7">
        <v>0</v>
      </c>
      <c r="J91" s="9">
        <v>45612</v>
      </c>
      <c r="K91" s="9"/>
      <c r="L91" s="5"/>
      <c r="M91" s="7">
        <v>20.329999999999998</v>
      </c>
      <c r="N91" s="5"/>
      <c r="O91" s="11">
        <f t="shared" ref="O91:O96" si="40">F91*0.15</f>
        <v>104.85</v>
      </c>
      <c r="P91" s="4">
        <v>1</v>
      </c>
      <c r="Q91" s="8">
        <f t="shared" si="26"/>
        <v>594.15</v>
      </c>
      <c r="R91" s="12" t="s">
        <v>152</v>
      </c>
      <c r="T91" s="8">
        <f t="shared" si="27"/>
        <v>594.15</v>
      </c>
    </row>
    <row r="92" spans="1:20" ht="31.2" x14ac:dyDescent="0.3">
      <c r="A92" s="3" t="s">
        <v>155</v>
      </c>
      <c r="B92" s="4">
        <v>1</v>
      </c>
      <c r="C92" s="5">
        <v>1299</v>
      </c>
      <c r="D92" s="6">
        <f t="shared" ref="D92:D96" si="41">(((C92-F92)*100)/C92)/100</f>
        <v>0.46189376443418012</v>
      </c>
      <c r="E92" s="7">
        <v>0</v>
      </c>
      <c r="F92" s="7">
        <v>699</v>
      </c>
      <c r="G92" s="8">
        <f t="shared" ref="G92:G96" si="42">B92*F92</f>
        <v>699</v>
      </c>
      <c r="H92" s="7">
        <v>0</v>
      </c>
      <c r="I92" s="7">
        <v>0</v>
      </c>
      <c r="J92" s="9">
        <v>45612</v>
      </c>
      <c r="K92" s="9"/>
      <c r="L92" s="5"/>
      <c r="M92" s="7">
        <v>20.329999999999998</v>
      </c>
      <c r="N92" s="5"/>
      <c r="O92" s="11">
        <f t="shared" si="40"/>
        <v>104.85</v>
      </c>
      <c r="P92" s="4">
        <v>1</v>
      </c>
      <c r="Q92" s="8">
        <f t="shared" si="26"/>
        <v>594.15</v>
      </c>
      <c r="R92" s="12" t="s">
        <v>154</v>
      </c>
      <c r="T92" s="8">
        <f t="shared" si="27"/>
        <v>594.15</v>
      </c>
    </row>
    <row r="93" spans="1:20" ht="31.2" x14ac:dyDescent="0.3">
      <c r="A93" s="3" t="s">
        <v>160</v>
      </c>
      <c r="B93" s="4">
        <v>1</v>
      </c>
      <c r="C93" s="5">
        <v>399</v>
      </c>
      <c r="D93" s="6">
        <f t="shared" si="41"/>
        <v>0.50125313283208017</v>
      </c>
      <c r="E93" s="7">
        <v>0</v>
      </c>
      <c r="F93" s="7">
        <v>199</v>
      </c>
      <c r="G93" s="8">
        <f t="shared" si="42"/>
        <v>199</v>
      </c>
      <c r="H93" s="7">
        <v>0</v>
      </c>
      <c r="I93" s="7">
        <v>0</v>
      </c>
      <c r="J93" s="9">
        <v>45612</v>
      </c>
      <c r="K93" s="9"/>
      <c r="L93" s="5"/>
      <c r="M93" s="7">
        <v>20.329999999999998</v>
      </c>
      <c r="N93" s="5"/>
      <c r="O93" s="11">
        <f t="shared" si="40"/>
        <v>29.849999999999998</v>
      </c>
      <c r="P93" s="4">
        <v>1</v>
      </c>
      <c r="Q93" s="8">
        <f t="shared" si="26"/>
        <v>169.15</v>
      </c>
      <c r="R93" s="12" t="s">
        <v>156</v>
      </c>
      <c r="T93" s="8">
        <f t="shared" si="27"/>
        <v>169.15</v>
      </c>
    </row>
    <row r="94" spans="1:20" ht="31.2" x14ac:dyDescent="0.3">
      <c r="A94" s="3" t="s">
        <v>161</v>
      </c>
      <c r="B94" s="4">
        <v>1</v>
      </c>
      <c r="C94" s="5">
        <v>399</v>
      </c>
      <c r="D94" s="6">
        <f t="shared" si="41"/>
        <v>0.50125313283208017</v>
      </c>
      <c r="E94" s="7">
        <v>0</v>
      </c>
      <c r="F94" s="7">
        <v>199</v>
      </c>
      <c r="G94" s="8">
        <f t="shared" si="42"/>
        <v>199</v>
      </c>
      <c r="H94" s="7">
        <v>0</v>
      </c>
      <c r="I94" s="7">
        <v>0</v>
      </c>
      <c r="J94" s="9">
        <v>45612</v>
      </c>
      <c r="K94" s="9"/>
      <c r="L94" s="5"/>
      <c r="M94" s="7">
        <v>20.329999999999998</v>
      </c>
      <c r="N94" s="5"/>
      <c r="O94" s="11">
        <f t="shared" si="40"/>
        <v>29.849999999999998</v>
      </c>
      <c r="P94" s="4">
        <v>1</v>
      </c>
      <c r="Q94" s="8">
        <f t="shared" si="26"/>
        <v>169.15</v>
      </c>
      <c r="R94" s="12" t="s">
        <v>157</v>
      </c>
      <c r="T94" s="8">
        <f t="shared" si="27"/>
        <v>169.15</v>
      </c>
    </row>
    <row r="95" spans="1:20" ht="31.2" x14ac:dyDescent="0.3">
      <c r="A95" s="3" t="s">
        <v>162</v>
      </c>
      <c r="B95" s="4">
        <v>1</v>
      </c>
      <c r="C95" s="5">
        <v>699</v>
      </c>
      <c r="D95" s="6">
        <f t="shared" si="41"/>
        <v>0.32904148783977116</v>
      </c>
      <c r="E95" s="7">
        <v>0</v>
      </c>
      <c r="F95" s="7">
        <v>469</v>
      </c>
      <c r="G95" s="8">
        <f t="shared" si="42"/>
        <v>469</v>
      </c>
      <c r="H95" s="7">
        <v>0</v>
      </c>
      <c r="I95" s="7">
        <v>0</v>
      </c>
      <c r="J95" s="9">
        <v>45612</v>
      </c>
      <c r="K95" s="9"/>
      <c r="L95" s="5"/>
      <c r="M95" s="7">
        <v>20.329999999999998</v>
      </c>
      <c r="N95" s="5"/>
      <c r="O95" s="11">
        <f t="shared" si="40"/>
        <v>70.349999999999994</v>
      </c>
      <c r="P95" s="4">
        <v>1</v>
      </c>
      <c r="Q95" s="8">
        <f t="shared" si="26"/>
        <v>398.65</v>
      </c>
      <c r="R95" s="12" t="s">
        <v>158</v>
      </c>
      <c r="T95" s="8">
        <f t="shared" si="27"/>
        <v>398.65</v>
      </c>
    </row>
    <row r="96" spans="1:20" ht="31.2" x14ac:dyDescent="0.3">
      <c r="A96" s="3" t="s">
        <v>163</v>
      </c>
      <c r="B96" s="4">
        <v>1</v>
      </c>
      <c r="C96" s="5">
        <v>329</v>
      </c>
      <c r="D96" s="6">
        <f t="shared" si="41"/>
        <v>0.34650455927051671</v>
      </c>
      <c r="E96" s="7">
        <v>0</v>
      </c>
      <c r="F96" s="7">
        <v>215</v>
      </c>
      <c r="G96" s="8">
        <f t="shared" si="42"/>
        <v>215</v>
      </c>
      <c r="H96" s="7">
        <v>0</v>
      </c>
      <c r="I96" s="7">
        <v>0</v>
      </c>
      <c r="J96" s="9">
        <v>45612</v>
      </c>
      <c r="K96" s="9"/>
      <c r="L96" s="5"/>
      <c r="M96" s="7">
        <v>20.329999999999998</v>
      </c>
      <c r="N96" s="5"/>
      <c r="O96" s="11">
        <f t="shared" si="40"/>
        <v>32.25</v>
      </c>
      <c r="P96" s="4">
        <v>1</v>
      </c>
      <c r="Q96" s="8">
        <f t="shared" si="26"/>
        <v>182.75</v>
      </c>
      <c r="R96" s="12" t="s">
        <v>159</v>
      </c>
      <c r="T96" s="8">
        <f t="shared" si="27"/>
        <v>182.75</v>
      </c>
    </row>
    <row r="97" spans="1:20" ht="31.2" x14ac:dyDescent="0.3">
      <c r="A97" s="3" t="s">
        <v>165</v>
      </c>
      <c r="B97" s="4">
        <v>2</v>
      </c>
      <c r="C97" s="5">
        <v>169</v>
      </c>
      <c r="D97" s="6">
        <f t="shared" ref="D97" si="43">(((C97-F97)*100)/C97)/100</f>
        <v>0.41420118343195261</v>
      </c>
      <c r="E97" s="7">
        <v>0</v>
      </c>
      <c r="F97" s="7">
        <v>99</v>
      </c>
      <c r="G97" s="8">
        <f t="shared" ref="G97" si="44">B97*F97</f>
        <v>198</v>
      </c>
      <c r="H97" s="7">
        <v>0</v>
      </c>
      <c r="I97" s="7">
        <v>0</v>
      </c>
      <c r="J97" s="9">
        <v>45612</v>
      </c>
      <c r="K97" s="9"/>
      <c r="L97" s="5"/>
      <c r="M97" s="7">
        <v>20.329999999999998</v>
      </c>
      <c r="N97" s="5"/>
      <c r="O97" s="11">
        <f>F97*0.3</f>
        <v>29.7</v>
      </c>
      <c r="P97" s="4">
        <v>1</v>
      </c>
      <c r="Q97" s="8">
        <f t="shared" si="26"/>
        <v>84.15</v>
      </c>
      <c r="R97" s="12" t="s">
        <v>164</v>
      </c>
      <c r="T97" s="8">
        <f t="shared" si="27"/>
        <v>168.3</v>
      </c>
    </row>
    <row r="98" spans="1:20" ht="46.8" x14ac:dyDescent="0.3">
      <c r="A98" s="3" t="s">
        <v>373</v>
      </c>
      <c r="B98" s="4">
        <v>1</v>
      </c>
      <c r="C98" s="5">
        <v>399</v>
      </c>
      <c r="D98" s="6">
        <f t="shared" ref="D98" si="45">(((C98-F98)*100)/C98)/100</f>
        <v>0.37380952380952381</v>
      </c>
      <c r="E98" s="7">
        <v>0</v>
      </c>
      <c r="F98" s="7">
        <v>249.85</v>
      </c>
      <c r="G98" s="8">
        <f t="shared" ref="G98" si="46">B98*F98</f>
        <v>249.85</v>
      </c>
      <c r="H98" s="7">
        <v>0</v>
      </c>
      <c r="I98" s="7">
        <v>0</v>
      </c>
      <c r="J98" s="9">
        <v>45612</v>
      </c>
      <c r="K98" s="9"/>
      <c r="L98" s="5"/>
      <c r="M98" s="7">
        <v>20.329999999999998</v>
      </c>
      <c r="N98" s="5"/>
      <c r="O98" s="11">
        <f>67.79/3</f>
        <v>22.596666666666668</v>
      </c>
      <c r="P98" s="4">
        <v>1</v>
      </c>
      <c r="Q98" s="8">
        <f t="shared" si="26"/>
        <v>227.25333333333333</v>
      </c>
      <c r="R98" s="12" t="s">
        <v>205</v>
      </c>
      <c r="T98" s="8">
        <f t="shared" si="27"/>
        <v>227.25333333333333</v>
      </c>
    </row>
    <row r="99" spans="1:20" ht="31.2" x14ac:dyDescent="0.3">
      <c r="A99" s="3" t="s">
        <v>207</v>
      </c>
      <c r="B99" s="4">
        <v>2</v>
      </c>
      <c r="C99" s="5">
        <v>378</v>
      </c>
      <c r="D99" s="6">
        <f t="shared" ref="D99:D101" si="47">(((C99-F99)*100)/C99)/100</f>
        <v>0.43386243386243384</v>
      </c>
      <c r="E99" s="7">
        <v>0</v>
      </c>
      <c r="F99" s="7">
        <v>214</v>
      </c>
      <c r="G99" s="8">
        <f t="shared" ref="G99:G101" si="48">B99*F99</f>
        <v>428</v>
      </c>
      <c r="H99" s="7">
        <v>0</v>
      </c>
      <c r="I99" s="7">
        <v>0</v>
      </c>
      <c r="J99" s="9">
        <v>45612</v>
      </c>
      <c r="K99" s="9"/>
      <c r="L99" s="5"/>
      <c r="M99" s="7">
        <v>20.329999999999998</v>
      </c>
      <c r="N99" s="5"/>
      <c r="O99" s="11">
        <f>(67.79/3)*2</f>
        <v>45.193333333333335</v>
      </c>
      <c r="P99" s="4">
        <v>1</v>
      </c>
      <c r="Q99" s="8">
        <f t="shared" si="26"/>
        <v>191.40333333333334</v>
      </c>
      <c r="R99" s="12" t="s">
        <v>206</v>
      </c>
      <c r="T99" s="8">
        <f t="shared" si="27"/>
        <v>382.80666666666667</v>
      </c>
    </row>
    <row r="100" spans="1:20" ht="46.8" x14ac:dyDescent="0.3">
      <c r="A100" s="3" t="s">
        <v>209</v>
      </c>
      <c r="B100" s="4">
        <v>1</v>
      </c>
      <c r="C100" s="5">
        <v>399</v>
      </c>
      <c r="D100" s="6">
        <f t="shared" si="47"/>
        <v>0.49874686716791977</v>
      </c>
      <c r="E100" s="7">
        <v>0</v>
      </c>
      <c r="F100" s="7">
        <v>200</v>
      </c>
      <c r="G100" s="8">
        <f t="shared" si="48"/>
        <v>200</v>
      </c>
      <c r="H100" s="7">
        <v>0</v>
      </c>
      <c r="I100" s="7">
        <v>0</v>
      </c>
      <c r="J100" s="9">
        <v>45612</v>
      </c>
      <c r="K100" s="9"/>
      <c r="L100" s="5"/>
      <c r="M100" s="7">
        <v>20.329999999999998</v>
      </c>
      <c r="N100" s="5"/>
      <c r="O100" s="11">
        <f>139/2</f>
        <v>69.5</v>
      </c>
      <c r="P100" s="4">
        <v>1</v>
      </c>
      <c r="Q100" s="8">
        <f t="shared" si="26"/>
        <v>130.5</v>
      </c>
      <c r="R100" s="12" t="s">
        <v>208</v>
      </c>
      <c r="T100" s="8">
        <f t="shared" si="27"/>
        <v>130.5</v>
      </c>
    </row>
    <row r="101" spans="1:20" ht="46.8" x14ac:dyDescent="0.3">
      <c r="A101" s="3" t="s">
        <v>374</v>
      </c>
      <c r="B101" s="4">
        <v>1</v>
      </c>
      <c r="C101" s="5">
        <v>1899</v>
      </c>
      <c r="D101" s="6">
        <f t="shared" si="47"/>
        <v>0.36861506055818849</v>
      </c>
      <c r="E101" s="7">
        <v>0</v>
      </c>
      <c r="F101" s="7">
        <v>1199</v>
      </c>
      <c r="G101" s="8">
        <f t="shared" si="48"/>
        <v>1199</v>
      </c>
      <c r="H101" s="7">
        <v>0</v>
      </c>
      <c r="I101" s="7">
        <v>0</v>
      </c>
      <c r="J101" s="9">
        <v>45612</v>
      </c>
      <c r="K101" s="9"/>
      <c r="L101" s="5"/>
      <c r="M101" s="7">
        <v>20.329999999999998</v>
      </c>
      <c r="N101" s="5"/>
      <c r="O101" s="11">
        <f>139/2</f>
        <v>69.5</v>
      </c>
      <c r="P101" s="4">
        <v>1</v>
      </c>
      <c r="Q101" s="8">
        <f t="shared" ref="Q101:Q132" si="49">F101+(I101/B101)-(O101/B101)</f>
        <v>1129.5</v>
      </c>
      <c r="R101" s="12" t="s">
        <v>210</v>
      </c>
      <c r="T101" s="8">
        <f t="shared" ref="T101:T132" si="50">B101*Q101</f>
        <v>1129.5</v>
      </c>
    </row>
    <row r="102" spans="1:20" ht="46.8" x14ac:dyDescent="0.3">
      <c r="A102" s="3" t="s">
        <v>121</v>
      </c>
      <c r="B102" s="4">
        <v>1</v>
      </c>
      <c r="C102" s="5">
        <v>793.11</v>
      </c>
      <c r="D102" s="6">
        <f t="shared" si="28"/>
        <v>0.65514241404092743</v>
      </c>
      <c r="E102" s="7">
        <v>0</v>
      </c>
      <c r="F102" s="7">
        <v>273.51</v>
      </c>
      <c r="G102" s="8">
        <f t="shared" si="29"/>
        <v>273.51</v>
      </c>
      <c r="H102" s="7">
        <v>0</v>
      </c>
      <c r="I102" s="7">
        <v>0</v>
      </c>
      <c r="J102" s="9">
        <v>45613</v>
      </c>
      <c r="K102" s="24">
        <v>45621</v>
      </c>
      <c r="L102" s="5"/>
      <c r="M102" s="7">
        <v>20.36</v>
      </c>
      <c r="N102" s="5"/>
      <c r="O102" s="11">
        <f>13.58+41.94</f>
        <v>55.519999999999996</v>
      </c>
      <c r="P102" s="4">
        <v>1</v>
      </c>
      <c r="Q102" s="8">
        <f t="shared" si="49"/>
        <v>217.99</v>
      </c>
      <c r="R102" s="12" t="s">
        <v>120</v>
      </c>
      <c r="T102" s="8">
        <f t="shared" si="50"/>
        <v>217.99</v>
      </c>
    </row>
    <row r="103" spans="1:20" ht="62.4" x14ac:dyDescent="0.3">
      <c r="A103" s="3" t="s">
        <v>123</v>
      </c>
      <c r="B103" s="4">
        <v>1</v>
      </c>
      <c r="C103" s="5">
        <v>302.20999999999998</v>
      </c>
      <c r="D103" s="6">
        <f t="shared" si="28"/>
        <v>0.62579001356672503</v>
      </c>
      <c r="E103" s="7">
        <v>0</v>
      </c>
      <c r="F103" s="7">
        <v>113.09</v>
      </c>
      <c r="G103" s="8">
        <f t="shared" si="29"/>
        <v>113.09</v>
      </c>
      <c r="H103" s="7">
        <v>0</v>
      </c>
      <c r="I103" s="7">
        <v>0</v>
      </c>
      <c r="J103" s="9">
        <v>45613</v>
      </c>
      <c r="K103" s="9">
        <v>45619</v>
      </c>
      <c r="L103" s="5"/>
      <c r="M103" s="7">
        <v>20.36</v>
      </c>
      <c r="N103" s="5"/>
      <c r="O103" s="11">
        <f>1.13+18.06</f>
        <v>19.189999999999998</v>
      </c>
      <c r="P103" s="4">
        <v>1</v>
      </c>
      <c r="Q103" s="8">
        <f t="shared" si="49"/>
        <v>93.9</v>
      </c>
      <c r="R103" s="12" t="s">
        <v>122</v>
      </c>
      <c r="T103" s="8">
        <f t="shared" si="50"/>
        <v>93.9</v>
      </c>
    </row>
    <row r="104" spans="1:20" ht="46.8" x14ac:dyDescent="0.3">
      <c r="A104" s="3" t="s">
        <v>125</v>
      </c>
      <c r="B104" s="4">
        <v>1</v>
      </c>
      <c r="C104" s="5">
        <v>1511.67</v>
      </c>
      <c r="D104" s="6">
        <f t="shared" si="28"/>
        <v>0.70668201393161201</v>
      </c>
      <c r="E104" s="7">
        <v>0</v>
      </c>
      <c r="F104" s="7">
        <v>443.4</v>
      </c>
      <c r="G104" s="8">
        <f t="shared" si="29"/>
        <v>443.4</v>
      </c>
      <c r="H104" s="7">
        <v>0</v>
      </c>
      <c r="I104" s="7">
        <v>0.19</v>
      </c>
      <c r="J104" s="9">
        <v>45613</v>
      </c>
      <c r="K104" s="9">
        <v>45622</v>
      </c>
      <c r="L104" s="5"/>
      <c r="M104" s="7">
        <v>20.36</v>
      </c>
      <c r="N104" s="5"/>
      <c r="O104" s="11">
        <f>4.44+60</f>
        <v>64.44</v>
      </c>
      <c r="P104" s="4">
        <v>12</v>
      </c>
      <c r="Q104" s="8">
        <f t="shared" si="49"/>
        <v>379.15</v>
      </c>
      <c r="R104" s="12" t="s">
        <v>124</v>
      </c>
      <c r="T104" s="8">
        <f t="shared" si="50"/>
        <v>379.15</v>
      </c>
    </row>
    <row r="105" spans="1:20" ht="46.8" x14ac:dyDescent="0.3">
      <c r="A105" s="3" t="s">
        <v>127</v>
      </c>
      <c r="B105" s="4">
        <v>1</v>
      </c>
      <c r="C105" s="5">
        <v>412.5</v>
      </c>
      <c r="D105" s="6">
        <f t="shared" si="28"/>
        <v>0.66625454545454554</v>
      </c>
      <c r="E105" s="7">
        <v>0</v>
      </c>
      <c r="F105" s="7">
        <v>137.66999999999999</v>
      </c>
      <c r="G105" s="8">
        <f t="shared" si="29"/>
        <v>137.66999999999999</v>
      </c>
      <c r="H105" s="7">
        <v>0</v>
      </c>
      <c r="I105" s="7">
        <v>0.02</v>
      </c>
      <c r="J105" s="9">
        <v>45613</v>
      </c>
      <c r="K105" s="9">
        <v>45621</v>
      </c>
      <c r="L105" s="5"/>
      <c r="M105" s="7">
        <v>20.36</v>
      </c>
      <c r="N105" s="5"/>
      <c r="O105" s="11">
        <f>1.39+19.58</f>
        <v>20.97</v>
      </c>
      <c r="P105" s="4">
        <v>1</v>
      </c>
      <c r="Q105" s="8">
        <f t="shared" si="49"/>
        <v>116.72</v>
      </c>
      <c r="R105" s="12" t="s">
        <v>126</v>
      </c>
      <c r="T105" s="8">
        <f t="shared" si="50"/>
        <v>116.72</v>
      </c>
    </row>
    <row r="106" spans="1:20" ht="46.8" x14ac:dyDescent="0.3">
      <c r="A106" s="3" t="s">
        <v>129</v>
      </c>
      <c r="B106" s="4">
        <v>1</v>
      </c>
      <c r="C106" s="5">
        <v>510.3</v>
      </c>
      <c r="D106" s="6">
        <f t="shared" si="28"/>
        <v>0.67033117773858519</v>
      </c>
      <c r="E106" s="7">
        <v>0</v>
      </c>
      <c r="F106" s="7">
        <v>168.23</v>
      </c>
      <c r="G106" s="8">
        <f t="shared" si="29"/>
        <v>168.23</v>
      </c>
      <c r="H106" s="7">
        <v>0</v>
      </c>
      <c r="I106" s="7">
        <v>0.01</v>
      </c>
      <c r="J106" s="9">
        <v>45613</v>
      </c>
      <c r="K106" s="9">
        <v>45622</v>
      </c>
      <c r="L106" s="5"/>
      <c r="M106" s="7">
        <v>20.36</v>
      </c>
      <c r="N106" s="5"/>
      <c r="O106" s="11">
        <f>1.67+23.92</f>
        <v>25.590000000000003</v>
      </c>
      <c r="P106" s="4">
        <v>1</v>
      </c>
      <c r="Q106" s="8">
        <f t="shared" si="49"/>
        <v>142.64999999999998</v>
      </c>
      <c r="R106" s="12" t="s">
        <v>128</v>
      </c>
      <c r="T106" s="8">
        <f t="shared" si="50"/>
        <v>142.64999999999998</v>
      </c>
    </row>
    <row r="107" spans="1:20" ht="46.8" x14ac:dyDescent="0.3">
      <c r="A107" s="3" t="s">
        <v>131</v>
      </c>
      <c r="B107" s="4">
        <v>1</v>
      </c>
      <c r="C107" s="5">
        <v>705.13</v>
      </c>
      <c r="D107" s="6">
        <f t="shared" si="28"/>
        <v>0.5436586161417043</v>
      </c>
      <c r="E107" s="7">
        <v>0</v>
      </c>
      <c r="F107" s="7">
        <v>321.77999999999997</v>
      </c>
      <c r="G107" s="8">
        <f t="shared" si="29"/>
        <v>321.77999999999997</v>
      </c>
      <c r="H107" s="7">
        <v>0</v>
      </c>
      <c r="I107" s="7">
        <v>0</v>
      </c>
      <c r="J107" s="9">
        <v>45613</v>
      </c>
      <c r="K107" s="9">
        <v>45623</v>
      </c>
      <c r="L107" s="5"/>
      <c r="M107" s="7">
        <v>20.36</v>
      </c>
      <c r="N107" s="5"/>
      <c r="O107" s="11">
        <f>16.09+43.91</f>
        <v>60</v>
      </c>
      <c r="P107" s="4">
        <v>1</v>
      </c>
      <c r="Q107" s="8">
        <f t="shared" si="49"/>
        <v>261.77999999999997</v>
      </c>
      <c r="R107" s="12" t="s">
        <v>130</v>
      </c>
      <c r="T107" s="8">
        <f t="shared" si="50"/>
        <v>261.77999999999997</v>
      </c>
    </row>
    <row r="108" spans="1:20" ht="31.2" x14ac:dyDescent="0.3">
      <c r="A108" s="3" t="s">
        <v>133</v>
      </c>
      <c r="B108" s="4">
        <v>1</v>
      </c>
      <c r="C108" s="5">
        <v>282.08999999999997</v>
      </c>
      <c r="D108" s="6">
        <f t="shared" si="28"/>
        <v>0.35112907228189583</v>
      </c>
      <c r="E108" s="7">
        <v>0</v>
      </c>
      <c r="F108" s="7">
        <v>183.04</v>
      </c>
      <c r="G108" s="8">
        <f t="shared" si="29"/>
        <v>183.04</v>
      </c>
      <c r="H108" s="7">
        <v>0</v>
      </c>
      <c r="I108" s="7">
        <v>0</v>
      </c>
      <c r="J108" s="9">
        <v>45613</v>
      </c>
      <c r="K108" s="9">
        <v>45625</v>
      </c>
      <c r="L108" s="5"/>
      <c r="M108" s="7">
        <v>20.36</v>
      </c>
      <c r="N108" s="5"/>
      <c r="O108" s="11">
        <f>3.76+25.75</f>
        <v>29.509999999999998</v>
      </c>
      <c r="P108" s="4">
        <v>1</v>
      </c>
      <c r="Q108" s="8">
        <f t="shared" si="49"/>
        <v>153.53</v>
      </c>
      <c r="R108" s="12" t="s">
        <v>132</v>
      </c>
      <c r="T108" s="8">
        <f t="shared" si="50"/>
        <v>153.53</v>
      </c>
    </row>
    <row r="109" spans="1:20" ht="31.2" x14ac:dyDescent="0.3">
      <c r="A109" s="3" t="s">
        <v>228</v>
      </c>
      <c r="B109" s="4">
        <v>1</v>
      </c>
      <c r="C109" s="5">
        <v>67.81</v>
      </c>
      <c r="D109" s="6">
        <f t="shared" si="28"/>
        <v>-1.1502728211178308E-2</v>
      </c>
      <c r="E109" s="7">
        <v>0</v>
      </c>
      <c r="F109" s="7">
        <v>68.59</v>
      </c>
      <c r="G109" s="8">
        <f t="shared" si="29"/>
        <v>68.59</v>
      </c>
      <c r="H109" s="7">
        <v>0</v>
      </c>
      <c r="I109" s="7">
        <v>0</v>
      </c>
      <c r="J109" s="9">
        <v>45613</v>
      </c>
      <c r="K109" s="9">
        <v>45621</v>
      </c>
      <c r="L109" s="5"/>
      <c r="M109" s="7">
        <v>20.36</v>
      </c>
      <c r="N109" s="5"/>
      <c r="O109" s="11">
        <f>1.39+9.65</f>
        <v>11.040000000000001</v>
      </c>
      <c r="P109" s="4">
        <v>1</v>
      </c>
      <c r="Q109" s="8">
        <f t="shared" si="49"/>
        <v>57.550000000000004</v>
      </c>
      <c r="R109" s="12" t="s">
        <v>134</v>
      </c>
      <c r="T109" s="8">
        <f t="shared" si="50"/>
        <v>57.550000000000004</v>
      </c>
    </row>
    <row r="110" spans="1:20" ht="46.8" x14ac:dyDescent="0.3">
      <c r="A110" s="3" t="s">
        <v>136</v>
      </c>
      <c r="B110" s="4">
        <v>1</v>
      </c>
      <c r="C110" s="5">
        <v>327.77</v>
      </c>
      <c r="D110" s="6">
        <f t="shared" si="28"/>
        <v>0.53470421332031615</v>
      </c>
      <c r="E110" s="7">
        <v>0</v>
      </c>
      <c r="F110" s="7">
        <v>152.51</v>
      </c>
      <c r="G110" s="8">
        <f t="shared" si="29"/>
        <v>152.51</v>
      </c>
      <c r="H110" s="7">
        <v>0</v>
      </c>
      <c r="I110" s="7">
        <f>0.03</f>
        <v>0.03</v>
      </c>
      <c r="J110" s="9">
        <v>45613</v>
      </c>
      <c r="K110" s="9">
        <v>45622</v>
      </c>
      <c r="L110" s="5"/>
      <c r="M110" s="7">
        <v>20.36</v>
      </c>
      <c r="N110" s="5"/>
      <c r="O110" s="11">
        <f>1.53+21.69</f>
        <v>23.220000000000002</v>
      </c>
      <c r="P110" s="4">
        <v>1</v>
      </c>
      <c r="Q110" s="8">
        <f t="shared" si="49"/>
        <v>129.32</v>
      </c>
      <c r="R110" s="12" t="s">
        <v>135</v>
      </c>
      <c r="T110" s="8">
        <f t="shared" si="50"/>
        <v>129.32</v>
      </c>
    </row>
    <row r="111" spans="1:20" ht="46.8" x14ac:dyDescent="0.3">
      <c r="A111" s="3" t="s">
        <v>138</v>
      </c>
      <c r="B111" s="4">
        <v>1</v>
      </c>
      <c r="C111" s="5">
        <v>489.04</v>
      </c>
      <c r="D111" s="6">
        <f t="shared" si="28"/>
        <v>0.6763454932111892</v>
      </c>
      <c r="E111" s="7">
        <v>0</v>
      </c>
      <c r="F111" s="7">
        <v>158.28</v>
      </c>
      <c r="G111" s="8">
        <f t="shared" si="29"/>
        <v>158.28</v>
      </c>
      <c r="H111" s="7">
        <v>0</v>
      </c>
      <c r="I111" s="7">
        <v>0.01</v>
      </c>
      <c r="J111" s="9">
        <v>45613</v>
      </c>
      <c r="K111" s="9">
        <v>45622</v>
      </c>
      <c r="L111" s="5"/>
      <c r="M111" s="7">
        <v>20.36</v>
      </c>
      <c r="N111" s="5"/>
      <c r="O111" s="11">
        <f>1.59+22.51</f>
        <v>24.1</v>
      </c>
      <c r="P111" s="4">
        <v>1</v>
      </c>
      <c r="Q111" s="8">
        <f t="shared" si="49"/>
        <v>134.19</v>
      </c>
      <c r="R111" s="12" t="s">
        <v>137</v>
      </c>
      <c r="T111" s="8">
        <f t="shared" si="50"/>
        <v>134.19</v>
      </c>
    </row>
    <row r="112" spans="1:20" ht="46.8" x14ac:dyDescent="0.3">
      <c r="A112" s="3" t="s">
        <v>229</v>
      </c>
      <c r="B112" s="4">
        <v>1</v>
      </c>
      <c r="C112" s="5">
        <v>519.28</v>
      </c>
      <c r="D112" s="6">
        <f t="shared" si="28"/>
        <v>0.70665151748574939</v>
      </c>
      <c r="E112" s="7">
        <v>0</v>
      </c>
      <c r="F112" s="7">
        <v>152.33000000000001</v>
      </c>
      <c r="G112" s="8">
        <f t="shared" si="29"/>
        <v>152.33000000000001</v>
      </c>
      <c r="H112" s="7">
        <v>0</v>
      </c>
      <c r="I112" s="7">
        <v>0.01</v>
      </c>
      <c r="J112" s="9">
        <v>45613</v>
      </c>
      <c r="K112" s="9">
        <v>45620</v>
      </c>
      <c r="L112" s="5"/>
      <c r="M112" s="7">
        <v>20.36</v>
      </c>
      <c r="N112" s="5"/>
      <c r="O112" s="11">
        <f>1.53+21.66</f>
        <v>23.19</v>
      </c>
      <c r="P112" s="4">
        <v>1</v>
      </c>
      <c r="Q112" s="8">
        <f t="shared" si="49"/>
        <v>129.15</v>
      </c>
      <c r="R112" s="12" t="s">
        <v>139</v>
      </c>
      <c r="T112" s="8">
        <f t="shared" si="50"/>
        <v>129.15</v>
      </c>
    </row>
    <row r="113" spans="1:23" ht="46.8" x14ac:dyDescent="0.3">
      <c r="A113" s="3" t="s">
        <v>141</v>
      </c>
      <c r="B113" s="4">
        <v>1</v>
      </c>
      <c r="C113" s="5">
        <v>411.13</v>
      </c>
      <c r="D113" s="6">
        <f t="shared" ref="D113:D120" si="51">(((C113-F113)*100)/C113)/100</f>
        <v>0.7066864495415075</v>
      </c>
      <c r="E113" s="7">
        <v>0</v>
      </c>
      <c r="F113" s="7">
        <v>120.59</v>
      </c>
      <c r="G113" s="8">
        <f t="shared" ref="G113:G120" si="52">B113*F113</f>
        <v>120.59</v>
      </c>
      <c r="H113" s="7">
        <v>0</v>
      </c>
      <c r="I113" s="7">
        <v>0.02</v>
      </c>
      <c r="J113" s="9">
        <v>45613</v>
      </c>
      <c r="K113" s="9">
        <v>45621</v>
      </c>
      <c r="L113" s="5"/>
      <c r="M113" s="7">
        <v>20.36</v>
      </c>
      <c r="N113" s="5"/>
      <c r="O113" s="11">
        <f>1.21+17.15</f>
        <v>18.36</v>
      </c>
      <c r="P113" s="4">
        <v>1</v>
      </c>
      <c r="Q113" s="8">
        <f t="shared" si="49"/>
        <v>102.25</v>
      </c>
      <c r="R113" s="12" t="s">
        <v>140</v>
      </c>
      <c r="T113" s="8">
        <f t="shared" si="50"/>
        <v>102.25</v>
      </c>
    </row>
    <row r="114" spans="1:23" ht="31.2" x14ac:dyDescent="0.3">
      <c r="A114" s="3" t="s">
        <v>144</v>
      </c>
      <c r="B114" s="4">
        <v>1</v>
      </c>
      <c r="C114" s="5">
        <v>525.99</v>
      </c>
      <c r="D114" s="6">
        <f t="shared" si="51"/>
        <v>0.72689594859217843</v>
      </c>
      <c r="E114" s="7">
        <v>0</v>
      </c>
      <c r="F114" s="7">
        <v>143.65</v>
      </c>
      <c r="G114" s="8">
        <f t="shared" si="52"/>
        <v>143.65</v>
      </c>
      <c r="H114" s="7">
        <v>0</v>
      </c>
      <c r="I114" s="7">
        <v>0.01</v>
      </c>
      <c r="J114" s="9">
        <v>45613</v>
      </c>
      <c r="K114" s="9">
        <v>45620</v>
      </c>
      <c r="L114" s="5"/>
      <c r="M114" s="7">
        <v>20.36</v>
      </c>
      <c r="N114" s="5"/>
      <c r="O114" s="11">
        <f>1.44+20.43</f>
        <v>21.87</v>
      </c>
      <c r="P114" s="4">
        <v>1</v>
      </c>
      <c r="Q114" s="8">
        <f t="shared" si="49"/>
        <v>121.78999999999999</v>
      </c>
      <c r="R114" s="12" t="s">
        <v>142</v>
      </c>
      <c r="T114" s="8">
        <f t="shared" si="50"/>
        <v>121.78999999999999</v>
      </c>
    </row>
    <row r="115" spans="1:23" ht="31.2" x14ac:dyDescent="0.3">
      <c r="A115" s="3" t="s">
        <v>145</v>
      </c>
      <c r="B115" s="4">
        <v>1</v>
      </c>
      <c r="C115" s="5">
        <v>527.73</v>
      </c>
      <c r="D115" s="6">
        <f t="shared" si="51"/>
        <v>0.72692475318818339</v>
      </c>
      <c r="E115" s="7">
        <v>0</v>
      </c>
      <c r="F115" s="7">
        <v>144.11000000000001</v>
      </c>
      <c r="G115" s="8">
        <f t="shared" si="52"/>
        <v>144.11000000000001</v>
      </c>
      <c r="H115" s="7">
        <v>0</v>
      </c>
      <c r="I115" s="7">
        <v>0.02</v>
      </c>
      <c r="J115" s="9">
        <v>45613</v>
      </c>
      <c r="K115" s="9">
        <v>45620</v>
      </c>
      <c r="L115" s="5"/>
      <c r="M115" s="7">
        <v>20.36</v>
      </c>
      <c r="N115" s="5"/>
      <c r="O115" s="11">
        <f>1.44+20.49</f>
        <v>21.93</v>
      </c>
      <c r="P115" s="4">
        <v>1</v>
      </c>
      <c r="Q115" s="8">
        <f t="shared" si="49"/>
        <v>122.20000000000002</v>
      </c>
      <c r="R115" s="12" t="s">
        <v>143</v>
      </c>
      <c r="T115" s="8">
        <f t="shared" si="50"/>
        <v>122.20000000000002</v>
      </c>
    </row>
    <row r="116" spans="1:23" ht="46.8" x14ac:dyDescent="0.3">
      <c r="A116" s="3" t="s">
        <v>230</v>
      </c>
      <c r="B116" s="4">
        <v>1</v>
      </c>
      <c r="C116" s="5">
        <v>453.5</v>
      </c>
      <c r="D116" s="6">
        <f t="shared" si="51"/>
        <v>0.68643880926130096</v>
      </c>
      <c r="E116" s="7">
        <v>0</v>
      </c>
      <c r="F116" s="7">
        <v>142.19999999999999</v>
      </c>
      <c r="G116" s="8">
        <f t="shared" si="52"/>
        <v>142.19999999999999</v>
      </c>
      <c r="H116" s="7">
        <v>0</v>
      </c>
      <c r="I116" s="7">
        <v>0</v>
      </c>
      <c r="J116" s="9">
        <v>45613</v>
      </c>
      <c r="K116" s="9">
        <v>45622</v>
      </c>
      <c r="L116" s="5"/>
      <c r="M116" s="7">
        <v>20.36</v>
      </c>
      <c r="N116" s="5"/>
      <c r="O116" s="11">
        <f>1.41+20.22</f>
        <v>21.63</v>
      </c>
      <c r="P116" s="4">
        <v>1</v>
      </c>
      <c r="Q116" s="8">
        <f t="shared" si="49"/>
        <v>120.57</v>
      </c>
      <c r="R116" s="12" t="s">
        <v>146</v>
      </c>
      <c r="T116" s="8">
        <f t="shared" si="50"/>
        <v>120.57</v>
      </c>
    </row>
    <row r="117" spans="1:23" ht="31.2" x14ac:dyDescent="0.3">
      <c r="A117" s="3" t="s">
        <v>148</v>
      </c>
      <c r="B117" s="4">
        <v>1</v>
      </c>
      <c r="C117" s="5">
        <v>481.77</v>
      </c>
      <c r="D117" s="6">
        <f t="shared" si="51"/>
        <v>0.66739315440978064</v>
      </c>
      <c r="E117" s="7">
        <v>0</v>
      </c>
      <c r="F117" s="7">
        <v>160.24</v>
      </c>
      <c r="G117" s="8">
        <f t="shared" si="52"/>
        <v>160.24</v>
      </c>
      <c r="H117" s="7">
        <v>0</v>
      </c>
      <c r="I117" s="7">
        <v>0.03</v>
      </c>
      <c r="J117" s="9">
        <v>45613</v>
      </c>
      <c r="K117" s="9">
        <v>45621</v>
      </c>
      <c r="L117" s="5"/>
      <c r="M117" s="7">
        <v>20.36</v>
      </c>
      <c r="N117" s="5"/>
      <c r="O117" s="11">
        <f>1.62+22.78</f>
        <v>24.400000000000002</v>
      </c>
      <c r="P117" s="4">
        <v>1</v>
      </c>
      <c r="Q117" s="8">
        <f t="shared" si="49"/>
        <v>135.87</v>
      </c>
      <c r="R117" s="12" t="s">
        <v>147</v>
      </c>
      <c r="T117" s="8">
        <f t="shared" si="50"/>
        <v>135.87</v>
      </c>
    </row>
    <row r="118" spans="1:23" ht="31.2" x14ac:dyDescent="0.3">
      <c r="A118" s="3" t="s">
        <v>149</v>
      </c>
      <c r="B118" s="4">
        <v>1</v>
      </c>
      <c r="C118" s="5">
        <v>499.26</v>
      </c>
      <c r="D118" s="6">
        <f t="shared" si="51"/>
        <v>0.64599607418980087</v>
      </c>
      <c r="E118" s="7">
        <v>0</v>
      </c>
      <c r="F118" s="7">
        <v>176.74</v>
      </c>
      <c r="G118" s="8">
        <f t="shared" si="52"/>
        <v>176.74</v>
      </c>
      <c r="H118" s="7">
        <v>0</v>
      </c>
      <c r="I118" s="7">
        <v>0.02</v>
      </c>
      <c r="J118" s="9">
        <v>45613</v>
      </c>
      <c r="K118" s="9">
        <v>45620</v>
      </c>
      <c r="L118" s="5"/>
      <c r="M118" s="7">
        <v>20.36</v>
      </c>
      <c r="N118" s="5"/>
      <c r="O118" s="11">
        <f>1.76+25.13</f>
        <v>26.89</v>
      </c>
      <c r="P118" s="4">
        <v>1</v>
      </c>
      <c r="Q118" s="8">
        <f t="shared" si="49"/>
        <v>149.87</v>
      </c>
      <c r="R118" s="12"/>
      <c r="T118" s="8">
        <f t="shared" si="50"/>
        <v>149.87</v>
      </c>
    </row>
    <row r="119" spans="1:23" ht="31.2" x14ac:dyDescent="0.3">
      <c r="A119" s="3" t="s">
        <v>170</v>
      </c>
      <c r="B119" s="4">
        <v>1</v>
      </c>
      <c r="C119" s="5">
        <v>5190</v>
      </c>
      <c r="D119" s="6">
        <f t="shared" si="51"/>
        <v>0.36608863198458574</v>
      </c>
      <c r="E119" s="7">
        <v>0</v>
      </c>
      <c r="F119" s="7">
        <v>3290</v>
      </c>
      <c r="G119" s="8">
        <f t="shared" si="52"/>
        <v>3290</v>
      </c>
      <c r="H119" s="7">
        <v>0</v>
      </c>
      <c r="I119" s="7">
        <f>44/4</f>
        <v>11</v>
      </c>
      <c r="J119" s="9">
        <v>45613</v>
      </c>
      <c r="K119" s="9"/>
      <c r="L119" s="5"/>
      <c r="M119" s="7">
        <v>20.36</v>
      </c>
      <c r="N119" s="5"/>
      <c r="O119" s="11">
        <v>0</v>
      </c>
      <c r="P119" s="4">
        <v>5</v>
      </c>
      <c r="Q119" s="8">
        <f t="shared" si="49"/>
        <v>3301</v>
      </c>
      <c r="R119" s="12" t="s">
        <v>166</v>
      </c>
      <c r="T119" s="8">
        <f t="shared" si="50"/>
        <v>3301</v>
      </c>
    </row>
    <row r="120" spans="1:23" ht="31.2" x14ac:dyDescent="0.3">
      <c r="A120" s="3" t="s">
        <v>171</v>
      </c>
      <c r="B120" s="4">
        <v>1</v>
      </c>
      <c r="C120" s="5">
        <v>455</v>
      </c>
      <c r="D120" s="6">
        <f t="shared" si="51"/>
        <v>0.27472527472527469</v>
      </c>
      <c r="E120" s="7">
        <v>0</v>
      </c>
      <c r="F120" s="7">
        <v>330</v>
      </c>
      <c r="G120" s="8">
        <f t="shared" si="52"/>
        <v>330</v>
      </c>
      <c r="H120" s="7">
        <v>0</v>
      </c>
      <c r="I120" s="7">
        <f>44/4</f>
        <v>11</v>
      </c>
      <c r="J120" s="9">
        <v>45613</v>
      </c>
      <c r="K120" s="9"/>
      <c r="L120" s="5"/>
      <c r="M120" s="7">
        <v>20.36</v>
      </c>
      <c r="N120" s="5"/>
      <c r="O120" s="11">
        <v>0</v>
      </c>
      <c r="P120" s="4">
        <v>1</v>
      </c>
      <c r="Q120" s="8">
        <f t="shared" si="49"/>
        <v>341</v>
      </c>
      <c r="R120" s="12" t="s">
        <v>167</v>
      </c>
      <c r="T120" s="8">
        <f t="shared" si="50"/>
        <v>341</v>
      </c>
    </row>
    <row r="121" spans="1:23" ht="31.2" x14ac:dyDescent="0.3">
      <c r="A121" s="3" t="s">
        <v>172</v>
      </c>
      <c r="B121" s="4">
        <v>1</v>
      </c>
      <c r="C121" s="5">
        <v>329</v>
      </c>
      <c r="D121" s="6">
        <f t="shared" ref="D121:D125" si="53">(((C121-F121)*100)/C121)/100</f>
        <v>0.3161094224924012</v>
      </c>
      <c r="E121" s="7">
        <v>0</v>
      </c>
      <c r="F121" s="7">
        <v>225</v>
      </c>
      <c r="G121" s="8">
        <f t="shared" ref="G121:G125" si="54">B121*F121</f>
        <v>225</v>
      </c>
      <c r="H121" s="7">
        <v>0</v>
      </c>
      <c r="I121" s="7">
        <f>44/4</f>
        <v>11</v>
      </c>
      <c r="J121" s="9">
        <v>45613</v>
      </c>
      <c r="K121" s="9"/>
      <c r="L121" s="5"/>
      <c r="M121" s="7">
        <v>20.36</v>
      </c>
      <c r="N121" s="5"/>
      <c r="O121" s="11">
        <v>0</v>
      </c>
      <c r="P121" s="4">
        <v>1</v>
      </c>
      <c r="Q121" s="8">
        <f t="shared" si="49"/>
        <v>236</v>
      </c>
      <c r="R121" s="12" t="s">
        <v>168</v>
      </c>
      <c r="T121" s="8">
        <f t="shared" si="50"/>
        <v>236</v>
      </c>
    </row>
    <row r="122" spans="1:23" ht="31.2" x14ac:dyDescent="0.3">
      <c r="A122" s="3" t="s">
        <v>173</v>
      </c>
      <c r="B122" s="4">
        <v>1</v>
      </c>
      <c r="C122" s="5">
        <v>549</v>
      </c>
      <c r="D122" s="6">
        <f t="shared" si="53"/>
        <v>0.2914389799635701</v>
      </c>
      <c r="E122" s="7">
        <v>0</v>
      </c>
      <c r="F122" s="7">
        <v>389</v>
      </c>
      <c r="G122" s="8">
        <f t="shared" si="54"/>
        <v>389</v>
      </c>
      <c r="H122" s="7">
        <v>0</v>
      </c>
      <c r="I122" s="7">
        <f>44/4</f>
        <v>11</v>
      </c>
      <c r="J122" s="9">
        <v>45613</v>
      </c>
      <c r="K122" s="9"/>
      <c r="L122" s="5"/>
      <c r="M122" s="7">
        <v>20.36</v>
      </c>
      <c r="N122" s="5"/>
      <c r="O122" s="11">
        <v>0</v>
      </c>
      <c r="P122" s="4">
        <v>1</v>
      </c>
      <c r="Q122" s="8">
        <f t="shared" si="49"/>
        <v>400</v>
      </c>
      <c r="R122" s="12" t="s">
        <v>169</v>
      </c>
      <c r="T122" s="8">
        <f t="shared" si="50"/>
        <v>400</v>
      </c>
    </row>
    <row r="123" spans="1:23" ht="46.8" x14ac:dyDescent="0.3">
      <c r="A123" s="3" t="s">
        <v>212</v>
      </c>
      <c r="B123" s="4">
        <v>1</v>
      </c>
      <c r="C123" s="5">
        <v>429</v>
      </c>
      <c r="D123" s="6">
        <f t="shared" si="53"/>
        <v>0.44032634032634038</v>
      </c>
      <c r="E123" s="7">
        <v>0</v>
      </c>
      <c r="F123" s="7">
        <v>240.1</v>
      </c>
      <c r="G123" s="8">
        <f t="shared" si="54"/>
        <v>240.1</v>
      </c>
      <c r="H123" s="7">
        <v>0</v>
      </c>
      <c r="I123" s="7">
        <v>0</v>
      </c>
      <c r="J123" s="9">
        <v>45613</v>
      </c>
      <c r="K123" s="9"/>
      <c r="L123" s="5"/>
      <c r="M123" s="7">
        <v>20.36</v>
      </c>
      <c r="N123" s="5"/>
      <c r="O123" s="11">
        <v>0</v>
      </c>
      <c r="P123" s="4">
        <v>1</v>
      </c>
      <c r="Q123" s="8">
        <f t="shared" si="49"/>
        <v>240.1</v>
      </c>
      <c r="R123" s="12" t="s">
        <v>211</v>
      </c>
      <c r="T123" s="8">
        <f t="shared" si="50"/>
        <v>240.1</v>
      </c>
    </row>
    <row r="124" spans="1:23" x14ac:dyDescent="0.3">
      <c r="A124" s="3" t="s">
        <v>215</v>
      </c>
      <c r="B124" s="4">
        <v>1</v>
      </c>
      <c r="C124" s="5">
        <v>279</v>
      </c>
      <c r="D124" s="6">
        <f t="shared" si="53"/>
        <v>0.11999999999999997</v>
      </c>
      <c r="E124" s="7">
        <v>0</v>
      </c>
      <c r="F124" s="7">
        <v>245.52</v>
      </c>
      <c r="G124" s="8">
        <f t="shared" si="54"/>
        <v>245.52</v>
      </c>
      <c r="H124" s="7">
        <v>0</v>
      </c>
      <c r="I124" s="7">
        <v>0</v>
      </c>
      <c r="J124" s="9">
        <v>45613</v>
      </c>
      <c r="K124" s="9"/>
      <c r="L124" s="5"/>
      <c r="M124" s="7">
        <v>20.36</v>
      </c>
      <c r="N124" s="5"/>
      <c r="O124" s="11">
        <v>0</v>
      </c>
      <c r="P124" s="4">
        <v>40</v>
      </c>
      <c r="Q124" s="8">
        <f t="shared" si="49"/>
        <v>245.52</v>
      </c>
      <c r="R124" s="12" t="s">
        <v>213</v>
      </c>
      <c r="T124" s="8">
        <f t="shared" si="50"/>
        <v>245.52</v>
      </c>
    </row>
    <row r="125" spans="1:23" ht="46.8" x14ac:dyDescent="0.3">
      <c r="A125" s="3" t="s">
        <v>216</v>
      </c>
      <c r="B125" s="4">
        <v>1</v>
      </c>
      <c r="C125" s="5">
        <v>199</v>
      </c>
      <c r="D125" s="6">
        <f t="shared" si="53"/>
        <v>0.16432160804020096</v>
      </c>
      <c r="E125" s="7">
        <v>0</v>
      </c>
      <c r="F125" s="7">
        <v>166.3</v>
      </c>
      <c r="G125" s="8">
        <f t="shared" si="54"/>
        <v>166.3</v>
      </c>
      <c r="H125" s="7">
        <v>0</v>
      </c>
      <c r="I125" s="7">
        <v>0</v>
      </c>
      <c r="J125" s="9">
        <v>45613</v>
      </c>
      <c r="K125" s="9"/>
      <c r="L125" s="5"/>
      <c r="M125" s="7">
        <v>20.36</v>
      </c>
      <c r="N125" s="5"/>
      <c r="O125" s="11">
        <v>0</v>
      </c>
      <c r="P125" s="4">
        <v>40</v>
      </c>
      <c r="Q125" s="8">
        <f t="shared" si="49"/>
        <v>166.3</v>
      </c>
      <c r="R125" s="12" t="s">
        <v>214</v>
      </c>
      <c r="T125" s="8">
        <f t="shared" si="50"/>
        <v>166.3</v>
      </c>
    </row>
    <row r="126" spans="1:23" ht="46.8" x14ac:dyDescent="0.3">
      <c r="A126" s="3" t="s">
        <v>151</v>
      </c>
      <c r="B126" s="4">
        <v>1</v>
      </c>
      <c r="C126" s="5">
        <v>46.73</v>
      </c>
      <c r="D126" s="6">
        <f t="shared" ref="D126:D127" si="55">(((C126-F126)*100)/C126)/100</f>
        <v>0.5067408517012626</v>
      </c>
      <c r="E126" s="7">
        <v>0</v>
      </c>
      <c r="F126" s="7">
        <v>23.05</v>
      </c>
      <c r="G126" s="8">
        <f t="shared" ref="G126:G127" si="56">B126*F126</f>
        <v>23.05</v>
      </c>
      <c r="H126" s="7">
        <v>0</v>
      </c>
      <c r="I126" s="7">
        <v>0</v>
      </c>
      <c r="J126" s="9">
        <v>45614</v>
      </c>
      <c r="K126" s="9">
        <v>45621</v>
      </c>
      <c r="L126" s="5"/>
      <c r="M126" s="7">
        <v>20.21</v>
      </c>
      <c r="N126" s="5"/>
      <c r="O126" s="11">
        <v>0.23</v>
      </c>
      <c r="P126" s="4">
        <v>5</v>
      </c>
      <c r="Q126" s="8">
        <f t="shared" si="49"/>
        <v>22.82</v>
      </c>
      <c r="R126" s="12" t="s">
        <v>150</v>
      </c>
      <c r="T126" s="8">
        <f t="shared" si="50"/>
        <v>22.82</v>
      </c>
    </row>
    <row r="127" spans="1:23" ht="31.2" x14ac:dyDescent="0.3">
      <c r="A127" s="3" t="s">
        <v>218</v>
      </c>
      <c r="B127" s="4">
        <v>1</v>
      </c>
      <c r="C127" s="5">
        <v>899</v>
      </c>
      <c r="D127" s="6">
        <f t="shared" si="55"/>
        <v>0.2203781979977753</v>
      </c>
      <c r="E127" s="7">
        <v>0</v>
      </c>
      <c r="F127" s="7">
        <v>700.88</v>
      </c>
      <c r="G127" s="8">
        <f t="shared" si="56"/>
        <v>700.88</v>
      </c>
      <c r="H127" s="7">
        <v>0</v>
      </c>
      <c r="I127" s="7">
        <v>0</v>
      </c>
      <c r="J127" s="9">
        <v>45614</v>
      </c>
      <c r="K127" s="9"/>
      <c r="L127" s="5"/>
      <c r="M127" s="7">
        <v>20.21</v>
      </c>
      <c r="N127" s="5"/>
      <c r="O127" s="11">
        <v>70.09</v>
      </c>
      <c r="P127" s="4">
        <v>1</v>
      </c>
      <c r="Q127" s="8">
        <f t="shared" si="49"/>
        <v>630.79</v>
      </c>
      <c r="R127" s="12" t="s">
        <v>217</v>
      </c>
      <c r="T127" s="8">
        <f t="shared" si="50"/>
        <v>630.79</v>
      </c>
    </row>
    <row r="128" spans="1:23" ht="46.8" x14ac:dyDescent="0.3">
      <c r="A128" s="3" t="s">
        <v>283</v>
      </c>
      <c r="B128" s="4">
        <v>1</v>
      </c>
      <c r="C128" s="5">
        <v>1463.82</v>
      </c>
      <c r="D128" s="6">
        <f t="shared" ref="D128:D131" si="57">(((C128-F128)*100)/C128)/100</f>
        <v>0.90748691779043877</v>
      </c>
      <c r="E128" s="7">
        <v>0</v>
      </c>
      <c r="F128" s="7">
        <f>((306.56/4)*2+(235.13/4)*2)/2</f>
        <v>135.42250000000001</v>
      </c>
      <c r="G128" s="8">
        <f t="shared" ref="G128:G131" si="58">B128*F128</f>
        <v>135.42250000000001</v>
      </c>
      <c r="H128" s="7">
        <v>0</v>
      </c>
      <c r="I128" s="7">
        <v>0</v>
      </c>
      <c r="J128" s="9">
        <v>45616</v>
      </c>
      <c r="K128" s="9">
        <v>45626</v>
      </c>
      <c r="L128" s="5"/>
      <c r="M128" s="7">
        <v>20.28</v>
      </c>
      <c r="N128" s="5"/>
      <c r="O128" s="11">
        <v>0</v>
      </c>
      <c r="P128" s="4">
        <v>1</v>
      </c>
      <c r="Q128" s="8">
        <f t="shared" si="49"/>
        <v>135.42250000000001</v>
      </c>
      <c r="R128" s="12" t="s">
        <v>282</v>
      </c>
      <c r="T128" s="8">
        <f t="shared" si="50"/>
        <v>135.42250000000001</v>
      </c>
      <c r="W128" s="23">
        <f>SUM(Q128:Q132)</f>
        <v>630.88000000000011</v>
      </c>
    </row>
    <row r="129" spans="1:20" ht="46.8" x14ac:dyDescent="0.3">
      <c r="A129" s="3" t="s">
        <v>402</v>
      </c>
      <c r="B129" s="4">
        <v>1</v>
      </c>
      <c r="C129" s="5">
        <v>1290.49</v>
      </c>
      <c r="D129" s="6">
        <f t="shared" si="57"/>
        <v>0.89506117831211407</v>
      </c>
      <c r="E129" s="7">
        <v>0</v>
      </c>
      <c r="F129" s="7">
        <f>((306.56/4)*2+(235.13/4)*2)/2</f>
        <v>135.42250000000001</v>
      </c>
      <c r="G129" s="8">
        <f t="shared" si="58"/>
        <v>135.42250000000001</v>
      </c>
      <c r="H129" s="7">
        <v>0</v>
      </c>
      <c r="I129" s="7">
        <v>0</v>
      </c>
      <c r="J129" s="9">
        <v>45616</v>
      </c>
      <c r="K129" s="9"/>
      <c r="L129" s="5"/>
      <c r="M129" s="7">
        <v>20.28</v>
      </c>
      <c r="N129" s="5"/>
      <c r="O129" s="11">
        <v>0</v>
      </c>
      <c r="P129" s="4">
        <v>1</v>
      </c>
      <c r="Q129" s="8">
        <f t="shared" si="49"/>
        <v>135.42250000000001</v>
      </c>
      <c r="R129" s="12" t="s">
        <v>284</v>
      </c>
      <c r="T129" s="8">
        <f t="shared" si="50"/>
        <v>135.42250000000001</v>
      </c>
    </row>
    <row r="130" spans="1:20" ht="46.8" x14ac:dyDescent="0.3">
      <c r="A130" s="3" t="s">
        <v>403</v>
      </c>
      <c r="B130" s="4">
        <v>1</v>
      </c>
      <c r="C130" s="5">
        <v>1069</v>
      </c>
      <c r="D130" s="6">
        <f t="shared" si="57"/>
        <v>0.8566136576239477</v>
      </c>
      <c r="E130" s="7">
        <v>0</v>
      </c>
      <c r="F130" s="7">
        <f>(306.56/4)*2</f>
        <v>153.28</v>
      </c>
      <c r="G130" s="8">
        <f t="shared" si="58"/>
        <v>153.28</v>
      </c>
      <c r="H130" s="7">
        <v>0</v>
      </c>
      <c r="I130" s="7">
        <v>0</v>
      </c>
      <c r="J130" s="9">
        <v>45616</v>
      </c>
      <c r="K130" s="9"/>
      <c r="L130" s="5"/>
      <c r="M130" s="7">
        <v>20.28</v>
      </c>
      <c r="N130" s="5"/>
      <c r="O130" s="11">
        <v>0</v>
      </c>
      <c r="P130" s="4">
        <v>1</v>
      </c>
      <c r="Q130" s="8">
        <f t="shared" si="49"/>
        <v>153.28</v>
      </c>
      <c r="R130" s="12" t="s">
        <v>285</v>
      </c>
      <c r="T130" s="8">
        <f t="shared" si="50"/>
        <v>153.28</v>
      </c>
    </row>
    <row r="131" spans="1:20" ht="46.8" x14ac:dyDescent="0.3">
      <c r="A131" s="3" t="s">
        <v>404</v>
      </c>
      <c r="B131" s="4">
        <v>1</v>
      </c>
      <c r="C131" s="5">
        <v>490</v>
      </c>
      <c r="D131" s="6">
        <f t="shared" si="57"/>
        <v>0.76007142857142851</v>
      </c>
      <c r="E131" s="7">
        <v>0</v>
      </c>
      <c r="F131" s="7">
        <f>(235.13/4)*2</f>
        <v>117.565</v>
      </c>
      <c r="G131" s="8">
        <f t="shared" si="58"/>
        <v>117.565</v>
      </c>
      <c r="H131" s="7">
        <v>0</v>
      </c>
      <c r="I131" s="7">
        <v>0</v>
      </c>
      <c r="J131" s="9">
        <v>45616</v>
      </c>
      <c r="K131" s="9"/>
      <c r="L131" s="5"/>
      <c r="M131" s="7">
        <v>20.28</v>
      </c>
      <c r="N131" s="5"/>
      <c r="O131" s="11">
        <v>0</v>
      </c>
      <c r="P131" s="4">
        <v>1</v>
      </c>
      <c r="Q131" s="8">
        <f t="shared" si="49"/>
        <v>117.565</v>
      </c>
      <c r="R131" s="12" t="s">
        <v>286</v>
      </c>
      <c r="T131" s="8">
        <f t="shared" si="50"/>
        <v>117.565</v>
      </c>
    </row>
    <row r="132" spans="1:20" ht="62.4" x14ac:dyDescent="0.3">
      <c r="A132" s="3" t="s">
        <v>405</v>
      </c>
      <c r="B132" s="4">
        <v>1</v>
      </c>
      <c r="C132" s="5">
        <v>509.99</v>
      </c>
      <c r="D132" s="6">
        <f t="shared" ref="D132:D137" si="59">(((C132-F132)*100)/C132)/100</f>
        <v>0.82511421792584172</v>
      </c>
      <c r="E132" s="7">
        <v>0</v>
      </c>
      <c r="F132" s="7">
        <v>89.19</v>
      </c>
      <c r="G132" s="8">
        <f t="shared" ref="G132:G137" si="60">B132*F132</f>
        <v>89.19</v>
      </c>
      <c r="H132" s="7">
        <v>0</v>
      </c>
      <c r="I132" s="7">
        <v>0</v>
      </c>
      <c r="J132" s="9">
        <v>45616</v>
      </c>
      <c r="K132" s="9">
        <v>45626</v>
      </c>
      <c r="L132" s="5"/>
      <c r="M132" s="7">
        <v>20.28</v>
      </c>
      <c r="N132" s="5"/>
      <c r="O132" s="11">
        <v>0</v>
      </c>
      <c r="P132" s="4">
        <v>1</v>
      </c>
      <c r="Q132" s="8">
        <f t="shared" si="49"/>
        <v>89.19</v>
      </c>
      <c r="R132" s="12" t="s">
        <v>287</v>
      </c>
      <c r="T132" s="8">
        <f t="shared" si="50"/>
        <v>89.19</v>
      </c>
    </row>
    <row r="133" spans="1:20" ht="46.8" x14ac:dyDescent="0.3">
      <c r="A133" s="3" t="s">
        <v>291</v>
      </c>
      <c r="B133" s="4">
        <v>1</v>
      </c>
      <c r="C133" s="5">
        <v>70</v>
      </c>
      <c r="D133" s="6">
        <f t="shared" si="59"/>
        <v>1.757142857142863E-2</v>
      </c>
      <c r="E133" s="7">
        <v>0</v>
      </c>
      <c r="F133" s="7">
        <v>68.77</v>
      </c>
      <c r="G133" s="8">
        <f t="shared" si="60"/>
        <v>68.77</v>
      </c>
      <c r="H133" s="7">
        <v>0</v>
      </c>
      <c r="I133" s="7">
        <v>3.61</v>
      </c>
      <c r="J133" s="9">
        <v>45623</v>
      </c>
      <c r="K133" s="9"/>
      <c r="L133" s="5"/>
      <c r="M133" s="7">
        <v>20.6</v>
      </c>
      <c r="N133" s="5"/>
      <c r="O133" s="11">
        <v>8.92</v>
      </c>
      <c r="P133" s="4">
        <v>1</v>
      </c>
      <c r="Q133" s="8">
        <f t="shared" ref="Q133:Q142" si="61">F133+(I133/B133)-(O133/B133)</f>
        <v>63.459999999999994</v>
      </c>
      <c r="R133" s="12" t="s">
        <v>290</v>
      </c>
      <c r="T133" s="8">
        <f t="shared" ref="T133:T142" si="62">B133*Q133</f>
        <v>63.459999999999994</v>
      </c>
    </row>
    <row r="134" spans="1:20" ht="46.8" x14ac:dyDescent="0.3">
      <c r="A134" s="3" t="s">
        <v>293</v>
      </c>
      <c r="B134" s="4">
        <v>1</v>
      </c>
      <c r="C134" s="5">
        <v>291.2</v>
      </c>
      <c r="D134" s="6">
        <f t="shared" si="59"/>
        <v>0.68825549450549461</v>
      </c>
      <c r="E134" s="7">
        <v>0</v>
      </c>
      <c r="F134" s="7">
        <v>90.78</v>
      </c>
      <c r="G134" s="8">
        <f t="shared" si="60"/>
        <v>90.78</v>
      </c>
      <c r="H134" s="7">
        <v>0</v>
      </c>
      <c r="I134" s="7">
        <v>4.79</v>
      </c>
      <c r="J134" s="9">
        <v>45623</v>
      </c>
      <c r="K134" s="9"/>
      <c r="L134" s="5"/>
      <c r="M134" s="7">
        <v>20.6</v>
      </c>
      <c r="N134" s="5"/>
      <c r="O134" s="11">
        <v>11.77</v>
      </c>
      <c r="P134" s="4">
        <v>1</v>
      </c>
      <c r="Q134" s="8">
        <f t="shared" si="61"/>
        <v>83.800000000000011</v>
      </c>
      <c r="R134" s="12" t="s">
        <v>292</v>
      </c>
      <c r="T134" s="8">
        <f t="shared" si="62"/>
        <v>83.800000000000011</v>
      </c>
    </row>
    <row r="135" spans="1:20" ht="46.8" x14ac:dyDescent="0.3">
      <c r="A135" s="3" t="s">
        <v>406</v>
      </c>
      <c r="B135" s="4">
        <v>1</v>
      </c>
      <c r="C135" s="5">
        <v>240.19</v>
      </c>
      <c r="D135" s="6">
        <f t="shared" si="59"/>
        <v>0.60776884966068534</v>
      </c>
      <c r="E135" s="7">
        <v>0</v>
      </c>
      <c r="F135" s="7">
        <v>94.21</v>
      </c>
      <c r="G135" s="8">
        <f t="shared" si="60"/>
        <v>94.21</v>
      </c>
      <c r="H135" s="7">
        <v>0</v>
      </c>
      <c r="I135" s="7">
        <v>4.9800000000000004</v>
      </c>
      <c r="J135" s="9">
        <v>45623</v>
      </c>
      <c r="K135" s="9"/>
      <c r="L135" s="5"/>
      <c r="M135" s="7">
        <v>20.6</v>
      </c>
      <c r="N135" s="5"/>
      <c r="O135" s="11">
        <v>12.22</v>
      </c>
      <c r="P135" s="4">
        <v>1</v>
      </c>
      <c r="Q135" s="8">
        <f t="shared" si="61"/>
        <v>86.97</v>
      </c>
      <c r="R135" s="12" t="s">
        <v>294</v>
      </c>
      <c r="T135" s="8">
        <f t="shared" si="62"/>
        <v>86.97</v>
      </c>
    </row>
    <row r="136" spans="1:20" ht="46.8" x14ac:dyDescent="0.3">
      <c r="A136" s="3" t="s">
        <v>296</v>
      </c>
      <c r="B136" s="4">
        <v>1</v>
      </c>
      <c r="C136" s="5">
        <v>430.08</v>
      </c>
      <c r="D136" s="6">
        <f t="shared" si="59"/>
        <v>0.70837983630952384</v>
      </c>
      <c r="E136" s="7">
        <v>0</v>
      </c>
      <c r="F136" s="7">
        <v>125.42</v>
      </c>
      <c r="G136" s="8">
        <f t="shared" si="60"/>
        <v>125.42</v>
      </c>
      <c r="H136" s="7">
        <v>0</v>
      </c>
      <c r="I136" s="7">
        <v>6.7</v>
      </c>
      <c r="J136" s="9">
        <v>45623</v>
      </c>
      <c r="K136" s="9"/>
      <c r="L136" s="5"/>
      <c r="M136" s="7">
        <v>20.6</v>
      </c>
      <c r="N136" s="5"/>
      <c r="O136" s="11">
        <v>16.260000000000002</v>
      </c>
      <c r="P136" s="4">
        <v>1</v>
      </c>
      <c r="Q136" s="8">
        <f t="shared" si="61"/>
        <v>115.86</v>
      </c>
      <c r="R136" s="12" t="s">
        <v>295</v>
      </c>
      <c r="T136" s="8">
        <f t="shared" si="62"/>
        <v>115.86</v>
      </c>
    </row>
    <row r="137" spans="1:20" ht="31.2" x14ac:dyDescent="0.3">
      <c r="A137" s="3" t="s">
        <v>298</v>
      </c>
      <c r="B137" s="4">
        <v>1</v>
      </c>
      <c r="C137" s="5">
        <v>199.93</v>
      </c>
      <c r="D137" s="6">
        <f t="shared" si="59"/>
        <v>7.2525383884359529E-2</v>
      </c>
      <c r="E137" s="7">
        <v>0</v>
      </c>
      <c r="F137" s="7">
        <v>185.43</v>
      </c>
      <c r="G137" s="8">
        <f t="shared" si="60"/>
        <v>185.43</v>
      </c>
      <c r="H137" s="7">
        <v>0</v>
      </c>
      <c r="I137" s="7">
        <v>10.039999999999999</v>
      </c>
      <c r="J137" s="9">
        <v>45623</v>
      </c>
      <c r="K137" s="9"/>
      <c r="L137" s="5"/>
      <c r="M137" s="7">
        <v>20.6</v>
      </c>
      <c r="N137" s="5"/>
      <c r="O137" s="11">
        <v>24.05</v>
      </c>
      <c r="P137" s="4">
        <v>1</v>
      </c>
      <c r="Q137" s="8">
        <f t="shared" si="61"/>
        <v>171.42</v>
      </c>
      <c r="R137" s="12" t="s">
        <v>297</v>
      </c>
      <c r="T137" s="8">
        <f t="shared" si="62"/>
        <v>171.42</v>
      </c>
    </row>
    <row r="138" spans="1:20" ht="46.8" x14ac:dyDescent="0.3">
      <c r="A138" s="3" t="s">
        <v>314</v>
      </c>
      <c r="B138" s="4">
        <v>1</v>
      </c>
      <c r="C138" s="5">
        <v>99.32</v>
      </c>
      <c r="D138" s="6">
        <f t="shared" ref="D138:D142" si="63">(((C138-F138)*100)/C138)/100</f>
        <v>8.5682641965364403E-2</v>
      </c>
      <c r="E138" s="7">
        <v>0</v>
      </c>
      <c r="F138" s="7">
        <v>90.81</v>
      </c>
      <c r="G138" s="8">
        <f t="shared" ref="G138:G142" si="64">B138*F138</f>
        <v>90.81</v>
      </c>
      <c r="H138" s="7">
        <v>0</v>
      </c>
      <c r="I138" s="7">
        <v>4.7699999999999996</v>
      </c>
      <c r="J138" s="9">
        <v>45623</v>
      </c>
      <c r="K138" s="9"/>
      <c r="L138" s="5"/>
      <c r="M138" s="7">
        <v>20.6</v>
      </c>
      <c r="N138" s="5"/>
      <c r="O138" s="11">
        <v>11.78</v>
      </c>
      <c r="P138" s="4">
        <v>1</v>
      </c>
      <c r="Q138" s="8">
        <f t="shared" si="61"/>
        <v>83.8</v>
      </c>
      <c r="R138" s="12" t="s">
        <v>299</v>
      </c>
      <c r="T138" s="8">
        <f t="shared" si="62"/>
        <v>83.8</v>
      </c>
    </row>
    <row r="139" spans="1:20" ht="31.2" x14ac:dyDescent="0.3">
      <c r="A139" s="3" t="s">
        <v>301</v>
      </c>
      <c r="B139" s="4">
        <v>1</v>
      </c>
      <c r="C139" s="5">
        <v>709.32</v>
      </c>
      <c r="D139" s="6">
        <f t="shared" si="63"/>
        <v>0.61268538882309809</v>
      </c>
      <c r="E139" s="7">
        <v>0</v>
      </c>
      <c r="F139" s="7">
        <v>274.73</v>
      </c>
      <c r="G139" s="8">
        <f t="shared" si="64"/>
        <v>274.73</v>
      </c>
      <c r="H139" s="7">
        <v>0</v>
      </c>
      <c r="I139" s="7">
        <v>15.02</v>
      </c>
      <c r="J139" s="9">
        <v>45623</v>
      </c>
      <c r="K139" s="9"/>
      <c r="L139" s="5"/>
      <c r="M139" s="7">
        <v>20.6</v>
      </c>
      <c r="N139" s="5"/>
      <c r="O139" s="11">
        <v>0</v>
      </c>
      <c r="P139" s="4">
        <v>6</v>
      </c>
      <c r="Q139" s="8">
        <f t="shared" si="61"/>
        <v>289.75</v>
      </c>
      <c r="R139" s="12" t="s">
        <v>300</v>
      </c>
      <c r="T139" s="8">
        <f t="shared" si="62"/>
        <v>289.75</v>
      </c>
    </row>
    <row r="140" spans="1:20" ht="31.2" x14ac:dyDescent="0.3">
      <c r="A140" s="3" t="s">
        <v>303</v>
      </c>
      <c r="B140" s="4">
        <v>1</v>
      </c>
      <c r="C140" s="5">
        <v>339.83</v>
      </c>
      <c r="D140" s="6">
        <f t="shared" si="63"/>
        <v>0.71123797192714011</v>
      </c>
      <c r="E140" s="7">
        <v>0</v>
      </c>
      <c r="F140" s="7">
        <v>98.13</v>
      </c>
      <c r="G140" s="8">
        <f t="shared" si="64"/>
        <v>98.13</v>
      </c>
      <c r="H140" s="7">
        <v>0</v>
      </c>
      <c r="I140" s="7">
        <v>0.03</v>
      </c>
      <c r="J140" s="9">
        <v>45623</v>
      </c>
      <c r="K140" s="9"/>
      <c r="L140" s="5"/>
      <c r="M140" s="7">
        <v>20.6</v>
      </c>
      <c r="N140" s="5"/>
      <c r="O140" s="11">
        <f>0.98+13.05</f>
        <v>14.030000000000001</v>
      </c>
      <c r="P140" s="4">
        <v>1</v>
      </c>
      <c r="Q140" s="8">
        <f t="shared" si="61"/>
        <v>84.13</v>
      </c>
      <c r="R140" s="12" t="s">
        <v>302</v>
      </c>
      <c r="T140" s="8">
        <f t="shared" si="62"/>
        <v>84.13</v>
      </c>
    </row>
    <row r="141" spans="1:20" ht="31.2" x14ac:dyDescent="0.3">
      <c r="A141" s="3" t="s">
        <v>303</v>
      </c>
      <c r="B141" s="4">
        <v>1</v>
      </c>
      <c r="C141" s="5">
        <v>384.57</v>
      </c>
      <c r="D141" s="6">
        <f t="shared" si="63"/>
        <v>0.71118391970252492</v>
      </c>
      <c r="E141" s="7">
        <v>0</v>
      </c>
      <c r="F141" s="7">
        <v>111.07</v>
      </c>
      <c r="G141" s="8">
        <f t="shared" si="64"/>
        <v>111.07</v>
      </c>
      <c r="H141" s="7">
        <v>0</v>
      </c>
      <c r="I141" s="7">
        <v>0.04</v>
      </c>
      <c r="J141" s="9">
        <v>45623</v>
      </c>
      <c r="K141" s="9"/>
      <c r="L141" s="5"/>
      <c r="M141" s="7">
        <v>20.6</v>
      </c>
      <c r="N141" s="5"/>
      <c r="O141" s="11">
        <f>1.12+14.78</f>
        <v>15.899999999999999</v>
      </c>
      <c r="P141" s="4">
        <v>1</v>
      </c>
      <c r="Q141" s="8">
        <f t="shared" si="61"/>
        <v>95.210000000000008</v>
      </c>
      <c r="R141" s="12"/>
      <c r="T141" s="8">
        <f t="shared" si="62"/>
        <v>95.210000000000008</v>
      </c>
    </row>
    <row r="142" spans="1:20" ht="46.8" x14ac:dyDescent="0.3">
      <c r="A142" s="3" t="s">
        <v>305</v>
      </c>
      <c r="B142" s="4">
        <v>1</v>
      </c>
      <c r="C142" s="5">
        <v>112.28</v>
      </c>
      <c r="D142" s="6">
        <f t="shared" si="63"/>
        <v>2.3156394727467501E-3</v>
      </c>
      <c r="E142" s="7">
        <v>0</v>
      </c>
      <c r="F142" s="7">
        <v>112.02</v>
      </c>
      <c r="G142" s="8">
        <f t="shared" si="64"/>
        <v>112.02</v>
      </c>
      <c r="H142" s="7">
        <v>0</v>
      </c>
      <c r="I142" s="7">
        <v>0.05</v>
      </c>
      <c r="J142" s="9">
        <v>45623</v>
      </c>
      <c r="K142" s="9"/>
      <c r="L142" s="5"/>
      <c r="M142" s="7">
        <v>20.6</v>
      </c>
      <c r="N142" s="5"/>
      <c r="O142" s="11">
        <f>1.04+14.91</f>
        <v>15.95</v>
      </c>
      <c r="P142" s="4">
        <v>1</v>
      </c>
      <c r="Q142" s="8">
        <f t="shared" si="61"/>
        <v>96.11999999999999</v>
      </c>
      <c r="R142" s="12" t="s">
        <v>304</v>
      </c>
      <c r="T142" s="8">
        <f t="shared" si="62"/>
        <v>96.11999999999999</v>
      </c>
    </row>
    <row r="143" spans="1:20" ht="46.8" x14ac:dyDescent="0.3">
      <c r="A143" s="3" t="s">
        <v>306</v>
      </c>
      <c r="B143" s="4">
        <v>1</v>
      </c>
      <c r="C143" s="5">
        <v>97.25</v>
      </c>
      <c r="D143" s="6">
        <f t="shared" ref="D143:D154" si="65">(((C143-F143)*100)/C143)/100</f>
        <v>2.2622107969151551E-3</v>
      </c>
      <c r="E143" s="7">
        <v>0</v>
      </c>
      <c r="F143" s="7">
        <v>97.03</v>
      </c>
      <c r="G143" s="8">
        <f t="shared" ref="G143:G154" si="66">B143*F143</f>
        <v>97.03</v>
      </c>
      <c r="H143" s="7">
        <v>0</v>
      </c>
      <c r="I143" s="7">
        <v>7.0000000000000007E-2</v>
      </c>
      <c r="J143" s="9">
        <v>45623</v>
      </c>
      <c r="K143" s="9"/>
      <c r="L143" s="5"/>
      <c r="M143" s="7">
        <v>20.6</v>
      </c>
      <c r="N143" s="5"/>
      <c r="O143" s="11">
        <f>1.04+12.9</f>
        <v>13.940000000000001</v>
      </c>
      <c r="P143" s="4">
        <v>1</v>
      </c>
      <c r="Q143" s="8">
        <f t="shared" ref="Q143:Q154" si="67">F143+(I143/B143)-(O143/B143)</f>
        <v>83.16</v>
      </c>
      <c r="R143" s="12"/>
      <c r="T143" s="8">
        <f t="shared" ref="T143:T154" si="68">B143*Q143</f>
        <v>83.16</v>
      </c>
    </row>
    <row r="144" spans="1:20" ht="46.8" x14ac:dyDescent="0.3">
      <c r="A144" s="3" t="s">
        <v>308</v>
      </c>
      <c r="B144" s="4">
        <v>1</v>
      </c>
      <c r="C144" s="5">
        <v>202.44</v>
      </c>
      <c r="D144" s="6">
        <f t="shared" si="65"/>
        <v>8.4617664493183142E-2</v>
      </c>
      <c r="E144" s="7">
        <v>0</v>
      </c>
      <c r="F144" s="7">
        <v>185.31</v>
      </c>
      <c r="G144" s="8">
        <f t="shared" si="66"/>
        <v>185.31</v>
      </c>
      <c r="H144" s="7">
        <v>0</v>
      </c>
      <c r="I144" s="7">
        <v>0.01</v>
      </c>
      <c r="J144" s="9">
        <v>45623</v>
      </c>
      <c r="K144" s="9"/>
      <c r="L144" s="5"/>
      <c r="M144" s="7">
        <v>20.6</v>
      </c>
      <c r="N144" s="5"/>
      <c r="O144" s="11">
        <f>3.75+24.39</f>
        <v>28.14</v>
      </c>
      <c r="P144" s="4">
        <v>1</v>
      </c>
      <c r="Q144" s="8">
        <f t="shared" si="67"/>
        <v>157.18</v>
      </c>
      <c r="R144" s="12" t="s">
        <v>307</v>
      </c>
      <c r="T144" s="8">
        <f t="shared" si="68"/>
        <v>157.18</v>
      </c>
    </row>
    <row r="145" spans="1:20" ht="46.8" x14ac:dyDescent="0.3">
      <c r="A145" s="3" t="s">
        <v>296</v>
      </c>
      <c r="B145" s="4">
        <v>1</v>
      </c>
      <c r="C145" s="5">
        <v>430.08</v>
      </c>
      <c r="D145" s="6">
        <f t="shared" si="65"/>
        <v>0.6570172991071429</v>
      </c>
      <c r="E145" s="7">
        <v>0</v>
      </c>
      <c r="F145" s="7">
        <v>147.51</v>
      </c>
      <c r="G145" s="8">
        <f t="shared" si="66"/>
        <v>147.51</v>
      </c>
      <c r="H145" s="7">
        <v>0</v>
      </c>
      <c r="I145" s="7">
        <v>0.03</v>
      </c>
      <c r="J145" s="9">
        <v>45623</v>
      </c>
      <c r="K145" s="9"/>
      <c r="L145" s="5"/>
      <c r="M145" s="7">
        <v>20.6</v>
      </c>
      <c r="N145" s="5"/>
      <c r="O145" s="11">
        <f>1.47+19.62</f>
        <v>21.09</v>
      </c>
      <c r="P145" s="4">
        <v>1</v>
      </c>
      <c r="Q145" s="8">
        <f t="shared" si="67"/>
        <v>126.44999999999999</v>
      </c>
      <c r="R145" s="12" t="s">
        <v>309</v>
      </c>
      <c r="T145" s="8">
        <f t="shared" si="68"/>
        <v>126.44999999999999</v>
      </c>
    </row>
    <row r="146" spans="1:20" ht="46.8" x14ac:dyDescent="0.3">
      <c r="A146" s="3" t="s">
        <v>311</v>
      </c>
      <c r="B146" s="4">
        <v>1</v>
      </c>
      <c r="C146" s="5">
        <v>475.22</v>
      </c>
      <c r="D146" s="6">
        <f t="shared" si="65"/>
        <v>0.68130550061024364</v>
      </c>
      <c r="E146" s="7">
        <v>0</v>
      </c>
      <c r="F146" s="7">
        <v>151.44999999999999</v>
      </c>
      <c r="G146" s="8">
        <f t="shared" si="66"/>
        <v>151.44999999999999</v>
      </c>
      <c r="H146" s="7">
        <v>0</v>
      </c>
      <c r="I146" s="7">
        <v>0.03</v>
      </c>
      <c r="J146" s="9">
        <v>45623</v>
      </c>
      <c r="K146" s="9"/>
      <c r="L146" s="5"/>
      <c r="M146" s="7">
        <v>20.6</v>
      </c>
      <c r="N146" s="5"/>
      <c r="O146" s="11">
        <v>20.350000000000001</v>
      </c>
      <c r="P146" s="4">
        <v>1</v>
      </c>
      <c r="Q146" s="8">
        <f t="shared" si="67"/>
        <v>131.13</v>
      </c>
      <c r="R146" s="12" t="s">
        <v>310</v>
      </c>
      <c r="T146" s="8">
        <f t="shared" si="68"/>
        <v>131.13</v>
      </c>
    </row>
    <row r="147" spans="1:20" ht="31.2" x14ac:dyDescent="0.3">
      <c r="A147" s="3" t="s">
        <v>376</v>
      </c>
      <c r="B147" s="4">
        <v>1</v>
      </c>
      <c r="C147" s="5">
        <v>399</v>
      </c>
      <c r="D147" s="6">
        <f t="shared" ref="D147" si="69">(((C147-F147)*100)/C147)/100</f>
        <v>0.26743107769423552</v>
      </c>
      <c r="E147" s="7">
        <v>0</v>
      </c>
      <c r="F147" s="7">
        <f>298.26-5.965</f>
        <v>292.29500000000002</v>
      </c>
      <c r="G147" s="8">
        <f t="shared" ref="G147" si="70">B147*F147</f>
        <v>292.29500000000002</v>
      </c>
      <c r="H147" s="7">
        <v>0</v>
      </c>
      <c r="I147" s="7">
        <v>0</v>
      </c>
      <c r="J147" s="9">
        <v>45627</v>
      </c>
      <c r="K147" s="9"/>
      <c r="L147" s="5"/>
      <c r="M147" s="7">
        <v>20.6</v>
      </c>
      <c r="N147" s="5"/>
      <c r="O147" s="11">
        <v>50</v>
      </c>
      <c r="P147" s="4">
        <v>1</v>
      </c>
      <c r="Q147" s="8">
        <f t="shared" ref="Q147" si="71">F147+(I147/B147)-(O147/B147)</f>
        <v>242.29500000000002</v>
      </c>
      <c r="R147" s="12" t="s">
        <v>375</v>
      </c>
      <c r="T147" s="8">
        <f t="shared" ref="T147" si="72">B147*Q147</f>
        <v>242.29500000000002</v>
      </c>
    </row>
    <row r="148" spans="1:20" ht="31.2" x14ac:dyDescent="0.3">
      <c r="A148" s="3" t="s">
        <v>378</v>
      </c>
      <c r="B148" s="4">
        <v>1</v>
      </c>
      <c r="C148" s="5">
        <v>919</v>
      </c>
      <c r="D148" s="6">
        <f t="shared" ref="D148" si="73">(((C148-F148)*100)/C148)/100</f>
        <v>0.46350924918389552</v>
      </c>
      <c r="E148" s="7">
        <v>0</v>
      </c>
      <c r="F148" s="7">
        <f>499-5.965</f>
        <v>493.03500000000003</v>
      </c>
      <c r="G148" s="8">
        <f t="shared" ref="G148" si="74">B148*F148</f>
        <v>493.03500000000003</v>
      </c>
      <c r="H148" s="7">
        <v>0</v>
      </c>
      <c r="I148" s="7">
        <v>0</v>
      </c>
      <c r="J148" s="9">
        <v>45627</v>
      </c>
      <c r="K148" s="9"/>
      <c r="L148" s="5"/>
      <c r="M148" s="7">
        <v>20.6</v>
      </c>
      <c r="N148" s="5"/>
      <c r="O148" s="11">
        <v>50</v>
      </c>
      <c r="P148" s="4">
        <v>1</v>
      </c>
      <c r="Q148" s="8">
        <f t="shared" ref="Q148" si="75">F148+(I148/B148)-(O148/B148)</f>
        <v>443.03500000000003</v>
      </c>
      <c r="R148" s="12" t="s">
        <v>377</v>
      </c>
      <c r="T148" s="8">
        <f t="shared" ref="T148" si="76">B148*Q148</f>
        <v>443.03500000000003</v>
      </c>
    </row>
    <row r="149" spans="1:20" ht="46.8" x14ac:dyDescent="0.3">
      <c r="A149" s="3" t="s">
        <v>313</v>
      </c>
      <c r="B149" s="4">
        <v>1</v>
      </c>
      <c r="C149" s="5">
        <v>169.66</v>
      </c>
      <c r="D149" s="6">
        <f t="shared" si="65"/>
        <v>0.38017210892372977</v>
      </c>
      <c r="E149" s="7">
        <v>0</v>
      </c>
      <c r="F149" s="7">
        <v>105.16</v>
      </c>
      <c r="G149" s="8">
        <f t="shared" si="66"/>
        <v>105.16</v>
      </c>
      <c r="H149" s="7">
        <v>0</v>
      </c>
      <c r="I149" s="7">
        <v>0.01</v>
      </c>
      <c r="J149" s="9">
        <v>45629</v>
      </c>
      <c r="K149" s="9"/>
      <c r="L149" s="5"/>
      <c r="M149" s="7">
        <v>20.6</v>
      </c>
      <c r="N149" s="5"/>
      <c r="O149" s="11">
        <f>1.05+14.62</f>
        <v>15.67</v>
      </c>
      <c r="P149" s="4">
        <v>1</v>
      </c>
      <c r="Q149" s="8">
        <f t="shared" si="67"/>
        <v>89.5</v>
      </c>
      <c r="R149" s="12" t="s">
        <v>317</v>
      </c>
      <c r="T149" s="8">
        <f t="shared" si="68"/>
        <v>89.5</v>
      </c>
    </row>
    <row r="150" spans="1:20" ht="46.8" x14ac:dyDescent="0.3">
      <c r="A150" s="3" t="s">
        <v>319</v>
      </c>
      <c r="B150" s="4">
        <v>1</v>
      </c>
      <c r="C150" s="5">
        <v>265.52999999999997</v>
      </c>
      <c r="D150" s="6">
        <f t="shared" si="65"/>
        <v>0.60994991149775923</v>
      </c>
      <c r="E150" s="7">
        <v>0</v>
      </c>
      <c r="F150" s="7">
        <v>103.57</v>
      </c>
      <c r="G150" s="8">
        <f t="shared" si="66"/>
        <v>103.57</v>
      </c>
      <c r="H150" s="7">
        <v>0</v>
      </c>
      <c r="I150" s="7">
        <v>0.01</v>
      </c>
      <c r="J150" s="9">
        <v>45629</v>
      </c>
      <c r="K150" s="9"/>
      <c r="L150" s="5"/>
      <c r="M150" s="7">
        <v>20.32</v>
      </c>
      <c r="N150" s="5"/>
      <c r="O150" s="11">
        <v>14.54</v>
      </c>
      <c r="P150" s="4">
        <v>1</v>
      </c>
      <c r="Q150" s="8">
        <f t="shared" si="67"/>
        <v>89.039999999999992</v>
      </c>
      <c r="R150" s="12" t="s">
        <v>318</v>
      </c>
      <c r="T150" s="8">
        <f t="shared" si="68"/>
        <v>89.039999999999992</v>
      </c>
    </row>
    <row r="151" spans="1:20" ht="46.8" x14ac:dyDescent="0.3">
      <c r="A151" s="3" t="s">
        <v>322</v>
      </c>
      <c r="B151" s="4">
        <v>1</v>
      </c>
      <c r="C151" s="5">
        <v>241.8</v>
      </c>
      <c r="D151" s="6">
        <f t="shared" si="65"/>
        <v>0.67005789909015723</v>
      </c>
      <c r="E151" s="7">
        <v>0</v>
      </c>
      <c r="F151" s="7">
        <v>79.78</v>
      </c>
      <c r="G151" s="8">
        <f t="shared" si="66"/>
        <v>79.78</v>
      </c>
      <c r="H151" s="7">
        <v>0</v>
      </c>
      <c r="I151" s="7">
        <v>0.02</v>
      </c>
      <c r="J151" s="9">
        <v>45629</v>
      </c>
      <c r="K151" s="9"/>
      <c r="L151" s="5"/>
      <c r="M151" s="7">
        <v>20.32</v>
      </c>
      <c r="N151" s="5"/>
      <c r="O151" s="11">
        <f>0.8+11.09</f>
        <v>11.89</v>
      </c>
      <c r="P151" s="4">
        <v>1</v>
      </c>
      <c r="Q151" s="8">
        <f t="shared" si="67"/>
        <v>67.91</v>
      </c>
      <c r="R151" s="12" t="s">
        <v>320</v>
      </c>
      <c r="T151" s="8">
        <f t="shared" si="68"/>
        <v>67.91</v>
      </c>
    </row>
    <row r="152" spans="1:20" ht="46.8" x14ac:dyDescent="0.3">
      <c r="A152" s="3" t="s">
        <v>321</v>
      </c>
      <c r="B152" s="4">
        <v>1</v>
      </c>
      <c r="C152" s="5">
        <v>237.73</v>
      </c>
      <c r="D152" s="6">
        <f t="shared" ref="D152" si="77">(((C152-F152)*100)/C152)/100</f>
        <v>0.67000378580742848</v>
      </c>
      <c r="E152" s="7">
        <v>0</v>
      </c>
      <c r="F152" s="7">
        <v>78.45</v>
      </c>
      <c r="G152" s="8">
        <f t="shared" si="66"/>
        <v>78.45</v>
      </c>
      <c r="H152" s="7">
        <v>0</v>
      </c>
      <c r="I152" s="7">
        <v>0.03</v>
      </c>
      <c r="J152" s="9">
        <v>45629</v>
      </c>
      <c r="K152" s="9"/>
      <c r="L152" s="5"/>
      <c r="M152" s="7">
        <v>20.32</v>
      </c>
      <c r="N152" s="5"/>
      <c r="O152" s="11">
        <f>0.8+10.9</f>
        <v>11.700000000000001</v>
      </c>
      <c r="P152" s="4">
        <v>1</v>
      </c>
      <c r="Q152" s="8">
        <f t="shared" si="67"/>
        <v>66.78</v>
      </c>
      <c r="R152" s="12"/>
      <c r="T152" s="8">
        <f t="shared" si="68"/>
        <v>66.78</v>
      </c>
    </row>
    <row r="153" spans="1:20" ht="31.2" x14ac:dyDescent="0.3">
      <c r="A153" s="3" t="s">
        <v>381</v>
      </c>
      <c r="B153" s="4">
        <v>1</v>
      </c>
      <c r="C153" s="5">
        <v>125.73</v>
      </c>
      <c r="D153" s="6">
        <f t="shared" si="65"/>
        <v>0.71001352103714321</v>
      </c>
      <c r="E153" s="7">
        <v>0</v>
      </c>
      <c r="F153" s="7">
        <v>36.46</v>
      </c>
      <c r="G153" s="8">
        <f t="shared" si="66"/>
        <v>36.46</v>
      </c>
      <c r="H153" s="7">
        <v>0</v>
      </c>
      <c r="I153" s="7">
        <v>0.01</v>
      </c>
      <c r="J153" s="9">
        <v>45629</v>
      </c>
      <c r="K153" s="9"/>
      <c r="L153" s="5"/>
      <c r="M153" s="7">
        <v>20.32</v>
      </c>
      <c r="N153" s="5"/>
      <c r="O153" s="11">
        <f>0.37+5.07</f>
        <v>5.44</v>
      </c>
      <c r="P153" s="4">
        <v>1</v>
      </c>
      <c r="Q153" s="8">
        <f t="shared" si="67"/>
        <v>31.029999999999998</v>
      </c>
      <c r="R153" s="12" t="s">
        <v>323</v>
      </c>
      <c r="T153" s="8">
        <f t="shared" si="68"/>
        <v>31.029999999999998</v>
      </c>
    </row>
    <row r="154" spans="1:20" ht="46.8" x14ac:dyDescent="0.3">
      <c r="A154" s="3" t="s">
        <v>379</v>
      </c>
      <c r="B154" s="4">
        <v>1</v>
      </c>
      <c r="C154" s="5">
        <v>129.6</v>
      </c>
      <c r="D154" s="6">
        <f t="shared" si="65"/>
        <v>0.71010802469135814</v>
      </c>
      <c r="E154" s="7">
        <v>0</v>
      </c>
      <c r="F154" s="7">
        <v>37.57</v>
      </c>
      <c r="G154" s="8">
        <f t="shared" si="66"/>
        <v>37.57</v>
      </c>
      <c r="H154" s="7">
        <v>0</v>
      </c>
      <c r="I154" s="7">
        <v>0</v>
      </c>
      <c r="J154" s="9">
        <v>45629</v>
      </c>
      <c r="K154" s="9"/>
      <c r="L154" s="5"/>
      <c r="M154" s="7">
        <v>20.32</v>
      </c>
      <c r="N154" s="5"/>
      <c r="O154" s="11">
        <f>0.37+5.22</f>
        <v>5.59</v>
      </c>
      <c r="P154" s="4">
        <v>1</v>
      </c>
      <c r="Q154" s="8">
        <f t="shared" si="67"/>
        <v>31.98</v>
      </c>
      <c r="R154" s="12" t="s">
        <v>324</v>
      </c>
      <c r="T154" s="8">
        <f t="shared" si="68"/>
        <v>31.98</v>
      </c>
    </row>
    <row r="155" spans="1:20" ht="46.8" x14ac:dyDescent="0.3">
      <c r="A155" s="3" t="s">
        <v>380</v>
      </c>
      <c r="B155" s="4">
        <v>1</v>
      </c>
      <c r="C155" s="5">
        <v>131.74</v>
      </c>
      <c r="D155" s="6">
        <f t="shared" ref="D155:D168" si="78">(((C155-F155)*100)/C155)/100</f>
        <v>0.7100349172612721</v>
      </c>
      <c r="E155" s="7">
        <v>0</v>
      </c>
      <c r="F155" s="7">
        <v>38.200000000000003</v>
      </c>
      <c r="G155" s="8">
        <f t="shared" ref="G155:G168" si="79">B155*F155</f>
        <v>38.200000000000003</v>
      </c>
      <c r="H155" s="7">
        <v>0</v>
      </c>
      <c r="I155" s="7">
        <v>0</v>
      </c>
      <c r="J155" s="9">
        <v>45629</v>
      </c>
      <c r="K155" s="9"/>
      <c r="L155" s="5"/>
      <c r="M155" s="7">
        <v>20.32</v>
      </c>
      <c r="N155" s="5"/>
      <c r="O155" s="11">
        <f>0.37+5.31</f>
        <v>5.68</v>
      </c>
      <c r="P155" s="4">
        <v>1</v>
      </c>
      <c r="Q155" s="8">
        <f t="shared" ref="Q155:Q168" si="80">F155+(I155/B155)-(O155/B155)</f>
        <v>32.520000000000003</v>
      </c>
      <c r="R155" s="12" t="s">
        <v>325</v>
      </c>
      <c r="T155" s="8">
        <f t="shared" ref="T155:T168" si="81">B155*Q155</f>
        <v>32.520000000000003</v>
      </c>
    </row>
    <row r="156" spans="1:20" ht="46.8" x14ac:dyDescent="0.3">
      <c r="A156" s="3" t="s">
        <v>327</v>
      </c>
      <c r="B156" s="4">
        <v>1</v>
      </c>
      <c r="C156" s="5">
        <v>147.46</v>
      </c>
      <c r="D156" s="6">
        <f t="shared" si="78"/>
        <v>0.67991319679913187</v>
      </c>
      <c r="E156" s="7">
        <v>0</v>
      </c>
      <c r="F156" s="7">
        <v>47.2</v>
      </c>
      <c r="G156" s="8">
        <f t="shared" si="79"/>
        <v>47.2</v>
      </c>
      <c r="H156" s="7">
        <v>0</v>
      </c>
      <c r="I156" s="7">
        <v>0</v>
      </c>
      <c r="J156" s="9">
        <v>45629</v>
      </c>
      <c r="K156" s="9"/>
      <c r="L156" s="5"/>
      <c r="M156" s="7">
        <v>20.32</v>
      </c>
      <c r="N156" s="5"/>
      <c r="O156" s="11">
        <f>0.48+6.56</f>
        <v>7.0399999999999991</v>
      </c>
      <c r="P156" s="4">
        <v>1</v>
      </c>
      <c r="Q156" s="8">
        <f t="shared" si="80"/>
        <v>40.160000000000004</v>
      </c>
      <c r="R156" s="12" t="s">
        <v>326</v>
      </c>
      <c r="T156" s="8">
        <f t="shared" si="81"/>
        <v>40.160000000000004</v>
      </c>
    </row>
    <row r="157" spans="1:20" ht="46.8" x14ac:dyDescent="0.3">
      <c r="A157" s="3" t="s">
        <v>329</v>
      </c>
      <c r="B157" s="4">
        <v>1</v>
      </c>
      <c r="C157" s="5">
        <v>135.61000000000001</v>
      </c>
      <c r="D157" s="6">
        <f t="shared" si="78"/>
        <v>0.70997714032888437</v>
      </c>
      <c r="E157" s="7">
        <v>0</v>
      </c>
      <c r="F157" s="7">
        <v>39.33</v>
      </c>
      <c r="G157" s="8">
        <f t="shared" si="79"/>
        <v>39.33</v>
      </c>
      <c r="H157" s="7">
        <v>0</v>
      </c>
      <c r="I157" s="7">
        <v>0.01</v>
      </c>
      <c r="J157" s="9">
        <v>45629</v>
      </c>
      <c r="K157" s="9"/>
      <c r="L157" s="5"/>
      <c r="M157" s="7">
        <v>20.32</v>
      </c>
      <c r="N157" s="5"/>
      <c r="O157" s="11">
        <f>0.4+5.47</f>
        <v>5.87</v>
      </c>
      <c r="P157" s="4">
        <v>1</v>
      </c>
      <c r="Q157" s="8">
        <f t="shared" si="80"/>
        <v>33.47</v>
      </c>
      <c r="R157" s="12" t="s">
        <v>328</v>
      </c>
      <c r="T157" s="8">
        <f t="shared" si="81"/>
        <v>33.47</v>
      </c>
    </row>
    <row r="158" spans="1:20" ht="46.8" x14ac:dyDescent="0.3">
      <c r="A158" s="3" t="s">
        <v>331</v>
      </c>
      <c r="B158" s="4">
        <v>1</v>
      </c>
      <c r="C158" s="5">
        <v>140.47999999999999</v>
      </c>
      <c r="D158" s="6">
        <f t="shared" si="78"/>
        <v>0.68999145785877003</v>
      </c>
      <c r="E158" s="7">
        <v>0</v>
      </c>
      <c r="F158" s="7">
        <v>43.55</v>
      </c>
      <c r="G158" s="8">
        <f t="shared" si="79"/>
        <v>43.55</v>
      </c>
      <c r="H158" s="7">
        <v>0</v>
      </c>
      <c r="I158" s="7">
        <v>0.01</v>
      </c>
      <c r="J158" s="9">
        <v>45629</v>
      </c>
      <c r="K158" s="9"/>
      <c r="L158" s="5"/>
      <c r="M158" s="7">
        <v>20.32</v>
      </c>
      <c r="N158" s="5"/>
      <c r="O158" s="11">
        <f>0.43+6.06</f>
        <v>6.4899999999999993</v>
      </c>
      <c r="P158" s="4">
        <v>1</v>
      </c>
      <c r="Q158" s="8">
        <f t="shared" si="80"/>
        <v>37.069999999999993</v>
      </c>
      <c r="R158" s="12" t="s">
        <v>330</v>
      </c>
      <c r="T158" s="8">
        <f t="shared" si="81"/>
        <v>37.069999999999993</v>
      </c>
    </row>
    <row r="159" spans="1:20" ht="46.8" x14ac:dyDescent="0.3">
      <c r="A159" s="3" t="s">
        <v>333</v>
      </c>
      <c r="B159" s="4">
        <v>1</v>
      </c>
      <c r="C159" s="5">
        <v>156.91999999999999</v>
      </c>
      <c r="D159" s="6">
        <f t="shared" si="78"/>
        <v>0.73005353046138155</v>
      </c>
      <c r="E159" s="7">
        <v>0</v>
      </c>
      <c r="F159" s="7">
        <v>42.36</v>
      </c>
      <c r="G159" s="8">
        <f t="shared" si="79"/>
        <v>42.36</v>
      </c>
      <c r="H159" s="7">
        <v>0</v>
      </c>
      <c r="I159" s="7">
        <v>0.02</v>
      </c>
      <c r="J159" s="9">
        <v>45629</v>
      </c>
      <c r="K159" s="9"/>
      <c r="L159" s="5"/>
      <c r="M159" s="7">
        <v>20.32</v>
      </c>
      <c r="N159" s="5"/>
      <c r="O159" s="11">
        <f>0.43+5.89</f>
        <v>6.3199999999999994</v>
      </c>
      <c r="P159" s="4">
        <v>1</v>
      </c>
      <c r="Q159" s="8">
        <f t="shared" si="80"/>
        <v>36.06</v>
      </c>
      <c r="R159" s="12" t="s">
        <v>332</v>
      </c>
      <c r="T159" s="8">
        <f t="shared" si="81"/>
        <v>36.06</v>
      </c>
    </row>
    <row r="160" spans="1:20" ht="46.8" x14ac:dyDescent="0.3">
      <c r="A160" s="3" t="s">
        <v>334</v>
      </c>
      <c r="B160" s="4">
        <v>1</v>
      </c>
      <c r="C160" s="5">
        <v>154.97999999999999</v>
      </c>
      <c r="D160" s="6">
        <f t="shared" si="78"/>
        <v>0.73002968124919332</v>
      </c>
      <c r="E160" s="7">
        <v>0</v>
      </c>
      <c r="F160" s="7">
        <v>41.84</v>
      </c>
      <c r="G160" s="8">
        <f t="shared" si="79"/>
        <v>41.84</v>
      </c>
      <c r="H160" s="7">
        <v>0</v>
      </c>
      <c r="I160" s="7">
        <v>0.02</v>
      </c>
      <c r="J160" s="9">
        <v>45629</v>
      </c>
      <c r="K160" s="9"/>
      <c r="L160" s="5"/>
      <c r="M160" s="7">
        <v>20.32</v>
      </c>
      <c r="N160" s="5"/>
      <c r="O160" s="11">
        <f>0.43+5.82</f>
        <v>6.25</v>
      </c>
      <c r="P160" s="4">
        <v>1</v>
      </c>
      <c r="Q160" s="8">
        <f t="shared" si="80"/>
        <v>35.610000000000007</v>
      </c>
      <c r="R160" s="12"/>
      <c r="T160" s="8">
        <f t="shared" si="81"/>
        <v>35.610000000000007</v>
      </c>
    </row>
    <row r="161" spans="1:20" ht="46.8" x14ac:dyDescent="0.3">
      <c r="A161" s="3" t="s">
        <v>384</v>
      </c>
      <c r="B161" s="4">
        <v>2</v>
      </c>
      <c r="C161" s="5">
        <v>131.28</v>
      </c>
      <c r="D161" s="6">
        <f t="shared" si="78"/>
        <v>0.67999695307739205</v>
      </c>
      <c r="E161" s="7">
        <v>0</v>
      </c>
      <c r="F161" s="7">
        <v>42.01</v>
      </c>
      <c r="G161" s="8">
        <f t="shared" si="79"/>
        <v>84.02</v>
      </c>
      <c r="H161" s="7">
        <v>0</v>
      </c>
      <c r="I161" s="7">
        <v>0</v>
      </c>
      <c r="J161" s="9">
        <v>45629</v>
      </c>
      <c r="K161" s="9"/>
      <c r="L161" s="5"/>
      <c r="M161" s="7">
        <v>20.32</v>
      </c>
      <c r="N161" s="5"/>
      <c r="O161" s="11">
        <f>(0.43+5.84)*2</f>
        <v>12.54</v>
      </c>
      <c r="P161" s="4">
        <v>1</v>
      </c>
      <c r="Q161" s="8">
        <f t="shared" si="80"/>
        <v>35.739999999999995</v>
      </c>
      <c r="R161" s="12" t="s">
        <v>382</v>
      </c>
      <c r="T161" s="8">
        <f t="shared" si="81"/>
        <v>71.47999999999999</v>
      </c>
    </row>
    <row r="162" spans="1:20" ht="31.2" x14ac:dyDescent="0.3">
      <c r="A162" s="3" t="s">
        <v>383</v>
      </c>
      <c r="B162" s="4">
        <v>1</v>
      </c>
      <c r="C162" s="5">
        <v>136.38</v>
      </c>
      <c r="D162" s="6">
        <f t="shared" ref="D162" si="82">(((C162-F162)*100)/C162)/100</f>
        <v>0.68001173192550224</v>
      </c>
      <c r="E162" s="7">
        <v>0</v>
      </c>
      <c r="F162" s="7">
        <v>43.64</v>
      </c>
      <c r="G162" s="8">
        <f t="shared" ref="G162" si="83">B162*F162</f>
        <v>43.64</v>
      </c>
      <c r="H162" s="7">
        <v>0</v>
      </c>
      <c r="I162" s="7">
        <v>0</v>
      </c>
      <c r="J162" s="9">
        <v>45629</v>
      </c>
      <c r="K162" s="9"/>
      <c r="L162" s="5"/>
      <c r="M162" s="7">
        <v>20.32</v>
      </c>
      <c r="N162" s="5"/>
      <c r="O162" s="11">
        <f>0.43+6.07</f>
        <v>6.5</v>
      </c>
      <c r="P162" s="4">
        <v>1</v>
      </c>
      <c r="Q162" s="8">
        <f t="shared" ref="Q162" si="84">F162+(I162/B162)-(O162/B162)</f>
        <v>37.14</v>
      </c>
      <c r="R162" s="12"/>
      <c r="T162" s="8">
        <f t="shared" si="81"/>
        <v>37.14</v>
      </c>
    </row>
    <row r="163" spans="1:20" ht="31.2" x14ac:dyDescent="0.3">
      <c r="A163" s="3" t="s">
        <v>386</v>
      </c>
      <c r="B163" s="4">
        <v>1</v>
      </c>
      <c r="C163" s="5">
        <v>556.46</v>
      </c>
      <c r="D163" s="6">
        <f t="shared" si="78"/>
        <v>0.72998957696869493</v>
      </c>
      <c r="E163" s="7">
        <v>0</v>
      </c>
      <c r="F163" s="7">
        <v>150.25</v>
      </c>
      <c r="G163" s="8">
        <f t="shared" si="79"/>
        <v>150.25</v>
      </c>
      <c r="H163" s="7">
        <v>0</v>
      </c>
      <c r="I163" s="7">
        <v>0.03</v>
      </c>
      <c r="J163" s="9">
        <v>45629</v>
      </c>
      <c r="K163" s="9"/>
      <c r="L163" s="5"/>
      <c r="M163" s="7">
        <v>20.32</v>
      </c>
      <c r="N163" s="5"/>
      <c r="O163" s="11">
        <f>1.51+21.99</f>
        <v>23.5</v>
      </c>
      <c r="P163" s="4">
        <v>1</v>
      </c>
      <c r="Q163" s="8">
        <f t="shared" si="80"/>
        <v>126.78</v>
      </c>
      <c r="R163" s="12" t="s">
        <v>385</v>
      </c>
      <c r="T163" s="8">
        <f t="shared" si="81"/>
        <v>126.78</v>
      </c>
    </row>
    <row r="164" spans="1:20" ht="46.8" x14ac:dyDescent="0.3">
      <c r="A164" s="3" t="s">
        <v>388</v>
      </c>
      <c r="B164" s="4">
        <v>1</v>
      </c>
      <c r="C164" s="5">
        <v>512.14</v>
      </c>
      <c r="D164" s="6">
        <f t="shared" si="78"/>
        <v>0.72177529581754996</v>
      </c>
      <c r="E164" s="7">
        <v>0</v>
      </c>
      <c r="F164" s="7">
        <v>142.49</v>
      </c>
      <c r="G164" s="8">
        <f t="shared" si="79"/>
        <v>142.49</v>
      </c>
      <c r="H164" s="7">
        <v>0</v>
      </c>
      <c r="I164" s="7">
        <v>0.03</v>
      </c>
      <c r="J164" s="9">
        <v>45629</v>
      </c>
      <c r="K164" s="9"/>
      <c r="L164" s="5"/>
      <c r="M164" s="7">
        <v>20.32</v>
      </c>
      <c r="N164" s="5"/>
      <c r="O164" s="11">
        <v>21.07</v>
      </c>
      <c r="P164" s="4">
        <v>1</v>
      </c>
      <c r="Q164" s="8">
        <f t="shared" si="80"/>
        <v>121.45000000000002</v>
      </c>
      <c r="R164" s="12" t="s">
        <v>387</v>
      </c>
      <c r="T164" s="8">
        <f t="shared" si="81"/>
        <v>121.45000000000002</v>
      </c>
    </row>
    <row r="165" spans="1:20" ht="31.2" x14ac:dyDescent="0.3">
      <c r="A165" s="3" t="s">
        <v>390</v>
      </c>
      <c r="B165" s="4">
        <v>1</v>
      </c>
      <c r="C165" s="5">
        <v>215.99</v>
      </c>
      <c r="D165" s="6">
        <f t="shared" si="78"/>
        <v>0.69998611046807724</v>
      </c>
      <c r="E165" s="7">
        <v>0</v>
      </c>
      <c r="F165" s="7">
        <v>64.8</v>
      </c>
      <c r="G165" s="8">
        <f t="shared" si="79"/>
        <v>64.8</v>
      </c>
      <c r="H165" s="7">
        <v>0</v>
      </c>
      <c r="I165" s="7">
        <v>0.03</v>
      </c>
      <c r="J165" s="9">
        <v>45629</v>
      </c>
      <c r="K165" s="9"/>
      <c r="L165" s="5"/>
      <c r="M165" s="7">
        <v>20.32</v>
      </c>
      <c r="N165" s="5"/>
      <c r="O165" s="11">
        <f>0.66+9.48</f>
        <v>10.14</v>
      </c>
      <c r="P165" s="4">
        <v>1</v>
      </c>
      <c r="Q165" s="8">
        <f t="shared" si="80"/>
        <v>54.69</v>
      </c>
      <c r="R165" s="12" t="s">
        <v>389</v>
      </c>
      <c r="T165" s="8">
        <f t="shared" si="81"/>
        <v>54.69</v>
      </c>
    </row>
    <row r="166" spans="1:20" ht="31.2" x14ac:dyDescent="0.3">
      <c r="A166" s="3" t="s">
        <v>392</v>
      </c>
      <c r="B166" s="4">
        <v>1</v>
      </c>
      <c r="C166" s="5">
        <v>344.26</v>
      </c>
      <c r="D166" s="6">
        <f t="shared" si="78"/>
        <v>0.70998663800615813</v>
      </c>
      <c r="E166" s="7">
        <v>0</v>
      </c>
      <c r="F166" s="7">
        <v>99.84</v>
      </c>
      <c r="G166" s="8">
        <f t="shared" si="79"/>
        <v>99.84</v>
      </c>
      <c r="H166" s="7">
        <v>0</v>
      </c>
      <c r="I166" s="7">
        <v>0.01</v>
      </c>
      <c r="J166" s="9">
        <v>45629</v>
      </c>
      <c r="K166" s="9"/>
      <c r="L166" s="5"/>
      <c r="M166" s="7">
        <v>20.32</v>
      </c>
      <c r="N166" s="5"/>
      <c r="O166" s="11">
        <f>1+14.61</f>
        <v>15.61</v>
      </c>
      <c r="P166" s="4">
        <v>1</v>
      </c>
      <c r="Q166" s="8">
        <f t="shared" si="80"/>
        <v>84.240000000000009</v>
      </c>
      <c r="R166" s="12" t="s">
        <v>391</v>
      </c>
      <c r="T166" s="8">
        <f t="shared" si="81"/>
        <v>84.240000000000009</v>
      </c>
    </row>
    <row r="167" spans="1:20" ht="31.2" x14ac:dyDescent="0.3">
      <c r="A167" s="3" t="s">
        <v>394</v>
      </c>
      <c r="B167" s="4">
        <v>1</v>
      </c>
      <c r="C167" s="5">
        <v>407.04</v>
      </c>
      <c r="D167" s="6">
        <f t="shared" si="78"/>
        <v>0.56173840408805031</v>
      </c>
      <c r="E167" s="7">
        <v>0</v>
      </c>
      <c r="F167" s="7">
        <v>178.39</v>
      </c>
      <c r="G167" s="8">
        <f t="shared" si="79"/>
        <v>178.39</v>
      </c>
      <c r="H167" s="7">
        <v>0</v>
      </c>
      <c r="I167" s="7">
        <v>0.05</v>
      </c>
      <c r="J167" s="9">
        <v>45629</v>
      </c>
      <c r="K167" s="9"/>
      <c r="L167" s="5"/>
      <c r="M167" s="7">
        <v>20.32</v>
      </c>
      <c r="N167" s="5"/>
      <c r="O167" s="11">
        <v>26.37</v>
      </c>
      <c r="P167" s="4">
        <v>1</v>
      </c>
      <c r="Q167" s="8">
        <f t="shared" si="80"/>
        <v>152.07</v>
      </c>
      <c r="R167" s="12" t="s">
        <v>393</v>
      </c>
      <c r="T167" s="8">
        <f t="shared" si="81"/>
        <v>152.07</v>
      </c>
    </row>
    <row r="168" spans="1:20" ht="31.2" x14ac:dyDescent="0.3">
      <c r="A168" s="3" t="s">
        <v>396</v>
      </c>
      <c r="B168" s="4">
        <v>1</v>
      </c>
      <c r="C168" s="5">
        <v>231.18</v>
      </c>
      <c r="D168" s="6">
        <f t="shared" si="78"/>
        <v>0.51994117138160734</v>
      </c>
      <c r="E168" s="7">
        <v>0</v>
      </c>
      <c r="F168" s="7">
        <v>110.98</v>
      </c>
      <c r="G168" s="8">
        <f t="shared" si="79"/>
        <v>110.98</v>
      </c>
      <c r="H168" s="7">
        <v>0</v>
      </c>
      <c r="I168" s="7">
        <v>0.02</v>
      </c>
      <c r="J168" s="9">
        <v>45629</v>
      </c>
      <c r="K168" s="9"/>
      <c r="L168" s="5"/>
      <c r="M168" s="7">
        <v>20.32</v>
      </c>
      <c r="N168" s="5"/>
      <c r="O168" s="11">
        <f>1.11+16.24</f>
        <v>17.349999999999998</v>
      </c>
      <c r="P168" s="4">
        <v>1</v>
      </c>
      <c r="Q168" s="8">
        <f t="shared" si="80"/>
        <v>93.65</v>
      </c>
      <c r="R168" s="12" t="s">
        <v>395</v>
      </c>
      <c r="T168" s="8">
        <f t="shared" si="81"/>
        <v>93.65</v>
      </c>
    </row>
    <row r="169" spans="1:20" ht="31.2" x14ac:dyDescent="0.3">
      <c r="A169" s="3" t="s">
        <v>398</v>
      </c>
      <c r="B169" s="4">
        <v>1</v>
      </c>
      <c r="C169" s="5">
        <v>106.64</v>
      </c>
      <c r="D169" s="6">
        <f t="shared" ref="D169:D174" si="85">(((C169-F169)*100)/C169)/100</f>
        <v>0.65997749437359343</v>
      </c>
      <c r="E169" s="7">
        <v>0</v>
      </c>
      <c r="F169" s="7">
        <v>36.26</v>
      </c>
      <c r="G169" s="8">
        <f t="shared" ref="G169:G174" si="86">B169*F169</f>
        <v>36.26</v>
      </c>
      <c r="H169" s="7">
        <v>0</v>
      </c>
      <c r="I169" s="7">
        <v>0.02</v>
      </c>
      <c r="J169" s="9">
        <v>45629</v>
      </c>
      <c r="K169" s="9"/>
      <c r="L169" s="5"/>
      <c r="M169" s="7">
        <v>20.32</v>
      </c>
      <c r="N169" s="5"/>
      <c r="O169" s="11">
        <f>0.37+5.31</f>
        <v>5.68</v>
      </c>
      <c r="P169" s="4">
        <v>1</v>
      </c>
      <c r="Q169" s="8">
        <f t="shared" ref="Q169:Q174" si="87">F169+(I169/B169)-(O169/B169)</f>
        <v>30.6</v>
      </c>
      <c r="R169" s="12" t="s">
        <v>397</v>
      </c>
      <c r="T169" s="8">
        <f t="shared" ref="T169:T174" si="88">B169*Q169</f>
        <v>30.6</v>
      </c>
    </row>
    <row r="170" spans="1:20" ht="46.8" x14ac:dyDescent="0.3">
      <c r="A170" s="3" t="s">
        <v>400</v>
      </c>
      <c r="B170" s="4">
        <v>1</v>
      </c>
      <c r="C170" s="5">
        <v>80.239999999999995</v>
      </c>
      <c r="D170" s="6">
        <f t="shared" si="85"/>
        <v>0.58000997008973076</v>
      </c>
      <c r="E170" s="7">
        <v>0</v>
      </c>
      <c r="F170" s="7">
        <v>33.700000000000003</v>
      </c>
      <c r="G170" s="8">
        <f t="shared" si="86"/>
        <v>33.700000000000003</v>
      </c>
      <c r="H170" s="7">
        <v>0</v>
      </c>
      <c r="I170" s="7">
        <v>0</v>
      </c>
      <c r="J170" s="9">
        <v>45629</v>
      </c>
      <c r="K170" s="9"/>
      <c r="L170" s="5"/>
      <c r="M170" s="7">
        <v>20.32</v>
      </c>
      <c r="N170" s="5"/>
      <c r="O170" s="11">
        <f>0.34+4.93</f>
        <v>5.27</v>
      </c>
      <c r="P170" s="4">
        <v>1</v>
      </c>
      <c r="Q170" s="8">
        <f t="shared" si="87"/>
        <v>28.430000000000003</v>
      </c>
      <c r="R170" s="12" t="s">
        <v>399</v>
      </c>
      <c r="T170" s="8">
        <f t="shared" si="88"/>
        <v>28.430000000000003</v>
      </c>
    </row>
    <row r="171" spans="1:20" ht="31.2" x14ac:dyDescent="0.3">
      <c r="A171" s="3" t="s">
        <v>376</v>
      </c>
      <c r="B171" s="4">
        <v>1</v>
      </c>
      <c r="C171" s="5">
        <v>399</v>
      </c>
      <c r="D171" s="6">
        <f t="shared" si="85"/>
        <v>0.26082706766917296</v>
      </c>
      <c r="E171" s="7">
        <v>0</v>
      </c>
      <c r="F171" s="7">
        <v>294.93</v>
      </c>
      <c r="G171" s="8">
        <f t="shared" si="86"/>
        <v>294.93</v>
      </c>
      <c r="H171" s="7">
        <v>0</v>
      </c>
      <c r="I171" s="7">
        <v>0</v>
      </c>
      <c r="J171" s="9">
        <v>45629</v>
      </c>
      <c r="K171" s="9"/>
      <c r="L171" s="5"/>
      <c r="M171" s="7">
        <v>20.32</v>
      </c>
      <c r="N171" s="5"/>
      <c r="O171" s="11">
        <v>0</v>
      </c>
      <c r="P171" s="4">
        <v>1</v>
      </c>
      <c r="Q171" s="8">
        <f t="shared" si="87"/>
        <v>294.93</v>
      </c>
      <c r="R171" s="12" t="s">
        <v>375</v>
      </c>
      <c r="T171" s="8">
        <f t="shared" si="88"/>
        <v>294.93</v>
      </c>
    </row>
    <row r="172" spans="1:20" ht="31.2" x14ac:dyDescent="0.3">
      <c r="A172" s="3" t="s">
        <v>414</v>
      </c>
      <c r="B172" s="4">
        <v>2</v>
      </c>
      <c r="C172" s="5">
        <v>332.03</v>
      </c>
      <c r="D172" s="6">
        <f t="shared" si="85"/>
        <v>0.47760744511038156</v>
      </c>
      <c r="E172" s="7">
        <v>0</v>
      </c>
      <c r="F172" s="7">
        <v>173.45</v>
      </c>
      <c r="G172" s="8">
        <f t="shared" si="86"/>
        <v>346.9</v>
      </c>
      <c r="H172" s="7">
        <v>0</v>
      </c>
      <c r="I172" s="7">
        <v>0</v>
      </c>
      <c r="J172" s="9">
        <v>45635</v>
      </c>
      <c r="K172" s="9"/>
      <c r="L172" s="5"/>
      <c r="M172" s="7">
        <v>20.32</v>
      </c>
      <c r="N172" s="5"/>
      <c r="O172" s="11">
        <f>((13.01+54.17)/3)*2</f>
        <v>44.786666666666669</v>
      </c>
      <c r="P172" s="4">
        <v>1</v>
      </c>
      <c r="Q172" s="8">
        <f t="shared" si="87"/>
        <v>151.05666666666664</v>
      </c>
      <c r="R172" s="12" t="s">
        <v>413</v>
      </c>
      <c r="T172" s="8">
        <f t="shared" si="88"/>
        <v>302.11333333333329</v>
      </c>
    </row>
    <row r="173" spans="1:20" ht="31.2" x14ac:dyDescent="0.3">
      <c r="A173" s="3" t="s">
        <v>415</v>
      </c>
      <c r="B173" s="4">
        <v>1</v>
      </c>
      <c r="C173" s="5">
        <v>332.03</v>
      </c>
      <c r="D173" s="6">
        <f t="shared" si="85"/>
        <v>0.45026051862783478</v>
      </c>
      <c r="E173" s="7">
        <v>0</v>
      </c>
      <c r="F173" s="7">
        <v>182.53</v>
      </c>
      <c r="G173" s="8">
        <f t="shared" si="86"/>
        <v>182.53</v>
      </c>
      <c r="H173" s="7">
        <v>0</v>
      </c>
      <c r="I173" s="7">
        <v>0</v>
      </c>
      <c r="J173" s="9">
        <v>45635</v>
      </c>
      <c r="K173" s="9"/>
      <c r="L173" s="5"/>
      <c r="M173" s="7">
        <v>20.32</v>
      </c>
      <c r="N173" s="5"/>
      <c r="O173" s="11">
        <f>(13.01+54.17)/3</f>
        <v>22.393333333333334</v>
      </c>
      <c r="P173" s="4">
        <v>1</v>
      </c>
      <c r="Q173" s="8">
        <f t="shared" si="87"/>
        <v>160.13666666666666</v>
      </c>
      <c r="R173" s="12"/>
      <c r="T173" s="8">
        <f t="shared" si="88"/>
        <v>160.13666666666666</v>
      </c>
    </row>
    <row r="174" spans="1:20" ht="46.8" x14ac:dyDescent="0.3">
      <c r="A174" s="3" t="s">
        <v>418</v>
      </c>
      <c r="B174" s="4">
        <v>1</v>
      </c>
      <c r="C174" s="5">
        <v>189.14</v>
      </c>
      <c r="D174" s="6">
        <f t="shared" si="85"/>
        <v>0</v>
      </c>
      <c r="E174" s="7">
        <v>0</v>
      </c>
      <c r="F174" s="7">
        <v>189.14</v>
      </c>
      <c r="G174" s="8">
        <f t="shared" si="86"/>
        <v>189.14</v>
      </c>
      <c r="H174" s="7">
        <v>0</v>
      </c>
      <c r="I174" s="7">
        <v>0.08</v>
      </c>
      <c r="J174" s="9">
        <v>45635</v>
      </c>
      <c r="K174" s="9"/>
      <c r="L174" s="5"/>
      <c r="M174" s="7">
        <v>20.32</v>
      </c>
      <c r="N174" s="5"/>
      <c r="O174" s="11">
        <v>19.84</v>
      </c>
      <c r="P174" s="4">
        <v>1</v>
      </c>
      <c r="Q174" s="8">
        <f t="shared" si="87"/>
        <v>169.38</v>
      </c>
      <c r="R174" s="12" t="s">
        <v>416</v>
      </c>
      <c r="T174" s="8">
        <f t="shared" si="88"/>
        <v>169.38</v>
      </c>
    </row>
    <row r="175" spans="1:20" ht="46.8" x14ac:dyDescent="0.3">
      <c r="A175" s="3" t="s">
        <v>417</v>
      </c>
      <c r="B175" s="4">
        <v>1</v>
      </c>
      <c r="C175" s="5">
        <v>188.11</v>
      </c>
      <c r="D175" s="6">
        <f t="shared" ref="D175:D190" si="89">(((C175-F175)*100)/C175)/100</f>
        <v>0</v>
      </c>
      <c r="E175" s="7">
        <v>0</v>
      </c>
      <c r="F175" s="7">
        <v>188.11</v>
      </c>
      <c r="G175" s="8">
        <f t="shared" ref="G175:G190" si="90">B175*F175</f>
        <v>188.11</v>
      </c>
      <c r="H175" s="7">
        <v>0</v>
      </c>
      <c r="I175" s="7">
        <v>0.02</v>
      </c>
      <c r="J175" s="9">
        <v>45635</v>
      </c>
      <c r="K175" s="9"/>
      <c r="L175" s="5"/>
      <c r="M175" s="7">
        <v>20.32</v>
      </c>
      <c r="N175" s="5"/>
      <c r="O175" s="11">
        <v>19.73</v>
      </c>
      <c r="P175" s="4">
        <v>1</v>
      </c>
      <c r="Q175" s="8">
        <f t="shared" ref="Q175:Q190" si="91">F175+(I175/B175)-(O175/B175)</f>
        <v>168.40000000000003</v>
      </c>
      <c r="R175" s="12"/>
      <c r="T175" s="8">
        <f t="shared" ref="T175:T190" si="92">B175*Q175</f>
        <v>168.40000000000003</v>
      </c>
    </row>
    <row r="176" spans="1:20" ht="46.8" x14ac:dyDescent="0.3">
      <c r="A176" s="3" t="s">
        <v>421</v>
      </c>
      <c r="B176" s="4">
        <v>1</v>
      </c>
      <c r="C176" s="5">
        <v>644.25</v>
      </c>
      <c r="D176" s="6">
        <f t="shared" si="89"/>
        <v>0.54002328288707802</v>
      </c>
      <c r="E176" s="7">
        <v>0</v>
      </c>
      <c r="F176" s="7">
        <v>296.33999999999997</v>
      </c>
      <c r="G176" s="8">
        <f t="shared" si="90"/>
        <v>296.33999999999997</v>
      </c>
      <c r="H176" s="7">
        <v>0</v>
      </c>
      <c r="I176" s="7">
        <v>0</v>
      </c>
      <c r="J176" s="9">
        <v>45635</v>
      </c>
      <c r="K176" s="9"/>
      <c r="L176" s="5"/>
      <c r="M176" s="7">
        <v>20.32</v>
      </c>
      <c r="N176" s="5"/>
      <c r="O176" s="11">
        <v>31.08</v>
      </c>
      <c r="P176" s="4">
        <v>1</v>
      </c>
      <c r="Q176" s="8">
        <f t="shared" si="91"/>
        <v>265.26</v>
      </c>
      <c r="R176" s="12" t="s">
        <v>420</v>
      </c>
      <c r="T176" s="8">
        <f t="shared" si="92"/>
        <v>265.26</v>
      </c>
    </row>
    <row r="177" spans="1:20" ht="46.8" x14ac:dyDescent="0.3">
      <c r="A177" s="3" t="s">
        <v>423</v>
      </c>
      <c r="B177" s="4">
        <v>1</v>
      </c>
      <c r="C177" s="5">
        <v>442.88</v>
      </c>
      <c r="D177" s="6">
        <f t="shared" si="89"/>
        <v>0.67002348265895961</v>
      </c>
      <c r="E177" s="7">
        <v>0</v>
      </c>
      <c r="F177" s="7">
        <v>146.13999999999999</v>
      </c>
      <c r="G177" s="8">
        <f t="shared" si="90"/>
        <v>146.13999999999999</v>
      </c>
      <c r="H177" s="7">
        <v>0</v>
      </c>
      <c r="I177" s="7">
        <v>7.0000000000000007E-2</v>
      </c>
      <c r="J177" s="9">
        <v>45635</v>
      </c>
      <c r="K177" s="9"/>
      <c r="L177" s="5"/>
      <c r="M177" s="7">
        <v>20.32</v>
      </c>
      <c r="N177" s="5"/>
      <c r="O177" s="11">
        <f>1.45+15.18</f>
        <v>16.63</v>
      </c>
      <c r="P177" s="4">
        <v>1</v>
      </c>
      <c r="Q177" s="8">
        <f t="shared" si="91"/>
        <v>129.57999999999998</v>
      </c>
      <c r="R177" s="12" t="s">
        <v>422</v>
      </c>
      <c r="T177" s="8">
        <f t="shared" si="92"/>
        <v>129.57999999999998</v>
      </c>
    </row>
    <row r="178" spans="1:20" ht="46.8" x14ac:dyDescent="0.3">
      <c r="A178" s="3" t="s">
        <v>426</v>
      </c>
      <c r="B178" s="4">
        <v>1</v>
      </c>
      <c r="C178" s="5">
        <v>99.73</v>
      </c>
      <c r="D178" s="6">
        <f t="shared" si="89"/>
        <v>5.7956482502757457E-2</v>
      </c>
      <c r="E178" s="7">
        <v>0</v>
      </c>
      <c r="F178" s="7">
        <v>93.95</v>
      </c>
      <c r="G178" s="8">
        <f t="shared" si="90"/>
        <v>93.95</v>
      </c>
      <c r="H178" s="7">
        <v>0</v>
      </c>
      <c r="I178" s="7">
        <v>0.02</v>
      </c>
      <c r="J178" s="9">
        <v>45635</v>
      </c>
      <c r="K178" s="9"/>
      <c r="L178" s="5"/>
      <c r="M178" s="7">
        <v>20.32</v>
      </c>
      <c r="N178" s="5"/>
      <c r="O178" s="11">
        <f>1.86+8.56</f>
        <v>10.42</v>
      </c>
      <c r="P178" s="4">
        <v>1</v>
      </c>
      <c r="Q178" s="8">
        <f t="shared" si="91"/>
        <v>83.55</v>
      </c>
      <c r="R178" s="12" t="s">
        <v>424</v>
      </c>
      <c r="T178" s="8">
        <f t="shared" si="92"/>
        <v>83.55</v>
      </c>
    </row>
    <row r="179" spans="1:20" ht="46.8" x14ac:dyDescent="0.3">
      <c r="A179" s="3" t="s">
        <v>428</v>
      </c>
      <c r="B179" s="4">
        <v>1</v>
      </c>
      <c r="C179" s="5">
        <v>117.25</v>
      </c>
      <c r="D179" s="6">
        <f t="shared" si="89"/>
        <v>0.51991471215351814</v>
      </c>
      <c r="E179" s="7">
        <v>0</v>
      </c>
      <c r="F179" s="7">
        <v>56.29</v>
      </c>
      <c r="G179" s="8">
        <f t="shared" si="90"/>
        <v>56.29</v>
      </c>
      <c r="H179" s="7">
        <v>0</v>
      </c>
      <c r="I179" s="7">
        <v>0.02</v>
      </c>
      <c r="J179" s="9">
        <v>45635</v>
      </c>
      <c r="K179" s="9"/>
      <c r="L179" s="5"/>
      <c r="M179" s="7">
        <v>20.32</v>
      </c>
      <c r="N179" s="5"/>
      <c r="O179" s="11">
        <f>0.57+5.19</f>
        <v>5.7600000000000007</v>
      </c>
      <c r="P179" s="4">
        <v>1</v>
      </c>
      <c r="Q179" s="8">
        <f t="shared" si="91"/>
        <v>50.550000000000004</v>
      </c>
      <c r="R179" s="12" t="s">
        <v>427</v>
      </c>
      <c r="T179" s="8">
        <f t="shared" si="92"/>
        <v>50.550000000000004</v>
      </c>
    </row>
    <row r="180" spans="1:20" ht="46.8" x14ac:dyDescent="0.3">
      <c r="A180" s="3" t="s">
        <v>430</v>
      </c>
      <c r="B180" s="4">
        <v>3</v>
      </c>
      <c r="C180" s="5">
        <f>(181.45+177.78+172.72)/3</f>
        <v>177.31666666666669</v>
      </c>
      <c r="D180" s="6">
        <f t="shared" si="89"/>
        <v>0.66996898204718491</v>
      </c>
      <c r="E180" s="7">
        <v>0</v>
      </c>
      <c r="F180" s="7">
        <f>(59.87+58.68+57.01)/3</f>
        <v>58.52</v>
      </c>
      <c r="G180" s="8">
        <f t="shared" si="90"/>
        <v>175.56</v>
      </c>
      <c r="H180" s="7">
        <v>0</v>
      </c>
      <c r="I180" s="7">
        <f>0.04+0.01+0.02</f>
        <v>7.0000000000000007E-2</v>
      </c>
      <c r="J180" s="9">
        <v>45635</v>
      </c>
      <c r="K180" s="9"/>
      <c r="L180" s="5"/>
      <c r="M180" s="7">
        <v>20.32</v>
      </c>
      <c r="N180" s="5"/>
      <c r="O180" s="11">
        <f>0.6+5.51+0.6+5.4+0.57+5.25</f>
        <v>17.93</v>
      </c>
      <c r="P180" s="4">
        <v>1</v>
      </c>
      <c r="Q180" s="8">
        <f t="shared" si="91"/>
        <v>52.56666666666667</v>
      </c>
      <c r="R180" s="12" t="s">
        <v>429</v>
      </c>
      <c r="T180" s="8">
        <f t="shared" si="92"/>
        <v>157.70000000000002</v>
      </c>
    </row>
    <row r="181" spans="1:20" ht="46.8" x14ac:dyDescent="0.3">
      <c r="A181" s="3" t="s">
        <v>432</v>
      </c>
      <c r="B181" s="4">
        <v>3</v>
      </c>
      <c r="C181" s="5">
        <f>(212.02+236.35+240.28)/3</f>
        <v>229.54999999999998</v>
      </c>
      <c r="D181" s="6">
        <f t="shared" si="89"/>
        <v>0.68297393450954758</v>
      </c>
      <c r="E181" s="7">
        <v>0</v>
      </c>
      <c r="F181" s="7">
        <f>(65.78+75.64+76.9)/3</f>
        <v>72.773333333333341</v>
      </c>
      <c r="G181" s="8">
        <f t="shared" si="90"/>
        <v>218.32000000000002</v>
      </c>
      <c r="H181" s="7">
        <v>0</v>
      </c>
      <c r="I181" s="7">
        <f>0.03+0.02+0.02</f>
        <v>7.0000000000000007E-2</v>
      </c>
      <c r="J181" s="9">
        <v>45635</v>
      </c>
      <c r="K181" s="9"/>
      <c r="L181" s="5"/>
      <c r="M181" s="7">
        <v>20.32</v>
      </c>
      <c r="N181" s="5"/>
      <c r="O181" s="11">
        <f>0.65+6.05+0.77+6.96+0.77+7.08</f>
        <v>22.28</v>
      </c>
      <c r="P181" s="4">
        <v>1</v>
      </c>
      <c r="Q181" s="8">
        <f t="shared" si="91"/>
        <v>65.37</v>
      </c>
      <c r="R181" s="12" t="s">
        <v>431</v>
      </c>
      <c r="T181" s="8">
        <f t="shared" si="92"/>
        <v>196.11</v>
      </c>
    </row>
    <row r="182" spans="1:20" ht="31.2" x14ac:dyDescent="0.3">
      <c r="A182" s="3" t="s">
        <v>435</v>
      </c>
      <c r="B182" s="4">
        <v>1</v>
      </c>
      <c r="C182" s="5">
        <v>299</v>
      </c>
      <c r="D182" s="6">
        <f t="shared" si="89"/>
        <v>0.33444816053511706</v>
      </c>
      <c r="E182" s="7">
        <v>0</v>
      </c>
      <c r="F182" s="7">
        <v>199</v>
      </c>
      <c r="G182" s="8">
        <f t="shared" si="90"/>
        <v>199</v>
      </c>
      <c r="H182" s="7">
        <v>0</v>
      </c>
      <c r="I182" s="7">
        <v>0</v>
      </c>
      <c r="J182" s="9">
        <v>45645</v>
      </c>
      <c r="K182" s="9"/>
      <c r="L182" s="5"/>
      <c r="M182" s="7">
        <v>20.21</v>
      </c>
      <c r="N182" s="5"/>
      <c r="O182" s="11"/>
      <c r="P182" s="4">
        <v>1</v>
      </c>
      <c r="Q182" s="8">
        <f t="shared" si="91"/>
        <v>199</v>
      </c>
      <c r="R182" s="12" t="s">
        <v>434</v>
      </c>
      <c r="T182" s="8">
        <f t="shared" si="92"/>
        <v>199</v>
      </c>
    </row>
    <row r="183" spans="1:20" ht="31.2" x14ac:dyDescent="0.3">
      <c r="A183" s="3" t="s">
        <v>436</v>
      </c>
      <c r="B183" s="4">
        <v>1</v>
      </c>
      <c r="C183" s="5">
        <v>408</v>
      </c>
      <c r="D183" s="6">
        <f t="shared" si="89"/>
        <v>0.57497549019607841</v>
      </c>
      <c r="E183" s="7">
        <v>0</v>
      </c>
      <c r="F183" s="7">
        <v>173.41</v>
      </c>
      <c r="G183" s="8">
        <f t="shared" si="90"/>
        <v>173.41</v>
      </c>
      <c r="H183" s="7">
        <v>0</v>
      </c>
      <c r="I183" s="7">
        <v>0</v>
      </c>
      <c r="J183" s="9">
        <v>45645</v>
      </c>
      <c r="K183" s="9"/>
      <c r="L183" s="5"/>
      <c r="M183" s="7">
        <v>20.21</v>
      </c>
      <c r="N183" s="5"/>
      <c r="O183" s="11"/>
      <c r="P183" s="4">
        <v>1</v>
      </c>
      <c r="Q183" s="8">
        <f t="shared" si="91"/>
        <v>173.41</v>
      </c>
      <c r="R183" s="12" t="s">
        <v>217</v>
      </c>
      <c r="T183" s="8">
        <f t="shared" si="92"/>
        <v>173.41</v>
      </c>
    </row>
    <row r="184" spans="1:20" ht="31.2" x14ac:dyDescent="0.3">
      <c r="A184" s="3" t="s">
        <v>480</v>
      </c>
      <c r="B184" s="4">
        <v>1</v>
      </c>
      <c r="C184" s="5">
        <v>563.62</v>
      </c>
      <c r="D184" s="6">
        <f t="shared" si="89"/>
        <v>0.47931230261523716</v>
      </c>
      <c r="E184" s="7">
        <v>0</v>
      </c>
      <c r="F184" s="7">
        <v>293.47000000000003</v>
      </c>
      <c r="G184" s="8">
        <f t="shared" si="90"/>
        <v>293.47000000000003</v>
      </c>
      <c r="H184" s="7">
        <v>0</v>
      </c>
      <c r="I184" s="7">
        <v>101.39</v>
      </c>
      <c r="J184" s="9">
        <v>45645</v>
      </c>
      <c r="K184" s="9"/>
      <c r="L184" s="5"/>
      <c r="M184" s="7">
        <v>20.32</v>
      </c>
      <c r="N184" s="5"/>
      <c r="O184" s="11">
        <v>0</v>
      </c>
      <c r="P184" s="4">
        <v>1</v>
      </c>
      <c r="Q184" s="8">
        <f t="shared" si="91"/>
        <v>394.86</v>
      </c>
      <c r="R184" s="12" t="s">
        <v>437</v>
      </c>
      <c r="T184" s="8">
        <f t="shared" si="92"/>
        <v>394.86</v>
      </c>
    </row>
    <row r="185" spans="1:20" ht="31.2" x14ac:dyDescent="0.3">
      <c r="A185" s="3" t="s">
        <v>439</v>
      </c>
      <c r="B185" s="4">
        <v>1</v>
      </c>
      <c r="C185" s="5">
        <v>1399</v>
      </c>
      <c r="D185" s="6">
        <f t="shared" si="89"/>
        <v>0.46461758398856323</v>
      </c>
      <c r="E185" s="7">
        <v>0</v>
      </c>
      <c r="F185" s="7">
        <v>749</v>
      </c>
      <c r="G185" s="8">
        <f t="shared" si="90"/>
        <v>749</v>
      </c>
      <c r="H185" s="7">
        <v>0</v>
      </c>
      <c r="I185" s="7">
        <v>0</v>
      </c>
      <c r="J185" s="9">
        <v>45649</v>
      </c>
      <c r="K185" s="9"/>
      <c r="L185" s="5"/>
      <c r="M185" s="7">
        <v>20.32</v>
      </c>
      <c r="N185" s="5"/>
      <c r="O185" s="11">
        <v>0</v>
      </c>
      <c r="P185" s="4">
        <v>1</v>
      </c>
      <c r="Q185" s="8">
        <f t="shared" si="91"/>
        <v>749</v>
      </c>
      <c r="R185" s="12" t="s">
        <v>438</v>
      </c>
      <c r="T185" s="8">
        <f t="shared" si="92"/>
        <v>749</v>
      </c>
    </row>
    <row r="186" spans="1:20" ht="31.2" x14ac:dyDescent="0.3">
      <c r="A186" s="3" t="s">
        <v>481</v>
      </c>
      <c r="B186" s="4">
        <v>1</v>
      </c>
      <c r="C186" s="5">
        <v>752.84</v>
      </c>
      <c r="D186" s="6">
        <f t="shared" si="89"/>
        <v>0.44577865150629614</v>
      </c>
      <c r="E186" s="7">
        <v>0</v>
      </c>
      <c r="F186" s="7">
        <v>417.24</v>
      </c>
      <c r="G186" s="8">
        <f t="shared" si="90"/>
        <v>417.24</v>
      </c>
      <c r="H186" s="7">
        <v>0</v>
      </c>
      <c r="I186" s="7">
        <v>0</v>
      </c>
      <c r="J186" s="9">
        <v>45649</v>
      </c>
      <c r="K186" s="9"/>
      <c r="L186" s="5"/>
      <c r="M186" s="7">
        <v>20.32</v>
      </c>
      <c r="N186" s="5"/>
      <c r="O186" s="11">
        <v>0</v>
      </c>
      <c r="P186" s="4">
        <v>1</v>
      </c>
      <c r="Q186" s="8">
        <f t="shared" si="91"/>
        <v>417.24</v>
      </c>
      <c r="R186" s="12" t="s">
        <v>440</v>
      </c>
      <c r="T186" s="8">
        <f t="shared" si="92"/>
        <v>417.24</v>
      </c>
    </row>
    <row r="187" spans="1:20" ht="31.2" x14ac:dyDescent="0.3">
      <c r="A187" s="3" t="s">
        <v>482</v>
      </c>
      <c r="B187" s="4">
        <v>1</v>
      </c>
      <c r="C187" s="5">
        <v>807.31</v>
      </c>
      <c r="D187" s="6">
        <f t="shared" si="89"/>
        <v>0.24356195265759126</v>
      </c>
      <c r="E187" s="7">
        <v>0</v>
      </c>
      <c r="F187" s="7">
        <v>610.67999999999995</v>
      </c>
      <c r="G187" s="8">
        <f t="shared" si="90"/>
        <v>610.67999999999995</v>
      </c>
      <c r="H187" s="7">
        <v>0</v>
      </c>
      <c r="I187" s="7">
        <f>182.85+34.92</f>
        <v>217.76999999999998</v>
      </c>
      <c r="J187" s="9">
        <v>45657</v>
      </c>
      <c r="K187" s="9"/>
      <c r="L187" s="5"/>
      <c r="M187" s="7">
        <v>20.32</v>
      </c>
      <c r="N187" s="5"/>
      <c r="O187" s="11">
        <v>0</v>
      </c>
      <c r="P187" s="4">
        <v>1</v>
      </c>
      <c r="Q187" s="8">
        <f t="shared" si="91"/>
        <v>828.44999999999993</v>
      </c>
      <c r="R187" s="12" t="s">
        <v>441</v>
      </c>
      <c r="T187" s="8">
        <f t="shared" si="92"/>
        <v>828.44999999999993</v>
      </c>
    </row>
    <row r="188" spans="1:20" ht="46.8" x14ac:dyDescent="0.3">
      <c r="A188" s="3" t="s">
        <v>483</v>
      </c>
      <c r="B188" s="4">
        <v>1</v>
      </c>
      <c r="C188" s="5">
        <v>479</v>
      </c>
      <c r="D188" s="6">
        <f t="shared" si="89"/>
        <v>0.40083507306889354</v>
      </c>
      <c r="E188" s="7">
        <v>0</v>
      </c>
      <c r="F188" s="7">
        <v>287</v>
      </c>
      <c r="G188" s="8">
        <f t="shared" si="90"/>
        <v>287</v>
      </c>
      <c r="H188" s="7">
        <v>0</v>
      </c>
      <c r="I188" s="7">
        <f t="shared" ref="I188:I198" si="93">158/15</f>
        <v>10.533333333333333</v>
      </c>
      <c r="J188" s="9">
        <v>45657</v>
      </c>
      <c r="K188" s="9"/>
      <c r="L188" s="5"/>
      <c r="M188" s="7">
        <v>20.32</v>
      </c>
      <c r="N188" s="5"/>
      <c r="O188" s="11">
        <v>0</v>
      </c>
      <c r="P188" s="4">
        <v>1</v>
      </c>
      <c r="Q188" s="8">
        <f t="shared" si="91"/>
        <v>297.53333333333336</v>
      </c>
      <c r="R188" s="12" t="s">
        <v>442</v>
      </c>
      <c r="T188" s="8">
        <f t="shared" si="92"/>
        <v>297.53333333333336</v>
      </c>
    </row>
    <row r="189" spans="1:20" ht="46.8" x14ac:dyDescent="0.3">
      <c r="A189" s="3" t="s">
        <v>484</v>
      </c>
      <c r="B189" s="4">
        <v>2</v>
      </c>
      <c r="C189" s="5">
        <v>346.84</v>
      </c>
      <c r="D189" s="6">
        <f t="shared" si="89"/>
        <v>0.4550801522315765</v>
      </c>
      <c r="E189" s="7">
        <v>0</v>
      </c>
      <c r="F189" s="7">
        <v>189</v>
      </c>
      <c r="G189" s="8">
        <f t="shared" si="90"/>
        <v>378</v>
      </c>
      <c r="H189" s="7">
        <v>0</v>
      </c>
      <c r="I189" s="7">
        <f t="shared" si="93"/>
        <v>10.533333333333333</v>
      </c>
      <c r="J189" s="9">
        <v>45657</v>
      </c>
      <c r="K189" s="9"/>
      <c r="L189" s="5"/>
      <c r="M189" s="7">
        <v>20.32</v>
      </c>
      <c r="N189" s="5"/>
      <c r="O189" s="11">
        <v>0</v>
      </c>
      <c r="P189" s="4">
        <v>1</v>
      </c>
      <c r="Q189" s="8">
        <f t="shared" si="91"/>
        <v>194.26666666666668</v>
      </c>
      <c r="R189" s="12" t="s">
        <v>443</v>
      </c>
      <c r="T189" s="8">
        <f t="shared" si="92"/>
        <v>388.53333333333336</v>
      </c>
    </row>
    <row r="190" spans="1:20" ht="46.8" x14ac:dyDescent="0.3">
      <c r="A190" s="3" t="s">
        <v>485</v>
      </c>
      <c r="B190" s="4">
        <v>2</v>
      </c>
      <c r="C190" s="5">
        <v>219</v>
      </c>
      <c r="D190" s="6">
        <f t="shared" si="89"/>
        <v>0.33789954337899547</v>
      </c>
      <c r="E190" s="7">
        <v>0</v>
      </c>
      <c r="F190" s="7">
        <v>145</v>
      </c>
      <c r="G190" s="8">
        <f t="shared" si="90"/>
        <v>290</v>
      </c>
      <c r="H190" s="7">
        <v>0</v>
      </c>
      <c r="I190" s="7">
        <f t="shared" si="93"/>
        <v>10.533333333333333</v>
      </c>
      <c r="J190" s="9">
        <v>45657</v>
      </c>
      <c r="K190" s="9"/>
      <c r="L190" s="5"/>
      <c r="M190" s="7">
        <v>20.32</v>
      </c>
      <c r="N190" s="5"/>
      <c r="O190" s="11">
        <v>0</v>
      </c>
      <c r="P190" s="4">
        <v>1</v>
      </c>
      <c r="Q190" s="8">
        <f t="shared" si="91"/>
        <v>150.26666666666668</v>
      </c>
      <c r="R190" s="12" t="s">
        <v>444</v>
      </c>
      <c r="T190" s="8">
        <f t="shared" si="92"/>
        <v>300.53333333333336</v>
      </c>
    </row>
    <row r="191" spans="1:20" ht="31.2" x14ac:dyDescent="0.3">
      <c r="A191" s="3" t="s">
        <v>486</v>
      </c>
      <c r="B191" s="4">
        <v>1</v>
      </c>
      <c r="C191" s="5">
        <v>374.85</v>
      </c>
      <c r="D191" s="6">
        <f t="shared" ref="D191:D202" si="94">(((C191-F191)*100)/C191)/100</f>
        <v>0.31308523409363748</v>
      </c>
      <c r="E191" s="7">
        <v>0</v>
      </c>
      <c r="F191" s="7">
        <v>257.49</v>
      </c>
      <c r="G191" s="8">
        <f t="shared" ref="G191:G202" si="95">B191*F191</f>
        <v>257.49</v>
      </c>
      <c r="H191" s="7">
        <v>0</v>
      </c>
      <c r="I191" s="7">
        <f t="shared" si="93"/>
        <v>10.533333333333333</v>
      </c>
      <c r="J191" s="9">
        <v>45657</v>
      </c>
      <c r="K191" s="9"/>
      <c r="L191" s="5"/>
      <c r="M191" s="7">
        <v>20.32</v>
      </c>
      <c r="N191" s="5"/>
      <c r="O191" s="11">
        <v>0</v>
      </c>
      <c r="P191" s="4">
        <v>1</v>
      </c>
      <c r="Q191" s="8">
        <f t="shared" ref="Q191:Q202" si="96">F191+(I191/B191)-(O191/B191)</f>
        <v>268.02333333333337</v>
      </c>
      <c r="R191" s="12" t="s">
        <v>445</v>
      </c>
      <c r="T191" s="8">
        <f t="shared" ref="T191:T202" si="97">B191*Q191</f>
        <v>268.02333333333337</v>
      </c>
    </row>
    <row r="192" spans="1:20" x14ac:dyDescent="0.3">
      <c r="A192" s="3" t="s">
        <v>487</v>
      </c>
      <c r="B192" s="4">
        <v>1</v>
      </c>
      <c r="C192" s="5">
        <v>499</v>
      </c>
      <c r="D192" s="6">
        <f t="shared" si="94"/>
        <v>0.27743486973947895</v>
      </c>
      <c r="E192" s="7">
        <v>0</v>
      </c>
      <c r="F192" s="7">
        <v>360.56</v>
      </c>
      <c r="G192" s="8">
        <f t="shared" si="95"/>
        <v>360.56</v>
      </c>
      <c r="H192" s="7">
        <v>0</v>
      </c>
      <c r="I192" s="7">
        <f t="shared" si="93"/>
        <v>10.533333333333333</v>
      </c>
      <c r="J192" s="9">
        <v>45657</v>
      </c>
      <c r="K192" s="9"/>
      <c r="L192" s="5"/>
      <c r="M192" s="7">
        <v>20.32</v>
      </c>
      <c r="N192" s="5"/>
      <c r="O192" s="11">
        <v>0</v>
      </c>
      <c r="P192" s="4">
        <v>1</v>
      </c>
      <c r="Q192" s="8">
        <f t="shared" si="96"/>
        <v>371.09333333333336</v>
      </c>
      <c r="R192" s="12" t="s">
        <v>446</v>
      </c>
      <c r="T192" s="8">
        <f t="shared" si="97"/>
        <v>371.09333333333336</v>
      </c>
    </row>
    <row r="193" spans="1:20" ht="31.2" x14ac:dyDescent="0.3">
      <c r="A193" s="3" t="s">
        <v>488</v>
      </c>
      <c r="B193" s="4">
        <v>1</v>
      </c>
      <c r="C193" s="5">
        <v>499</v>
      </c>
      <c r="D193" s="6">
        <f t="shared" si="94"/>
        <v>0.27743486973947895</v>
      </c>
      <c r="E193" s="7">
        <v>0</v>
      </c>
      <c r="F193" s="7">
        <v>360.56</v>
      </c>
      <c r="G193" s="8">
        <f t="shared" si="95"/>
        <v>360.56</v>
      </c>
      <c r="H193" s="7">
        <v>0</v>
      </c>
      <c r="I193" s="7">
        <f t="shared" si="93"/>
        <v>10.533333333333333</v>
      </c>
      <c r="J193" s="9">
        <v>45657</v>
      </c>
      <c r="K193" s="9"/>
      <c r="L193" s="5"/>
      <c r="M193" s="7">
        <v>20.32</v>
      </c>
      <c r="N193" s="5"/>
      <c r="O193" s="11">
        <v>0</v>
      </c>
      <c r="P193" s="4">
        <v>1</v>
      </c>
      <c r="Q193" s="8">
        <f t="shared" si="96"/>
        <v>371.09333333333336</v>
      </c>
      <c r="R193" s="12" t="s">
        <v>447</v>
      </c>
      <c r="T193" s="8">
        <f t="shared" si="97"/>
        <v>371.09333333333336</v>
      </c>
    </row>
    <row r="194" spans="1:20" ht="31.2" x14ac:dyDescent="0.3">
      <c r="A194" s="3" t="s">
        <v>489</v>
      </c>
      <c r="B194" s="4">
        <v>1</v>
      </c>
      <c r="C194" s="5">
        <v>349</v>
      </c>
      <c r="D194" s="6">
        <f t="shared" si="94"/>
        <v>0.31518624641833809</v>
      </c>
      <c r="E194" s="7">
        <v>0</v>
      </c>
      <c r="F194" s="7">
        <v>239</v>
      </c>
      <c r="G194" s="8">
        <f t="shared" si="95"/>
        <v>239</v>
      </c>
      <c r="H194" s="7">
        <v>0</v>
      </c>
      <c r="I194" s="7">
        <f t="shared" si="93"/>
        <v>10.533333333333333</v>
      </c>
      <c r="J194" s="9">
        <v>45657</v>
      </c>
      <c r="K194" s="9"/>
      <c r="L194" s="5"/>
      <c r="M194" s="7">
        <v>20.32</v>
      </c>
      <c r="N194" s="5"/>
      <c r="O194" s="11">
        <v>0</v>
      </c>
      <c r="P194" s="4">
        <v>1</v>
      </c>
      <c r="Q194" s="8">
        <f t="shared" si="96"/>
        <v>249.53333333333333</v>
      </c>
      <c r="R194" s="12" t="s">
        <v>448</v>
      </c>
      <c r="T194" s="8">
        <f t="shared" si="97"/>
        <v>249.53333333333333</v>
      </c>
    </row>
    <row r="195" spans="1:20" ht="31.2" x14ac:dyDescent="0.3">
      <c r="A195" s="3" t="s">
        <v>450</v>
      </c>
      <c r="B195" s="4">
        <v>1</v>
      </c>
      <c r="C195" s="5">
        <v>349</v>
      </c>
      <c r="D195" s="6">
        <f t="shared" si="94"/>
        <v>0.2560171919770774</v>
      </c>
      <c r="E195" s="7">
        <v>0</v>
      </c>
      <c r="F195" s="7">
        <v>259.64999999999998</v>
      </c>
      <c r="G195" s="8">
        <f t="shared" si="95"/>
        <v>259.64999999999998</v>
      </c>
      <c r="H195" s="7">
        <v>0</v>
      </c>
      <c r="I195" s="7">
        <f t="shared" si="93"/>
        <v>10.533333333333333</v>
      </c>
      <c r="J195" s="9">
        <v>45657</v>
      </c>
      <c r="K195" s="9"/>
      <c r="L195" s="5"/>
      <c r="M195" s="7">
        <v>20.32</v>
      </c>
      <c r="N195" s="5"/>
      <c r="O195" s="11">
        <v>0</v>
      </c>
      <c r="P195" s="4">
        <v>1</v>
      </c>
      <c r="Q195" s="8">
        <f t="shared" si="96"/>
        <v>270.18333333333334</v>
      </c>
      <c r="R195" s="12" t="s">
        <v>449</v>
      </c>
      <c r="T195" s="8">
        <f t="shared" si="97"/>
        <v>270.18333333333334</v>
      </c>
    </row>
    <row r="196" spans="1:20" ht="31.2" x14ac:dyDescent="0.3">
      <c r="A196" s="3" t="s">
        <v>490</v>
      </c>
      <c r="B196" s="4">
        <v>2</v>
      </c>
      <c r="C196" s="5">
        <v>399</v>
      </c>
      <c r="D196" s="6">
        <f t="shared" si="94"/>
        <v>0.25062656641604009</v>
      </c>
      <c r="E196" s="7">
        <v>0</v>
      </c>
      <c r="F196" s="7">
        <v>299</v>
      </c>
      <c r="G196" s="8">
        <f t="shared" si="95"/>
        <v>598</v>
      </c>
      <c r="H196" s="7">
        <v>0</v>
      </c>
      <c r="I196" s="7">
        <f t="shared" si="93"/>
        <v>10.533333333333333</v>
      </c>
      <c r="J196" s="9">
        <v>45657</v>
      </c>
      <c r="K196" s="9"/>
      <c r="L196" s="5"/>
      <c r="M196" s="7">
        <v>20.32</v>
      </c>
      <c r="N196" s="5"/>
      <c r="O196" s="11">
        <v>0</v>
      </c>
      <c r="P196" s="4">
        <v>1</v>
      </c>
      <c r="Q196" s="8">
        <f t="shared" si="96"/>
        <v>304.26666666666665</v>
      </c>
      <c r="R196" s="12" t="s">
        <v>451</v>
      </c>
      <c r="T196" s="8">
        <f t="shared" si="97"/>
        <v>608.5333333333333</v>
      </c>
    </row>
    <row r="197" spans="1:20" ht="31.2" x14ac:dyDescent="0.3">
      <c r="A197" s="3" t="s">
        <v>475</v>
      </c>
      <c r="B197" s="4">
        <v>1</v>
      </c>
      <c r="C197" s="5">
        <v>169</v>
      </c>
      <c r="D197" s="6">
        <f t="shared" si="94"/>
        <v>0.4023668639053255</v>
      </c>
      <c r="E197" s="7">
        <v>0</v>
      </c>
      <c r="F197" s="7">
        <v>101</v>
      </c>
      <c r="G197" s="8">
        <f t="shared" si="95"/>
        <v>101</v>
      </c>
      <c r="H197" s="7">
        <v>0</v>
      </c>
      <c r="I197" s="7">
        <f t="shared" si="93"/>
        <v>10.533333333333333</v>
      </c>
      <c r="J197" s="9">
        <v>45657</v>
      </c>
      <c r="K197" s="9"/>
      <c r="L197" s="5"/>
      <c r="M197" s="7">
        <v>20.32</v>
      </c>
      <c r="N197" s="5"/>
      <c r="O197" s="11">
        <v>0</v>
      </c>
      <c r="P197" s="4">
        <v>1</v>
      </c>
      <c r="Q197" s="8">
        <f t="shared" si="96"/>
        <v>111.53333333333333</v>
      </c>
      <c r="R197" s="12" t="s">
        <v>452</v>
      </c>
      <c r="T197" s="8">
        <f t="shared" si="97"/>
        <v>111.53333333333333</v>
      </c>
    </row>
    <row r="198" spans="1:20" ht="31.2" x14ac:dyDescent="0.3">
      <c r="A198" s="3" t="s">
        <v>491</v>
      </c>
      <c r="B198" s="4">
        <v>2</v>
      </c>
      <c r="C198" s="5">
        <v>414.9</v>
      </c>
      <c r="D198" s="6">
        <f t="shared" si="94"/>
        <v>0.42540371173776803</v>
      </c>
      <c r="E198" s="7">
        <v>0</v>
      </c>
      <c r="F198" s="7">
        <v>238.4</v>
      </c>
      <c r="G198" s="8">
        <f t="shared" si="95"/>
        <v>476.8</v>
      </c>
      <c r="H198" s="7">
        <v>0</v>
      </c>
      <c r="I198" s="7">
        <f t="shared" si="93"/>
        <v>10.533333333333333</v>
      </c>
      <c r="J198" s="9">
        <v>45657</v>
      </c>
      <c r="K198" s="9"/>
      <c r="L198" s="5"/>
      <c r="M198" s="7">
        <v>20.32</v>
      </c>
      <c r="N198" s="5"/>
      <c r="O198" s="11">
        <v>0</v>
      </c>
      <c r="P198" s="4">
        <v>1</v>
      </c>
      <c r="Q198" s="8">
        <f t="shared" si="96"/>
        <v>243.66666666666669</v>
      </c>
      <c r="R198" s="12" t="s">
        <v>453</v>
      </c>
      <c r="T198" s="8">
        <f t="shared" si="97"/>
        <v>487.33333333333337</v>
      </c>
    </row>
    <row r="199" spans="1:20" x14ac:dyDescent="0.3">
      <c r="A199" s="3" t="s">
        <v>479</v>
      </c>
      <c r="B199" s="4">
        <v>1</v>
      </c>
      <c r="C199" s="5">
        <v>449</v>
      </c>
      <c r="D199" s="6">
        <f t="shared" si="94"/>
        <v>0.40089086859688194</v>
      </c>
      <c r="E199" s="7">
        <v>0</v>
      </c>
      <c r="F199" s="7">
        <v>269</v>
      </c>
      <c r="G199" s="8">
        <f t="shared" si="95"/>
        <v>269</v>
      </c>
      <c r="H199" s="7">
        <v>0</v>
      </c>
      <c r="I199" s="7">
        <v>0</v>
      </c>
      <c r="J199" s="9">
        <v>45657</v>
      </c>
      <c r="K199" s="9"/>
      <c r="L199" s="5"/>
      <c r="M199" s="7">
        <v>20.32</v>
      </c>
      <c r="N199" s="5"/>
      <c r="O199" s="11">
        <v>0</v>
      </c>
      <c r="P199" s="4">
        <v>1</v>
      </c>
      <c r="Q199" s="8">
        <f t="shared" si="96"/>
        <v>269</v>
      </c>
      <c r="R199" s="12" t="s">
        <v>454</v>
      </c>
      <c r="T199" s="8">
        <f t="shared" si="97"/>
        <v>269</v>
      </c>
    </row>
    <row r="200" spans="1:20" ht="31.2" x14ac:dyDescent="0.3">
      <c r="A200" s="3" t="s">
        <v>476</v>
      </c>
      <c r="B200" s="4">
        <v>1</v>
      </c>
      <c r="C200" s="5">
        <v>469</v>
      </c>
      <c r="D200" s="6">
        <f t="shared" si="94"/>
        <v>0.36247334754797444</v>
      </c>
      <c r="E200" s="7">
        <v>0</v>
      </c>
      <c r="F200" s="7">
        <v>299</v>
      </c>
      <c r="G200" s="8">
        <f t="shared" si="95"/>
        <v>299</v>
      </c>
      <c r="H200" s="7">
        <v>0</v>
      </c>
      <c r="I200" s="7">
        <v>0</v>
      </c>
      <c r="J200" s="9">
        <v>45657</v>
      </c>
      <c r="K200" s="9"/>
      <c r="L200" s="5"/>
      <c r="M200" s="7">
        <v>20.32</v>
      </c>
      <c r="N200" s="5"/>
      <c r="O200" s="11">
        <v>0</v>
      </c>
      <c r="P200" s="4">
        <v>1</v>
      </c>
      <c r="Q200" s="8">
        <f t="shared" si="96"/>
        <v>299</v>
      </c>
      <c r="R200" s="12" t="s">
        <v>455</v>
      </c>
      <c r="T200" s="8">
        <f t="shared" si="97"/>
        <v>299</v>
      </c>
    </row>
    <row r="201" spans="1:20" ht="31.2" x14ac:dyDescent="0.3">
      <c r="A201" s="3" t="s">
        <v>467</v>
      </c>
      <c r="B201" s="4">
        <v>1</v>
      </c>
      <c r="C201" s="5">
        <v>149</v>
      </c>
      <c r="D201" s="6">
        <f t="shared" si="94"/>
        <v>0.32214765100671144</v>
      </c>
      <c r="E201" s="7">
        <v>0</v>
      </c>
      <c r="F201" s="7">
        <v>101</v>
      </c>
      <c r="G201" s="8">
        <f t="shared" si="95"/>
        <v>101</v>
      </c>
      <c r="H201" s="7">
        <v>0</v>
      </c>
      <c r="I201" s="7">
        <v>0</v>
      </c>
      <c r="J201" s="9">
        <v>45657</v>
      </c>
      <c r="K201" s="9"/>
      <c r="L201" s="5"/>
      <c r="M201" s="7">
        <v>20.32</v>
      </c>
      <c r="N201" s="5"/>
      <c r="O201" s="11">
        <v>0</v>
      </c>
      <c r="P201" s="4">
        <v>1</v>
      </c>
      <c r="Q201" s="8">
        <f t="shared" si="96"/>
        <v>101</v>
      </c>
      <c r="R201" s="12" t="s">
        <v>466</v>
      </c>
      <c r="T201" s="8">
        <f t="shared" si="97"/>
        <v>101</v>
      </c>
    </row>
    <row r="202" spans="1:20" ht="31.2" x14ac:dyDescent="0.3">
      <c r="A202" s="3" t="s">
        <v>469</v>
      </c>
      <c r="B202" s="4">
        <v>1</v>
      </c>
      <c r="C202" s="5">
        <v>996</v>
      </c>
      <c r="D202" s="6">
        <f t="shared" si="94"/>
        <v>0.7</v>
      </c>
      <c r="E202" s="7">
        <v>0</v>
      </c>
      <c r="F202" s="7">
        <v>298.8</v>
      </c>
      <c r="G202" s="8">
        <f t="shared" si="95"/>
        <v>298.8</v>
      </c>
      <c r="H202" s="7">
        <v>0</v>
      </c>
      <c r="I202" s="7">
        <v>0</v>
      </c>
      <c r="J202" s="9">
        <v>45657</v>
      </c>
      <c r="K202" s="9"/>
      <c r="L202" s="5"/>
      <c r="M202" s="7">
        <v>20.32</v>
      </c>
      <c r="N202" s="5"/>
      <c r="O202" s="11">
        <v>0</v>
      </c>
      <c r="P202" s="4">
        <v>1</v>
      </c>
      <c r="Q202" s="8">
        <f t="shared" si="96"/>
        <v>298.8</v>
      </c>
      <c r="R202" s="12" t="s">
        <v>468</v>
      </c>
      <c r="T202" s="8">
        <f t="shared" si="97"/>
        <v>298.8</v>
      </c>
    </row>
    <row r="203" spans="1:20" ht="31.2" x14ac:dyDescent="0.3">
      <c r="A203" s="3" t="s">
        <v>478</v>
      </c>
      <c r="B203" s="4">
        <v>1</v>
      </c>
      <c r="C203" s="5">
        <v>329</v>
      </c>
      <c r="D203" s="6">
        <f t="shared" ref="D203:D205" si="98">(((C203-F203)*100)/C203)/100</f>
        <v>0.48632218844984804</v>
      </c>
      <c r="E203" s="7">
        <v>0</v>
      </c>
      <c r="F203" s="7">
        <v>169</v>
      </c>
      <c r="G203" s="8">
        <f t="shared" ref="G203:G205" si="99">B203*F203</f>
        <v>169</v>
      </c>
      <c r="H203" s="7">
        <v>0</v>
      </c>
      <c r="I203" s="7">
        <v>0</v>
      </c>
      <c r="J203" s="9">
        <v>45657</v>
      </c>
      <c r="K203" s="9"/>
      <c r="L203" s="5"/>
      <c r="M203" s="7">
        <v>20.32</v>
      </c>
      <c r="N203" s="5"/>
      <c r="O203" s="11">
        <v>0</v>
      </c>
      <c r="P203" s="4">
        <v>1</v>
      </c>
      <c r="Q203" s="8">
        <f t="shared" ref="Q203:Q205" si="100">F203+(I203/B203)-(O203/B203)</f>
        <v>169</v>
      </c>
      <c r="R203" s="12" t="s">
        <v>477</v>
      </c>
      <c r="T203" s="8">
        <f t="shared" ref="T203:T205" si="101">B203*Q203</f>
        <v>169</v>
      </c>
    </row>
    <row r="204" spans="1:20" ht="31.2" x14ac:dyDescent="0.3">
      <c r="A204" s="3" t="s">
        <v>471</v>
      </c>
      <c r="B204" s="4">
        <v>1</v>
      </c>
      <c r="C204" s="5">
        <v>169</v>
      </c>
      <c r="D204" s="6">
        <f t="shared" si="98"/>
        <v>0.4023668639053255</v>
      </c>
      <c r="E204" s="7">
        <v>0</v>
      </c>
      <c r="F204" s="7">
        <v>101</v>
      </c>
      <c r="G204" s="8">
        <f t="shared" si="99"/>
        <v>101</v>
      </c>
      <c r="H204" s="7">
        <v>0</v>
      </c>
      <c r="I204" s="7">
        <v>0</v>
      </c>
      <c r="J204" s="9">
        <v>45657</v>
      </c>
      <c r="K204" s="9"/>
      <c r="L204" s="5"/>
      <c r="M204" s="7">
        <v>20.32</v>
      </c>
      <c r="N204" s="5"/>
      <c r="O204" s="11">
        <v>0</v>
      </c>
      <c r="P204" s="4">
        <v>1</v>
      </c>
      <c r="Q204" s="8">
        <f t="shared" si="100"/>
        <v>101</v>
      </c>
      <c r="R204" s="12" t="s">
        <v>470</v>
      </c>
      <c r="T204" s="8">
        <f t="shared" si="101"/>
        <v>101</v>
      </c>
    </row>
    <row r="205" spans="1:20" ht="31.2" x14ac:dyDescent="0.3">
      <c r="A205" s="3" t="s">
        <v>473</v>
      </c>
      <c r="B205" s="4">
        <v>1</v>
      </c>
      <c r="C205" s="5">
        <v>499</v>
      </c>
      <c r="D205" s="6">
        <f t="shared" si="98"/>
        <v>0.60120240480961928</v>
      </c>
      <c r="E205" s="7">
        <v>0</v>
      </c>
      <c r="F205" s="7">
        <v>199</v>
      </c>
      <c r="G205" s="8">
        <f t="shared" si="99"/>
        <v>199</v>
      </c>
      <c r="H205" s="7">
        <v>0</v>
      </c>
      <c r="I205" s="7">
        <v>0</v>
      </c>
      <c r="J205" s="9">
        <v>45657</v>
      </c>
      <c r="K205" s="9"/>
      <c r="L205" s="5"/>
      <c r="M205" s="7">
        <v>20.32</v>
      </c>
      <c r="N205" s="5"/>
      <c r="O205" s="11">
        <v>0</v>
      </c>
      <c r="P205" s="4">
        <v>1</v>
      </c>
      <c r="Q205" s="8">
        <f t="shared" si="100"/>
        <v>199</v>
      </c>
      <c r="R205" s="12" t="s">
        <v>472</v>
      </c>
      <c r="T205" s="8">
        <f t="shared" si="101"/>
        <v>199</v>
      </c>
    </row>
  </sheetData>
  <hyperlinks>
    <hyperlink ref="R6" r:id="rId1" xr:uid="{66675327-4623-49FF-AA6E-76CFB7DD7A4D}"/>
    <hyperlink ref="R7" r:id="rId2" xr:uid="{D95B0205-0238-4A76-89B3-C4AEA2D981C9}"/>
    <hyperlink ref="R8" r:id="rId3" xr:uid="{E5991535-F2BB-4966-AC29-C7807F659D93}"/>
    <hyperlink ref="R9" r:id="rId4" xr:uid="{95B9FF1B-ECD8-4727-9206-92BC386D18E7}"/>
    <hyperlink ref="R10" r:id="rId5" xr:uid="{10A1D894-01BB-4BE8-AF57-0E28CE60A64E}"/>
    <hyperlink ref="R11" r:id="rId6" xr:uid="{A0159CD3-AD52-4F4A-8BBA-3079B102FD1B}"/>
    <hyperlink ref="R13" r:id="rId7" xr:uid="{C17C17C8-51C0-42D2-9C5F-3F476013D6BE}"/>
    <hyperlink ref="R15" r:id="rId8" xr:uid="{2301EA1D-AD69-4389-B93B-9E2DFA87313D}"/>
    <hyperlink ref="R16" r:id="rId9" xr:uid="{2CF43CE5-8DB3-480A-B0D0-3F4491080FF4}"/>
    <hyperlink ref="R17" r:id="rId10" xr:uid="{ABE21513-F539-42CB-8948-F86AE1B84D86}"/>
    <hyperlink ref="R18" r:id="rId11" xr:uid="{0870547A-C892-413C-A64B-DF6497063175}"/>
    <hyperlink ref="R19" r:id="rId12" xr:uid="{C14861A1-8CD4-4F8E-AB57-C72B8B7D16DD}"/>
    <hyperlink ref="R21" r:id="rId13" xr:uid="{FEE44355-EC71-4CFE-BFDF-D6782BEB5A0F}"/>
    <hyperlink ref="R23" r:id="rId14" xr:uid="{94DA81A0-A2F5-465E-9751-6CBC59DEEF62}"/>
    <hyperlink ref="R24" r:id="rId15" xr:uid="{F8A71FC3-B9CC-4F3B-AE41-BF02C62BB308}"/>
    <hyperlink ref="R25" r:id="rId16" xr:uid="{E4461CD5-98A4-4566-9CB6-64430BA66693}"/>
    <hyperlink ref="R14" r:id="rId17" xr:uid="{1CEE7656-B2E8-418A-B5F2-8C0D2331ABE5}"/>
    <hyperlink ref="R5" r:id="rId18" xr:uid="{5694A516-5560-47F9-B837-461DBCB0A90A}"/>
    <hyperlink ref="R28" r:id="rId19" xr:uid="{DCA38857-849E-457B-8FE5-BA0EA5E46C8D}"/>
    <hyperlink ref="R29" r:id="rId20" xr:uid="{14BA943A-55E1-482C-84DD-CEC4CC2D70DE}"/>
    <hyperlink ref="R31" r:id="rId21" xr:uid="{74996602-C2C9-4367-B093-3239D95A1F65}"/>
    <hyperlink ref="R32" r:id="rId22" xr:uid="{1AB169C5-2070-431D-80EC-562E77E18C16}"/>
    <hyperlink ref="R33" r:id="rId23" xr:uid="{6F2B93B2-C3D9-4FFB-8692-F69E0AD20B2D}"/>
    <hyperlink ref="R34" r:id="rId24" xr:uid="{F89C1CC2-410F-4F48-A19A-8A42DE1AEDEA}"/>
    <hyperlink ref="R35" r:id="rId25" xr:uid="{B8FE755E-29E0-482B-9AC1-BC54760096BF}"/>
    <hyperlink ref="R36" r:id="rId26" xr:uid="{91C26E97-BF73-4C6E-B491-986E31A24C0A}"/>
    <hyperlink ref="R37" r:id="rId27" xr:uid="{6BF60E6C-0634-48BF-90EA-7943BE49A96C}"/>
    <hyperlink ref="R38" r:id="rId28" xr:uid="{3CE38B81-36D8-4279-BDAB-89C48E641AD6}"/>
    <hyperlink ref="R40" r:id="rId29" xr:uid="{BDD7B275-19E5-4C81-ABA3-A8AFEA48E4F0}"/>
    <hyperlink ref="R41" r:id="rId30" xr:uid="{97D90912-B9C0-4DC7-83A7-CBB3CD0AD3CE}"/>
    <hyperlink ref="R62" r:id="rId31" xr:uid="{DE2B8F9D-61D4-4B0A-888C-9248A022D517}"/>
    <hyperlink ref="R61" r:id="rId32" xr:uid="{3D9174BB-A9FD-487D-B3E0-7D51829F7B23}"/>
    <hyperlink ref="R63" r:id="rId33" xr:uid="{8DD62681-E81F-457B-8EB8-4B2B1ABDB3FF}"/>
    <hyperlink ref="R64" r:id="rId34" xr:uid="{FFCDC56E-1310-41B7-B1FD-03D9C5794118}"/>
    <hyperlink ref="R65" r:id="rId35" xr:uid="{B9AC1985-4E2F-4D16-AD0D-1CD411332DEB}"/>
    <hyperlink ref="R67" r:id="rId36" xr:uid="{3EAC1BE3-18B6-410C-85A6-1991B507FEBD}"/>
    <hyperlink ref="R68" r:id="rId37" xr:uid="{8334BF33-765C-45AA-85CD-54B2DA3D8CC8}"/>
    <hyperlink ref="R69" r:id="rId38" xr:uid="{34B77649-B59C-4D19-BB87-67547BA28EC2}"/>
    <hyperlink ref="R73" r:id="rId39" xr:uid="{E8A16C22-ED49-47D8-AD5E-F077F0FC2B2E}"/>
    <hyperlink ref="R76" r:id="rId40" xr:uid="{6E5743A6-18C8-49C8-BF01-28C76C66A3FF}"/>
    <hyperlink ref="R79" r:id="rId41" xr:uid="{DB322914-A69A-45EE-A030-F1BD07032BD0}"/>
    <hyperlink ref="R80" r:id="rId42" xr:uid="{0DA012F3-7193-4F68-9B3F-0C604805F493}"/>
    <hyperlink ref="R82" r:id="rId43" xr:uid="{4D7A3E5B-92C3-4E07-AF32-46F63EFB3479}"/>
    <hyperlink ref="R86" r:id="rId44" xr:uid="{10780E59-437B-49AA-AD4C-4782D6F9A8DD}"/>
    <hyperlink ref="R88" r:id="rId45" xr:uid="{FC48E8F5-B789-410F-A11E-0CE0BFE31D5C}"/>
    <hyperlink ref="R89" r:id="rId46" xr:uid="{7EC83216-89E4-47CA-828E-E9D0B7D56F60}"/>
    <hyperlink ref="R90" r:id="rId47" xr:uid="{8A684FDB-24BE-4462-8128-1F09CDF7C6A2}"/>
    <hyperlink ref="R102" r:id="rId48" xr:uid="{BA4BCBF4-7E81-4F4D-98B7-6B3ABF689970}"/>
    <hyperlink ref="R103" r:id="rId49" xr:uid="{E52D11ED-BF6C-4ABE-A890-1BA415921489}"/>
    <hyperlink ref="R104" r:id="rId50" xr:uid="{E0500497-796F-430E-ACA4-50E6E56A3782}"/>
    <hyperlink ref="R105" r:id="rId51" xr:uid="{A0B931C4-8C6A-487B-97F6-74E2C011223C}"/>
    <hyperlink ref="R106" r:id="rId52" xr:uid="{694A0EA4-68E8-4FDB-A36C-A101DE5DC44B}"/>
    <hyperlink ref="R107" r:id="rId53" xr:uid="{CA3E6400-17FB-4271-A2B6-AF3A2144427E}"/>
    <hyperlink ref="R108" r:id="rId54" xr:uid="{E01A7808-4069-4347-B78B-5EB177267A83}"/>
    <hyperlink ref="R109" r:id="rId55" xr:uid="{92700260-ECD6-4684-A9CA-622069B70921}"/>
    <hyperlink ref="R110" r:id="rId56" xr:uid="{3A1EC1F9-445E-476A-970A-F758CDD46F1A}"/>
    <hyperlink ref="R111" r:id="rId57" xr:uid="{7058A2FB-1008-458D-8475-890D3124557D}"/>
    <hyperlink ref="R112" r:id="rId58" xr:uid="{6E174B71-23EC-46DA-9884-D9F929CB04D1}"/>
    <hyperlink ref="R113" r:id="rId59" xr:uid="{66E1DC8B-249F-4B8A-8F03-033DE5F1B8D3}"/>
    <hyperlink ref="R114" r:id="rId60" xr:uid="{1BC462D9-C55D-400E-B9EC-F200C2553DB9}"/>
    <hyperlink ref="R115" r:id="rId61" xr:uid="{7F838A4D-C996-4085-8DE6-E606166F600B}"/>
    <hyperlink ref="R116" r:id="rId62" xr:uid="{F1CCD12B-D28C-46EB-8803-C443451FC091}"/>
    <hyperlink ref="R119" r:id="rId63" xr:uid="{B7085EB6-87E7-4E2F-90F6-D69E94D12FA7}"/>
    <hyperlink ref="R91" r:id="rId64" xr:uid="{60A9DD70-919E-4FB9-A20C-5BECFAB7C2F2}"/>
    <hyperlink ref="R92" r:id="rId65" xr:uid="{06E6334C-DADA-4F5A-88A9-A235EC72F3F7}"/>
    <hyperlink ref="R93" r:id="rId66" xr:uid="{118FFEFF-42AB-4F2A-836D-FDFDE31B8DA0}"/>
    <hyperlink ref="R94" r:id="rId67" xr:uid="{F7FD50A2-FF3D-45C7-B397-30758EEA75CB}"/>
    <hyperlink ref="R95" r:id="rId68" xr:uid="{250182B0-7CB1-4496-B2CB-CC44CE8ACCB5}"/>
    <hyperlink ref="R96" r:id="rId69" xr:uid="{9DE31217-D566-4B8C-8EF3-731CAB723009}"/>
    <hyperlink ref="R97" r:id="rId70" xr:uid="{6598FD01-2630-4EF4-8944-BEC09EFAA68C}"/>
    <hyperlink ref="R120" r:id="rId71" xr:uid="{D0729CD7-5113-460F-A1BA-1E0D933809FD}"/>
    <hyperlink ref="R121" r:id="rId72" xr:uid="{9D11B852-1D69-4959-BC88-1EEC7B53D8AB}"/>
    <hyperlink ref="R122" r:id="rId73" xr:uid="{542CB801-799F-43D3-A3F2-D9CD62D736CC}"/>
    <hyperlink ref="R42" r:id="rId74" xr:uid="{2D4778F5-5818-4612-8F2A-5A949C8D058D}"/>
    <hyperlink ref="R43" r:id="rId75" xr:uid="{43D181E4-98F8-4F21-8E12-E867AB458E5E}"/>
    <hyperlink ref="R44" r:id="rId76" xr:uid="{92B24B2F-E7D5-44C1-8E63-20810A6995AE}"/>
    <hyperlink ref="R45" r:id="rId77" xr:uid="{6ED21BCE-B3F8-49D6-9923-C0CF395DFC75}"/>
    <hyperlink ref="R46" r:id="rId78" xr:uid="{8F508553-A865-4E75-A69A-C2477EDD966A}"/>
    <hyperlink ref="R47" r:id="rId79" xr:uid="{AB6BD062-EBE0-46F0-A3C8-720238B83AD0}"/>
    <hyperlink ref="R48" r:id="rId80" xr:uid="{38067243-C124-4747-BB78-08160DDB6BB2}"/>
    <hyperlink ref="R49" r:id="rId81" xr:uid="{486981E3-861F-4612-A79E-BF49A6C7871D}"/>
    <hyperlink ref="R50" r:id="rId82" xr:uid="{62BC9C54-5C47-4FE7-B4A7-61DD7413A985}"/>
    <hyperlink ref="R51" r:id="rId83" xr:uid="{C02D8E0E-67EB-478D-9F93-1CC5DB3F5E87}"/>
    <hyperlink ref="R52" r:id="rId84" xr:uid="{15EFB9FF-4C1C-45B1-8DED-C328248C90E2}"/>
    <hyperlink ref="R53" r:id="rId85" xr:uid="{D448B281-7F89-4E13-9448-47003238597B}"/>
    <hyperlink ref="R54" r:id="rId86" xr:uid="{E527CB04-319B-4175-B2A9-965D7F33A112}"/>
    <hyperlink ref="R55" r:id="rId87" xr:uid="{CA692380-5A10-4A0B-8759-486BBA27507C}"/>
    <hyperlink ref="R56" r:id="rId88" xr:uid="{9469A5AD-E946-4320-85A8-48A49483E6B5}"/>
    <hyperlink ref="R57" r:id="rId89" xr:uid="{55BEAB6C-EEFA-4A93-857F-37EBA6CD86F4}"/>
    <hyperlink ref="R58" r:id="rId90" xr:uid="{0459B3DB-87D5-4525-8D73-F8D7EE9F16F9}"/>
    <hyperlink ref="R59" r:id="rId91" xr:uid="{F835943B-E251-4E06-9EAA-0BD3EDE79B61}"/>
    <hyperlink ref="R60" r:id="rId92" xr:uid="{FE14939D-1D9A-4CDA-97C1-28C6EEE6A961}"/>
    <hyperlink ref="R98" r:id="rId93" xr:uid="{28D53F58-2CF5-4C69-96CA-5B40D0827A6F}"/>
    <hyperlink ref="R99" r:id="rId94" xr:uid="{B9E12502-38BE-42F3-9482-4770C207A097}"/>
    <hyperlink ref="R100" r:id="rId95" xr:uid="{84C05C5A-A7E9-48F9-914D-70B1E254D9AD}"/>
    <hyperlink ref="R101" r:id="rId96" xr:uid="{6ADB54F1-4B83-493B-BF6A-19D2319B58E2}"/>
    <hyperlink ref="R123" r:id="rId97" xr:uid="{46079769-9326-453D-B5B8-FF86FF692A65}"/>
    <hyperlink ref="R124" r:id="rId98" xr:uid="{2D32EC2E-5B01-41EE-9583-B39865B6DE2E}"/>
    <hyperlink ref="R125" r:id="rId99" xr:uid="{66203170-CFDD-44C8-8799-B73DD5DB22A1}"/>
    <hyperlink ref="R126" r:id="rId100" xr:uid="{A6D313FC-C3DD-42DF-B3F8-8286B627F859}"/>
    <hyperlink ref="R127" r:id="rId101" xr:uid="{E8AF7A04-9237-43E4-B004-AA0D2B09F7EC}"/>
    <hyperlink ref="R128" r:id="rId102" xr:uid="{C85CA7DC-A192-4C8A-9643-C8A475D62F55}"/>
    <hyperlink ref="R129" r:id="rId103" xr:uid="{47B6DC15-28C1-4773-BBCD-D7AA62F21AAE}"/>
    <hyperlink ref="R130" r:id="rId104" xr:uid="{86A8A53B-2730-4088-9F02-CD3D8BB5B825}"/>
    <hyperlink ref="R131" r:id="rId105" xr:uid="{40550869-86D0-42D6-9482-A23548647032}"/>
    <hyperlink ref="R132" r:id="rId106" xr:uid="{1E7885D9-E30F-4856-92CB-64AF1EC8E182}"/>
    <hyperlink ref="R133" r:id="rId107" xr:uid="{873B03C6-8A14-46AB-87A3-B581E447BD67}"/>
    <hyperlink ref="R134" r:id="rId108" xr:uid="{DC2A3A10-44ED-4BE3-A5F3-077A59B73F4A}"/>
    <hyperlink ref="R135" r:id="rId109" xr:uid="{91ADAE13-2899-4303-BA05-A871D50045CB}"/>
    <hyperlink ref="R136" r:id="rId110" xr:uid="{8EE8C95A-E7D9-4459-B5E0-A00539385254}"/>
    <hyperlink ref="R137" r:id="rId111" xr:uid="{5D187882-8A17-4516-8E6B-1D8EE5904898}"/>
    <hyperlink ref="R138" r:id="rId112" xr:uid="{2DEA72BF-958B-4A77-A949-9142193F446F}"/>
    <hyperlink ref="R139" r:id="rId113" xr:uid="{2AA6BEAF-D352-4A19-B159-31CDBCD89839}"/>
    <hyperlink ref="R140" r:id="rId114" xr:uid="{F9E92A6A-3C15-41E3-9690-7B744C2237FC}"/>
    <hyperlink ref="R142" r:id="rId115" xr:uid="{D1806448-0C59-4417-8FD0-C5878B7AB40A}"/>
    <hyperlink ref="R144" r:id="rId116" xr:uid="{79645FE1-6465-4005-BDF6-2CE853526C59}"/>
    <hyperlink ref="R145" r:id="rId117" xr:uid="{5CB76DD5-E093-4E78-940C-187819569512}"/>
    <hyperlink ref="R146" r:id="rId118" xr:uid="{7ACF5557-2F9E-4ECC-83F5-C34517C3ED22}"/>
    <hyperlink ref="R149" r:id="rId119" xr:uid="{B5CC9E65-A391-4E34-8CA6-BC7BF12A0897}"/>
    <hyperlink ref="R150" r:id="rId120" xr:uid="{813CB4AC-244D-4B2F-9118-7E63B24948F5}"/>
    <hyperlink ref="R151" r:id="rId121" xr:uid="{78554D08-7D45-4EFB-9004-7234F28A534E}"/>
    <hyperlink ref="R153" r:id="rId122" xr:uid="{3516B016-7CF4-4BD1-B300-CDEE56CD94EB}"/>
    <hyperlink ref="R154" r:id="rId123" xr:uid="{2B66D51B-8928-4851-8957-BE63B70649B8}"/>
    <hyperlink ref="R155" r:id="rId124" xr:uid="{A426A473-FE2F-4A51-8D8C-D2BC528CBC78}"/>
    <hyperlink ref="R156" r:id="rId125" xr:uid="{1EFE043C-39DB-428B-9E01-3EC09A072E7B}"/>
    <hyperlink ref="R157" r:id="rId126" xr:uid="{687F7E10-0F7E-4DC8-8AF5-232B0BF3BD2C}"/>
    <hyperlink ref="R158" r:id="rId127" xr:uid="{14EE35A8-0304-4E0B-B6A6-6BEFD08CD9A7}"/>
    <hyperlink ref="R159" r:id="rId128" xr:uid="{DAA449DC-A6C7-4862-991F-2A2968898C86}"/>
    <hyperlink ref="R147" r:id="rId129" xr:uid="{5DA047AE-A8D2-4AE7-AED7-AD42D90C0573}"/>
    <hyperlink ref="R148" r:id="rId130" xr:uid="{0A170DF0-65E2-42AD-8573-92879CD02CB9}"/>
    <hyperlink ref="R161" r:id="rId131" xr:uid="{07AB2D9E-754B-44DE-BA6B-EB7498317173}"/>
    <hyperlink ref="R163" r:id="rId132" xr:uid="{D85581EB-B7D0-4E3A-8E94-F2D9195B9767}"/>
    <hyperlink ref="R164" r:id="rId133" xr:uid="{073C1AA9-C0F0-4F3D-947E-243C88FB0D5C}"/>
    <hyperlink ref="R165" r:id="rId134" xr:uid="{8B9A63D4-66E0-4A54-8532-EC6A8CA4D1BE}"/>
    <hyperlink ref="R166" r:id="rId135" xr:uid="{EB805A4C-D1B9-483B-A14F-484E19A311B0}"/>
    <hyperlink ref="R167" r:id="rId136" xr:uid="{8097AFDE-267E-459B-B1EB-C83CF331EC3D}"/>
    <hyperlink ref="R168" r:id="rId137" xr:uid="{2F0634CA-FC60-4466-8B54-0973C8987CCC}"/>
    <hyperlink ref="R169" r:id="rId138" xr:uid="{2001C2A9-6894-4AAC-BD31-ED1161809838}"/>
    <hyperlink ref="R170" r:id="rId139" xr:uid="{46672139-B7E2-43BC-82AD-C6BC8DDAF68B}"/>
    <hyperlink ref="R171" r:id="rId140" xr:uid="{0EFA8F93-D8FF-4AC8-827A-1879DA357AD3}"/>
    <hyperlink ref="R66" r:id="rId141" xr:uid="{373DFA75-CC61-48BD-BD08-5C19203B28E6}"/>
    <hyperlink ref="R77" r:id="rId142" xr:uid="{2A92A8B9-1228-4A88-AAD7-85F2E38854C1}"/>
    <hyperlink ref="R117" r:id="rId143" xr:uid="{F032E6F2-6C75-4387-BBE5-A11E0C2A3874}"/>
    <hyperlink ref="R81" r:id="rId144" xr:uid="{293302B7-32FC-4451-9567-6E0F7FD75A1C}"/>
    <hyperlink ref="R172" r:id="rId145" xr:uid="{A36D0B3D-7A83-4BC6-B6CE-3708BD758C7A}"/>
    <hyperlink ref="R174" r:id="rId146" xr:uid="{3918E7B7-F77D-4C83-9A22-BBF0885FD257}"/>
    <hyperlink ref="R176" r:id="rId147" xr:uid="{F79F9FBB-C0E0-4F01-AB98-DBD1D0DFB827}"/>
    <hyperlink ref="R177" r:id="rId148" xr:uid="{E3555223-F5CF-4C44-BE6C-8EF874538AB7}"/>
    <hyperlink ref="R178" r:id="rId149" xr:uid="{4858AD0E-AC21-4360-855E-663839831CF4}"/>
    <hyperlink ref="R179" r:id="rId150" xr:uid="{75F8752B-D276-47FA-95D0-FDCE29BD7687}"/>
    <hyperlink ref="R180" r:id="rId151" xr:uid="{FD1E70C6-627A-499B-9DC6-8B94DF0FB0BE}"/>
    <hyperlink ref="R181" r:id="rId152" xr:uid="{AAA1D978-BD42-48C9-9A6A-869A617EA8CD}"/>
    <hyperlink ref="R12" r:id="rId153" xr:uid="{075AD570-9D03-DE4D-B842-29B8024B39EB}"/>
    <hyperlink ref="R182" r:id="rId154" xr:uid="{51A3A463-251F-3F48-8362-228EDE5C3FA6}"/>
    <hyperlink ref="R183" r:id="rId155" xr:uid="{12A18192-007A-FF4E-9ADE-A01640A8BBC8}"/>
    <hyperlink ref="R184" r:id="rId156" xr:uid="{27CDD689-AEBD-FC47-92A0-717BFD42C648}"/>
    <hyperlink ref="R185" r:id="rId157" xr:uid="{C233DE8B-5F4A-3C43-8EF7-468CB83B9641}"/>
    <hyperlink ref="R186" r:id="rId158" xr:uid="{6C7C4A9A-A209-D44A-A215-08AA9912B19C}"/>
    <hyperlink ref="R187" r:id="rId159" xr:uid="{FB54F387-8C2A-6444-90AE-2865E3B8E9C3}"/>
    <hyperlink ref="R188" r:id="rId160" xr:uid="{D4C6EF46-D69A-CC45-BD51-D6528658D7FD}"/>
    <hyperlink ref="R189" r:id="rId161" xr:uid="{783225CD-A4C6-8B4E-9D9D-CC0A6E6DFD38}"/>
    <hyperlink ref="R190" r:id="rId162" xr:uid="{4B1BAC55-2129-1949-9E57-2D42FFBEB579}"/>
    <hyperlink ref="R191" r:id="rId163" xr:uid="{7D8296D9-1759-CB4A-9738-66DD638FC1D2}"/>
    <hyperlink ref="R192" r:id="rId164" xr:uid="{EA18F921-D284-F445-8F41-14B740393F15}"/>
    <hyperlink ref="R193" r:id="rId165" xr:uid="{EC4445B5-D77C-F244-B2F6-0BFD506F8F88}"/>
    <hyperlink ref="R194" r:id="rId166" xr:uid="{4A181840-294B-1341-B106-C1C21C1635DD}"/>
    <hyperlink ref="R195" r:id="rId167" xr:uid="{5E79B72A-FB89-5848-87F3-A9F92A31B10E}"/>
    <hyperlink ref="R196" r:id="rId168" xr:uid="{97492974-6E55-B745-BD64-80C108CD6F42}"/>
    <hyperlink ref="R197" r:id="rId169" xr:uid="{A23A709F-3AC1-134A-93AF-8119DFBB6448}"/>
    <hyperlink ref="R198" r:id="rId170" xr:uid="{836B775F-7204-EA4F-98EC-28BBC68CE8FE}"/>
    <hyperlink ref="R199" r:id="rId171" xr:uid="{F5A70B10-913F-8B40-B876-5FA6D2387A5B}"/>
    <hyperlink ref="R200" r:id="rId172" xr:uid="{48C7E670-FC1C-E54D-B579-78D811A11378}"/>
    <hyperlink ref="R201" r:id="rId173" xr:uid="{CFED2880-4C2E-418A-A87D-73768601BE3E}"/>
    <hyperlink ref="R202" r:id="rId174" xr:uid="{9E7D13EF-EA8E-4BD0-9CBA-3BC91CB955A8}"/>
    <hyperlink ref="R204" r:id="rId175" xr:uid="{91217500-7646-468B-B2FD-47C226318A04}"/>
    <hyperlink ref="R205" r:id="rId176" xr:uid="{7E7E4B74-13E9-418F-8B6B-EB9A2E7EE71D}"/>
    <hyperlink ref="R203" r:id="rId177" xr:uid="{EBF13215-8BEF-4ED3-A019-F793A3FFADB4}"/>
  </hyperlinks>
  <pageMargins left="0.7" right="0.7" top="0.75" bottom="0.75" header="0.3" footer="0.3"/>
  <picture r:id="rId1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5"/>
  <sheetViews>
    <sheetView tabSelected="1"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19921875" style="19" bestFit="1" customWidth="1"/>
    <col min="2" max="2" width="44.796875" style="19" customWidth="1"/>
    <col min="3" max="4" width="13.5" style="19" bestFit="1" customWidth="1"/>
    <col min="5" max="5" width="13.19921875" style="19" bestFit="1" customWidth="1"/>
    <col min="6" max="6" width="16" style="19" bestFit="1" customWidth="1"/>
    <col min="7" max="7" width="9.69921875" style="19" bestFit="1" customWidth="1"/>
    <col min="8" max="8" width="11.296875" style="19" bestFit="1" customWidth="1"/>
    <col min="9" max="9" width="8.5" style="19" bestFit="1" customWidth="1"/>
    <col min="10" max="10" width="8.5" style="19" customWidth="1"/>
    <col min="11" max="11" width="12.69921875" style="19" bestFit="1" customWidth="1"/>
    <col min="12" max="12" width="12.796875" style="19" bestFit="1" customWidth="1"/>
    <col min="13" max="13" width="9.296875" style="19" bestFit="1" customWidth="1"/>
    <col min="14" max="16384" width="10.69921875" style="19"/>
  </cols>
  <sheetData>
    <row r="1" spans="1:13" x14ac:dyDescent="0.3">
      <c r="A1" s="10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29</v>
      </c>
      <c r="K1" s="1" t="s">
        <v>25</v>
      </c>
      <c r="L1" s="1" t="s">
        <v>26</v>
      </c>
      <c r="M1" s="1" t="s">
        <v>27</v>
      </c>
    </row>
    <row r="2" spans="1:13" ht="31.2" x14ac:dyDescent="0.3">
      <c r="A2" s="20">
        <v>2</v>
      </c>
      <c r="B2" s="3" t="str">
        <f>Compras!A2</f>
        <v>Base luz LED para arte de Cristal en 3D, soporte cuadrado Iluminado con luces de colores</v>
      </c>
      <c r="C2" s="3" t="s">
        <v>61</v>
      </c>
      <c r="D2" s="3" t="s">
        <v>66</v>
      </c>
      <c r="E2" s="15">
        <f>Compras!C2</f>
        <v>199.96</v>
      </c>
      <c r="F2" s="6">
        <f>Compras!D2</f>
        <v>8.7334133493365371E-2</v>
      </c>
      <c r="G2" s="4">
        <f>Compras!B2</f>
        <v>1</v>
      </c>
      <c r="H2" s="15">
        <f>Compras!Q2</f>
        <v>182.49666666666667</v>
      </c>
      <c r="I2" s="4">
        <f>Compras!P2</f>
        <v>1</v>
      </c>
      <c r="J2" s="22" t="s">
        <v>29</v>
      </c>
      <c r="K2" s="16">
        <f t="shared" ref="K2:K65" si="0">M2* (IF(M2-H2&lt;100, IF(M2-H2&gt;80, 1.25, IF(M2-H2&gt;50, 1.5, 1.75)), IF(M2-H2&gt;150, 0.95, IF(M2-H2&gt;170, 0.9, 1))))</f>
        <v>327.15070833333334</v>
      </c>
      <c r="L2" s="17">
        <f t="shared" ref="L2:L65" si="1">(K2+M2)/2</f>
        <v>335.75993749999998</v>
      </c>
      <c r="M2" s="18">
        <f t="shared" ref="M2:M65" si="2">(H2/I2) * ( IF(E2&gt;H2, IF(E2-H2&gt;100, 1.25, IF(E2-H2&gt;50, 1.5, 1.75)), IF(H2-E2&gt;100, 1.25, IF(H2-E2&gt;50, 1.5, 1.75))) ) + 25</f>
        <v>344.36916666666667</v>
      </c>
    </row>
    <row r="3" spans="1:13" ht="31.2" x14ac:dyDescent="0.3">
      <c r="A3" s="20">
        <v>3</v>
      </c>
      <c r="B3" s="3" t="str">
        <f>Compras!A3</f>
        <v>Peluche en forma de unicornio, un regalo de cumpleaños para niños y niñas</v>
      </c>
      <c r="C3" s="3" t="s">
        <v>61</v>
      </c>
      <c r="D3" s="3" t="s">
        <v>28</v>
      </c>
      <c r="E3" s="15">
        <f>Compras!C3</f>
        <v>136.99</v>
      </c>
      <c r="F3" s="6">
        <f>Compras!D3</f>
        <v>0.33980582524271846</v>
      </c>
      <c r="G3" s="4">
        <f>Compras!B3</f>
        <v>1</v>
      </c>
      <c r="H3" s="15">
        <f>Compras!Q3</f>
        <v>90.44</v>
      </c>
      <c r="I3" s="4">
        <f>Compras!P3</f>
        <v>1</v>
      </c>
      <c r="J3" s="22" t="s">
        <v>29</v>
      </c>
      <c r="K3" s="16">
        <f t="shared" si="0"/>
        <v>229.08749999999998</v>
      </c>
      <c r="L3" s="17">
        <f t="shared" si="1"/>
        <v>206.17874999999998</v>
      </c>
      <c r="M3" s="18">
        <f t="shared" si="2"/>
        <v>183.26999999999998</v>
      </c>
    </row>
    <row r="4" spans="1:13" ht="31.2" x14ac:dyDescent="0.3">
      <c r="A4" s="20">
        <v>4</v>
      </c>
      <c r="B4" s="3" t="str">
        <f>Compras!A4</f>
        <v>Organizador de escritorio de madera - Soporte cuadrado para oficina, superficie lisa</v>
      </c>
      <c r="C4" s="3" t="s">
        <v>65</v>
      </c>
      <c r="D4" s="3" t="s">
        <v>288</v>
      </c>
      <c r="E4" s="15">
        <f>Compras!C4</f>
        <v>547.49</v>
      </c>
      <c r="F4" s="6">
        <f>Compras!D4</f>
        <v>0.33333333333333337</v>
      </c>
      <c r="G4" s="4">
        <f>Compras!B4</f>
        <v>1</v>
      </c>
      <c r="H4" s="15">
        <f>Compras!Q4</f>
        <v>364.99333333333334</v>
      </c>
      <c r="I4" s="4">
        <f>Compras!P4</f>
        <v>1</v>
      </c>
      <c r="J4" s="21" t="s">
        <v>29</v>
      </c>
      <c r="K4" s="16">
        <f t="shared" si="0"/>
        <v>481.24166666666667</v>
      </c>
      <c r="L4" s="17">
        <f t="shared" si="1"/>
        <v>481.24166666666667</v>
      </c>
      <c r="M4" s="18">
        <f t="shared" si="2"/>
        <v>481.24166666666667</v>
      </c>
    </row>
    <row r="5" spans="1:13" ht="31.2" x14ac:dyDescent="0.3">
      <c r="A5" s="20">
        <v>5</v>
      </c>
      <c r="B5" s="3" t="str">
        <f>Compras!A5</f>
        <v>Kuromi - Mochila de felpa, diseño Kawaii, Cinnamoroll &amp; My Melody</v>
      </c>
      <c r="C5" s="3" t="s">
        <v>38</v>
      </c>
      <c r="D5" s="3" t="s">
        <v>42</v>
      </c>
      <c r="E5" s="15">
        <f>Compras!C5</f>
        <v>217.84</v>
      </c>
      <c r="F5" s="6">
        <f>Compras!D5</f>
        <v>0.58483290488431872</v>
      </c>
      <c r="G5" s="4">
        <f>Compras!B5</f>
        <v>2</v>
      </c>
      <c r="H5" s="15">
        <f>Compras!Q5</f>
        <v>85.515000000000001</v>
      </c>
      <c r="I5" s="4">
        <f>Compras!P5</f>
        <v>1</v>
      </c>
      <c r="J5" s="22" t="s">
        <v>29</v>
      </c>
      <c r="K5" s="16">
        <f t="shared" si="0"/>
        <v>230.81406250000003</v>
      </c>
      <c r="L5" s="17">
        <f t="shared" si="1"/>
        <v>181.35390625000002</v>
      </c>
      <c r="M5" s="18">
        <f t="shared" si="2"/>
        <v>131.89375000000001</v>
      </c>
    </row>
    <row r="6" spans="1:13" ht="31.2" x14ac:dyDescent="0.3">
      <c r="A6" s="20">
        <v>6</v>
      </c>
      <c r="B6" s="3" t="str">
        <f>Compras!A6</f>
        <v>Mochila de peluche de Bingo y Bluey para niños, morral escolar</v>
      </c>
      <c r="C6" s="3" t="s">
        <v>39</v>
      </c>
      <c r="D6" s="3" t="s">
        <v>42</v>
      </c>
      <c r="E6" s="15">
        <f>Compras!C6</f>
        <v>243.18</v>
      </c>
      <c r="F6" s="6">
        <f>Compras!D6</f>
        <v>0.61115223291389098</v>
      </c>
      <c r="G6" s="4">
        <f>Compras!B6</f>
        <v>2</v>
      </c>
      <c r="H6" s="15">
        <f>Compras!Q6</f>
        <v>89.435000000000002</v>
      </c>
      <c r="I6" s="4">
        <f>Compras!P6</f>
        <v>1</v>
      </c>
      <c r="J6" s="22" t="s">
        <v>29</v>
      </c>
      <c r="K6" s="16">
        <f t="shared" si="0"/>
        <v>239.38906249999997</v>
      </c>
      <c r="L6" s="17">
        <f t="shared" si="1"/>
        <v>188.09140624999998</v>
      </c>
      <c r="M6" s="18">
        <f t="shared" si="2"/>
        <v>136.79374999999999</v>
      </c>
    </row>
    <row r="7" spans="1:13" ht="31.2" x14ac:dyDescent="0.3">
      <c r="A7" s="20">
        <v>7</v>
      </c>
      <c r="B7" s="3" t="str">
        <f>Compras!A7</f>
        <v>Sanrio-muñeco de peluche de Hello Kitty, 30cm de felpa suave juguete</v>
      </c>
      <c r="C7" s="3" t="s">
        <v>234</v>
      </c>
      <c r="D7" s="3" t="s">
        <v>28</v>
      </c>
      <c r="E7" s="15">
        <f>Compras!C7</f>
        <v>523.04999999999995</v>
      </c>
      <c r="F7" s="6">
        <f>Compras!D7</f>
        <v>0.75226077812828596</v>
      </c>
      <c r="G7" s="4">
        <f>Compras!B7</f>
        <v>1</v>
      </c>
      <c r="H7" s="15">
        <f>Compras!Q7</f>
        <v>122.53000000000002</v>
      </c>
      <c r="I7" s="4">
        <f>Compras!P7</f>
        <v>1</v>
      </c>
      <c r="J7" s="22" t="s">
        <v>29</v>
      </c>
      <c r="K7" s="16">
        <f t="shared" si="0"/>
        <v>267.24375000000003</v>
      </c>
      <c r="L7" s="17">
        <f t="shared" si="1"/>
        <v>222.70312500000003</v>
      </c>
      <c r="M7" s="18">
        <f t="shared" si="2"/>
        <v>178.16250000000002</v>
      </c>
    </row>
    <row r="8" spans="1:13" ht="31.2" x14ac:dyDescent="0.3">
      <c r="A8" s="20">
        <v>8</v>
      </c>
      <c r="B8" s="3" t="str">
        <f>Compras!A8</f>
        <v>Sanrio-vestido transparente, muñeco de peluche de Hello Kitty 40cm</v>
      </c>
      <c r="C8" s="3" t="s">
        <v>234</v>
      </c>
      <c r="D8" s="3" t="s">
        <v>28</v>
      </c>
      <c r="E8" s="15">
        <f>Compras!C8</f>
        <v>609.83000000000004</v>
      </c>
      <c r="F8" s="6">
        <f>Compras!D8</f>
        <v>0.72669432464785277</v>
      </c>
      <c r="G8" s="4">
        <f>Compras!B8</f>
        <v>1</v>
      </c>
      <c r="H8" s="15">
        <f>Compras!Q8</f>
        <v>157.61999999999998</v>
      </c>
      <c r="I8" s="4">
        <f>Compras!P8</f>
        <v>1</v>
      </c>
      <c r="J8" s="22" t="s">
        <v>29</v>
      </c>
      <c r="K8" s="16">
        <f t="shared" si="0"/>
        <v>333.03749999999997</v>
      </c>
      <c r="L8" s="17">
        <f t="shared" si="1"/>
        <v>277.53125</v>
      </c>
      <c r="M8" s="18">
        <f t="shared" si="2"/>
        <v>222.02499999999998</v>
      </c>
    </row>
    <row r="9" spans="1:13" ht="31.2" x14ac:dyDescent="0.3">
      <c r="A9" s="20">
        <v>9</v>
      </c>
      <c r="B9" s="3" t="str">
        <f>Compras!A9</f>
        <v>Sanrio-Manta de felpa de Hello Kitty, mantas suaves</v>
      </c>
      <c r="C9" s="3" t="s">
        <v>234</v>
      </c>
      <c r="D9" s="3" t="s">
        <v>43</v>
      </c>
      <c r="E9" s="15">
        <f>Compras!C9</f>
        <v>508.78</v>
      </c>
      <c r="F9" s="6">
        <f>Compras!D9</f>
        <v>0.74531231573568135</v>
      </c>
      <c r="G9" s="4">
        <f>Compras!B9</f>
        <v>1</v>
      </c>
      <c r="H9" s="15">
        <f>Compras!Q9</f>
        <v>122.53000000000002</v>
      </c>
      <c r="I9" s="4">
        <f>Compras!P9</f>
        <v>1</v>
      </c>
      <c r="J9" s="22" t="s">
        <v>29</v>
      </c>
      <c r="K9" s="16">
        <f t="shared" si="0"/>
        <v>267.24375000000003</v>
      </c>
      <c r="L9" s="17">
        <f t="shared" si="1"/>
        <v>222.70312500000003</v>
      </c>
      <c r="M9" s="18">
        <f t="shared" si="2"/>
        <v>178.16250000000002</v>
      </c>
    </row>
    <row r="10" spans="1:13" ht="31.2" x14ac:dyDescent="0.3">
      <c r="A10" s="20">
        <v>10</v>
      </c>
      <c r="B10" s="3" t="str">
        <f>Compras!A10</f>
        <v>Figuras Kirby para decoración, juguetes de comida, 4 unidades por Set</v>
      </c>
      <c r="C10" s="3" t="s">
        <v>40</v>
      </c>
      <c r="D10" s="3" t="s">
        <v>44</v>
      </c>
      <c r="E10" s="15">
        <f>Compras!C10</f>
        <v>280.56</v>
      </c>
      <c r="F10" s="6">
        <f>Compras!D10</f>
        <v>0.72169945822640424</v>
      </c>
      <c r="G10" s="4">
        <f>Compras!B10</f>
        <v>1</v>
      </c>
      <c r="H10" s="15">
        <f>Compras!Q10</f>
        <v>73.84</v>
      </c>
      <c r="I10" s="4">
        <f>Compras!P10</f>
        <v>4</v>
      </c>
      <c r="J10" s="22" t="s">
        <v>29</v>
      </c>
      <c r="K10" s="16">
        <f t="shared" si="0"/>
        <v>84.131250000000009</v>
      </c>
      <c r="L10" s="17">
        <f t="shared" si="1"/>
        <v>66.103125000000006</v>
      </c>
      <c r="M10" s="18">
        <f t="shared" si="2"/>
        <v>48.075000000000003</v>
      </c>
    </row>
    <row r="11" spans="1:13" ht="31.2" x14ac:dyDescent="0.3">
      <c r="A11" s="20">
        <v>11</v>
      </c>
      <c r="B11" s="3" t="str">
        <f>Compras!A11</f>
        <v>Figura de villana de Disney, Reina, Cruella, maléfica, bruja malvada</v>
      </c>
      <c r="C11" s="3" t="s">
        <v>41</v>
      </c>
      <c r="D11" s="3" t="s">
        <v>44</v>
      </c>
      <c r="E11" s="15">
        <f>Compras!C11</f>
        <v>568.46</v>
      </c>
      <c r="F11" s="6">
        <f>Compras!D11</f>
        <v>0.73941878056503541</v>
      </c>
      <c r="G11" s="4">
        <f>Compras!B11</f>
        <v>1</v>
      </c>
      <c r="H11" s="15">
        <f>Compras!Q11</f>
        <v>140.07999999999998</v>
      </c>
      <c r="I11" s="4">
        <f>Compras!P11</f>
        <v>6</v>
      </c>
      <c r="J11" s="22" t="s">
        <v>29</v>
      </c>
      <c r="K11" s="16">
        <f t="shared" si="0"/>
        <v>94.820833333333326</v>
      </c>
      <c r="L11" s="17">
        <f t="shared" si="1"/>
        <v>74.502083333333331</v>
      </c>
      <c r="M11" s="18">
        <f t="shared" si="2"/>
        <v>54.18333333333333</v>
      </c>
    </row>
    <row r="12" spans="1:13" ht="31.2" x14ac:dyDescent="0.3">
      <c r="A12" s="20">
        <v>12</v>
      </c>
      <c r="B12" s="3" t="str">
        <f>Compras!A12</f>
        <v>Sanrio Hello Kitty Anime Kuromi Melody, peluche suave de Hello Kitty</v>
      </c>
      <c r="C12" s="3" t="s">
        <v>234</v>
      </c>
      <c r="D12" s="3" t="s">
        <v>28</v>
      </c>
      <c r="E12" s="15">
        <f>Compras!C12</f>
        <v>457.88</v>
      </c>
      <c r="F12" s="6">
        <f>Compras!D12</f>
        <v>0.71621385515855673</v>
      </c>
      <c r="G12" s="4">
        <f>Compras!B12</f>
        <v>1</v>
      </c>
      <c r="H12" s="15">
        <f>Compras!Q12</f>
        <v>114.14000000000001</v>
      </c>
      <c r="I12" s="4">
        <f>Compras!P12</f>
        <v>1</v>
      </c>
      <c r="J12" s="22" t="s">
        <v>29</v>
      </c>
      <c r="K12" s="16">
        <f t="shared" si="0"/>
        <v>251.51250000000002</v>
      </c>
      <c r="L12" s="17">
        <f t="shared" si="1"/>
        <v>209.59375</v>
      </c>
      <c r="M12" s="18">
        <f t="shared" si="2"/>
        <v>167.67500000000001</v>
      </c>
    </row>
    <row r="13" spans="1:13" ht="31.2" x14ac:dyDescent="0.3">
      <c r="A13" s="20">
        <v>13</v>
      </c>
      <c r="B13" s="3" t="str">
        <f>Compras!A13</f>
        <v>Sanrio Hello Kitty Anime Kuromi Melody, peluche, Cinnamoroll fruta amarilla</v>
      </c>
      <c r="C13" s="3" t="s">
        <v>38</v>
      </c>
      <c r="D13" s="3" t="s">
        <v>28</v>
      </c>
      <c r="E13" s="15">
        <f>Compras!C13</f>
        <v>722.55</v>
      </c>
      <c r="F13" s="6">
        <f>Compras!D13</f>
        <v>0.68583489031900902</v>
      </c>
      <c r="G13" s="4">
        <f>Compras!B13</f>
        <v>1</v>
      </c>
      <c r="H13" s="15">
        <f>Compras!Q13</f>
        <v>199.46</v>
      </c>
      <c r="I13" s="4">
        <f>Compras!P13</f>
        <v>1</v>
      </c>
      <c r="J13" s="22" t="s">
        <v>29</v>
      </c>
      <c r="K13" s="16">
        <f t="shared" si="0"/>
        <v>411.48750000000007</v>
      </c>
      <c r="L13" s="17">
        <f t="shared" si="1"/>
        <v>342.90625000000006</v>
      </c>
      <c r="M13" s="18">
        <f t="shared" si="2"/>
        <v>274.32500000000005</v>
      </c>
    </row>
    <row r="14" spans="1:13" ht="31.2" x14ac:dyDescent="0.3">
      <c r="A14" s="20">
        <v>14</v>
      </c>
      <c r="B14" s="3" t="str">
        <f>Compras!A14</f>
        <v>Sanrio Kawaii colorido Cinnamoroll dibujos animados, peluche Plushier almohada suave</v>
      </c>
      <c r="C14" s="3" t="s">
        <v>38</v>
      </c>
      <c r="D14" s="3" t="s">
        <v>28</v>
      </c>
      <c r="E14" s="15">
        <f>Compras!C14</f>
        <v>501.74</v>
      </c>
      <c r="F14" s="6">
        <f>Compras!D14</f>
        <v>0.72635229401682144</v>
      </c>
      <c r="G14" s="4">
        <f>Compras!B14</f>
        <v>1</v>
      </c>
      <c r="H14" s="15">
        <f>Compras!Q14</f>
        <v>120.62</v>
      </c>
      <c r="I14" s="4">
        <f>Compras!P14</f>
        <v>1</v>
      </c>
      <c r="J14" s="22" t="s">
        <v>29</v>
      </c>
      <c r="K14" s="16">
        <f t="shared" si="0"/>
        <v>263.66250000000002</v>
      </c>
      <c r="L14" s="17">
        <f t="shared" si="1"/>
        <v>219.71875</v>
      </c>
      <c r="M14" s="18">
        <f t="shared" si="2"/>
        <v>175.77500000000001</v>
      </c>
    </row>
    <row r="15" spans="1:13" ht="31.2" x14ac:dyDescent="0.3">
      <c r="A15" s="20">
        <v>15</v>
      </c>
      <c r="B15" s="3" t="str">
        <f>Compras!A15</f>
        <v>Peluche Sanrio Kuromi My Melody Cinnamoroll, almohada de peluche suave kawaii 40 cm</v>
      </c>
      <c r="C15" s="3" t="s">
        <v>38</v>
      </c>
      <c r="D15" s="3" t="s">
        <v>28</v>
      </c>
      <c r="E15" s="15">
        <f>Compras!C15</f>
        <v>359.93</v>
      </c>
      <c r="F15" s="6">
        <f>Compras!D15</f>
        <v>0.54771761175784173</v>
      </c>
      <c r="G15" s="4">
        <f>Compras!B15</f>
        <v>1</v>
      </c>
      <c r="H15" s="15">
        <f>Compras!Q15</f>
        <v>144.49</v>
      </c>
      <c r="I15" s="4">
        <f>Compras!P15</f>
        <v>1</v>
      </c>
      <c r="J15" s="22" t="s">
        <v>29</v>
      </c>
      <c r="K15" s="16">
        <f t="shared" si="0"/>
        <v>308.41875000000005</v>
      </c>
      <c r="L15" s="17">
        <f t="shared" si="1"/>
        <v>257.015625</v>
      </c>
      <c r="M15" s="18">
        <f t="shared" si="2"/>
        <v>205.61250000000001</v>
      </c>
    </row>
    <row r="16" spans="1:13" ht="31.2" x14ac:dyDescent="0.3">
      <c r="A16" s="20">
        <v>16</v>
      </c>
      <c r="B16" s="3" t="str">
        <f>Compras!A16</f>
        <v>Peluche de Anime Sanrio Kawaii, peluche suave de Cinnamoroll, almohada de 25Cm</v>
      </c>
      <c r="C16" s="3" t="s">
        <v>38</v>
      </c>
      <c r="D16" s="3" t="s">
        <v>28</v>
      </c>
      <c r="E16" s="15">
        <f>Compras!C16</f>
        <v>266.76</v>
      </c>
      <c r="F16" s="6">
        <f>Compras!D16</f>
        <v>0.67566351776878097</v>
      </c>
      <c r="G16" s="4">
        <f>Compras!B16</f>
        <v>1</v>
      </c>
      <c r="H16" s="15">
        <f>Compras!Q16</f>
        <v>76.029999999999987</v>
      </c>
      <c r="I16" s="4">
        <f>Compras!P16</f>
        <v>1</v>
      </c>
      <c r="J16" s="22" t="s">
        <v>29</v>
      </c>
      <c r="K16" s="16">
        <f t="shared" si="0"/>
        <v>210.06562499999995</v>
      </c>
      <c r="L16" s="17">
        <f t="shared" si="1"/>
        <v>165.05156249999996</v>
      </c>
      <c r="M16" s="18">
        <f t="shared" si="2"/>
        <v>120.03749999999998</v>
      </c>
    </row>
    <row r="17" spans="1:13" ht="31.2" x14ac:dyDescent="0.3">
      <c r="A17" s="20">
        <v>17</v>
      </c>
      <c r="B17" s="3" t="str">
        <f>Compras!A17</f>
        <v>Peluche de Hatsune Miku, almohada suave, muñeca del futuro, Chibi 25cm</v>
      </c>
      <c r="C17" s="3" t="s">
        <v>59</v>
      </c>
      <c r="D17" s="3" t="s">
        <v>28</v>
      </c>
      <c r="E17" s="15">
        <f>Compras!C17</f>
        <v>275.44</v>
      </c>
      <c r="F17" s="6">
        <f>Compras!D17</f>
        <v>0.73794655823409816</v>
      </c>
      <c r="G17" s="4">
        <f>Compras!B17</f>
        <v>1</v>
      </c>
      <c r="H17" s="15">
        <f>Compras!Q17</f>
        <v>64.06</v>
      </c>
      <c r="I17" s="4">
        <f>Compras!P17</f>
        <v>1</v>
      </c>
      <c r="J17" s="22" t="s">
        <v>29</v>
      </c>
      <c r="K17" s="16">
        <f t="shared" si="0"/>
        <v>183.88124999999999</v>
      </c>
      <c r="L17" s="17">
        <f t="shared" si="1"/>
        <v>144.47812500000001</v>
      </c>
      <c r="M17" s="18">
        <f t="shared" si="2"/>
        <v>105.075</v>
      </c>
    </row>
    <row r="18" spans="1:13" ht="31.2" x14ac:dyDescent="0.3">
      <c r="A18" s="20">
        <v>18</v>
      </c>
      <c r="B18" s="3" t="str">
        <f>Compras!A18</f>
        <v>Peluche de Hatsune Miku, almohada suave, muñeca del futuro, 25cm</v>
      </c>
      <c r="C18" s="3" t="s">
        <v>59</v>
      </c>
      <c r="D18" s="3" t="s">
        <v>28</v>
      </c>
      <c r="E18" s="15">
        <f>Compras!C18</f>
        <v>293.36</v>
      </c>
      <c r="F18" s="6">
        <f>Compras!D18</f>
        <v>0.73656940278156524</v>
      </c>
      <c r="G18" s="4">
        <f>Compras!B18</f>
        <v>1</v>
      </c>
      <c r="H18" s="15">
        <f>Compras!Q18</f>
        <v>68.580000000000013</v>
      </c>
      <c r="I18" s="4">
        <f>Compras!P18</f>
        <v>1</v>
      </c>
      <c r="J18" s="22" t="s">
        <v>29</v>
      </c>
      <c r="K18" s="16">
        <f t="shared" si="0"/>
        <v>193.76875000000004</v>
      </c>
      <c r="L18" s="17">
        <f t="shared" si="1"/>
        <v>152.24687500000005</v>
      </c>
      <c r="M18" s="18">
        <f t="shared" si="2"/>
        <v>110.72500000000002</v>
      </c>
    </row>
    <row r="19" spans="1:13" ht="31.2" x14ac:dyDescent="0.3">
      <c r="A19" s="20">
        <v>19</v>
      </c>
      <c r="B19" s="3" t="str">
        <f>Compras!A19</f>
        <v>Casa de muñecas Gabby, juguete de peluche de Mercat, Kitty Fairy</v>
      </c>
      <c r="C19" s="3" t="s">
        <v>60</v>
      </c>
      <c r="D19" s="3" t="s">
        <v>28</v>
      </c>
      <c r="E19" s="15">
        <f>Compras!C19</f>
        <v>221.83</v>
      </c>
      <c r="F19" s="6">
        <f>Compras!D19</f>
        <v>0.71622413559933273</v>
      </c>
      <c r="G19" s="4">
        <f>Compras!B19</f>
        <v>2</v>
      </c>
      <c r="H19" s="15">
        <f>Compras!Q19</f>
        <v>55.3</v>
      </c>
      <c r="I19" s="4">
        <f>Compras!P19</f>
        <v>1</v>
      </c>
      <c r="J19" s="22" t="s">
        <v>29</v>
      </c>
      <c r="K19" s="16">
        <f t="shared" si="0"/>
        <v>164.71875</v>
      </c>
      <c r="L19" s="17">
        <f t="shared" si="1"/>
        <v>129.421875</v>
      </c>
      <c r="M19" s="18">
        <f t="shared" si="2"/>
        <v>94.125</v>
      </c>
    </row>
    <row r="20" spans="1:13" ht="31.2" x14ac:dyDescent="0.3">
      <c r="A20" s="20">
        <v>20</v>
      </c>
      <c r="B20" s="3" t="str">
        <f>Compras!A20</f>
        <v>Casa de muñecas Gabby, juguete de peluche de Mercat, Pillow Cat</v>
      </c>
      <c r="C20" s="3" t="s">
        <v>60</v>
      </c>
      <c r="D20" s="3" t="s">
        <v>28</v>
      </c>
      <c r="E20" s="15">
        <f>Compras!C20</f>
        <v>237.32</v>
      </c>
      <c r="F20" s="6">
        <f>Compras!D20</f>
        <v>0.71629024102477667</v>
      </c>
      <c r="G20" s="4">
        <f>Compras!B20</f>
        <v>2</v>
      </c>
      <c r="H20" s="15">
        <f>Compras!Q20</f>
        <v>59.150000000000006</v>
      </c>
      <c r="I20" s="4">
        <f>Compras!P20</f>
        <v>1</v>
      </c>
      <c r="J20" s="22" t="s">
        <v>29</v>
      </c>
      <c r="K20" s="16">
        <f t="shared" si="0"/>
        <v>173.140625</v>
      </c>
      <c r="L20" s="17">
        <f t="shared" si="1"/>
        <v>136.0390625</v>
      </c>
      <c r="M20" s="18">
        <f t="shared" si="2"/>
        <v>98.9375</v>
      </c>
    </row>
    <row r="21" spans="1:13" ht="31.2" x14ac:dyDescent="0.3">
      <c r="A21" s="20">
        <v>21</v>
      </c>
      <c r="B21" s="3" t="str">
        <f>Compras!A21</f>
        <v>Casa de muñecas Gabby, juguete de peluche de Mercat, Pandy Paws</v>
      </c>
      <c r="C21" s="3" t="s">
        <v>60</v>
      </c>
      <c r="D21" s="3" t="s">
        <v>28</v>
      </c>
      <c r="E21" s="15">
        <f>Compras!C21</f>
        <v>191.74</v>
      </c>
      <c r="F21" s="6">
        <f>Compras!D21</f>
        <v>0.70606028997600911</v>
      </c>
      <c r="G21" s="4">
        <f>Compras!B21</f>
        <v>2</v>
      </c>
      <c r="H21" s="15">
        <f>Compras!Q21</f>
        <v>49.515000000000001</v>
      </c>
      <c r="I21" s="4">
        <f>Compras!P21</f>
        <v>1</v>
      </c>
      <c r="J21" s="22" t="s">
        <v>29</v>
      </c>
      <c r="K21" s="16">
        <f t="shared" si="0"/>
        <v>152.06406250000001</v>
      </c>
      <c r="L21" s="17">
        <f t="shared" si="1"/>
        <v>119.47890624999999</v>
      </c>
      <c r="M21" s="18">
        <f t="shared" si="2"/>
        <v>86.893749999999997</v>
      </c>
    </row>
    <row r="22" spans="1:13" ht="31.2" x14ac:dyDescent="0.3">
      <c r="A22" s="20">
        <v>22</v>
      </c>
      <c r="B22" s="3" t="str">
        <f>Compras!A22</f>
        <v>Casa de muñecas Gabby, juguete de peluche de Mercat, DJ Catnip</v>
      </c>
      <c r="C22" s="3" t="s">
        <v>60</v>
      </c>
      <c r="D22" s="3" t="s">
        <v>28</v>
      </c>
      <c r="E22" s="15">
        <f>Compras!C22</f>
        <v>208.66</v>
      </c>
      <c r="F22" s="6">
        <f>Compras!D22</f>
        <v>0.7061247963193712</v>
      </c>
      <c r="G22" s="4">
        <f>Compras!B22</f>
        <v>2</v>
      </c>
      <c r="H22" s="15">
        <f>Compras!Q22</f>
        <v>53.87</v>
      </c>
      <c r="I22" s="4">
        <f>Compras!P22</f>
        <v>1</v>
      </c>
      <c r="J22" s="22" t="s">
        <v>29</v>
      </c>
      <c r="K22" s="16">
        <f t="shared" si="0"/>
        <v>161.59062499999999</v>
      </c>
      <c r="L22" s="17">
        <f t="shared" si="1"/>
        <v>126.96406249999998</v>
      </c>
      <c r="M22" s="18">
        <f t="shared" si="2"/>
        <v>92.337499999999991</v>
      </c>
    </row>
    <row r="23" spans="1:13" ht="31.2" x14ac:dyDescent="0.3">
      <c r="A23" s="20">
        <v>23</v>
      </c>
      <c r="B23" s="3" t="str">
        <f>Compras!A23</f>
        <v>Bebé dormir música juguetes de peluche ligero relajante - Zorrito</v>
      </c>
      <c r="C23" s="3" t="s">
        <v>61</v>
      </c>
      <c r="D23" s="3" t="s">
        <v>28</v>
      </c>
      <c r="E23" s="15">
        <f>Compras!C23</f>
        <v>319.47000000000003</v>
      </c>
      <c r="F23" s="6">
        <f>Compras!D23</f>
        <v>0.54393213760290482</v>
      </c>
      <c r="G23" s="4">
        <f>Compras!B23</f>
        <v>1</v>
      </c>
      <c r="H23" s="15">
        <f>Compras!Q23</f>
        <v>127.99</v>
      </c>
      <c r="I23" s="4">
        <f>Compras!P23</f>
        <v>1</v>
      </c>
      <c r="J23" s="22" t="s">
        <v>29</v>
      </c>
      <c r="K23" s="16">
        <f t="shared" si="0"/>
        <v>277.48124999999999</v>
      </c>
      <c r="L23" s="17">
        <f t="shared" si="1"/>
        <v>231.234375</v>
      </c>
      <c r="M23" s="18">
        <f t="shared" si="2"/>
        <v>184.98749999999998</v>
      </c>
    </row>
    <row r="24" spans="1:13" ht="31.2" x14ac:dyDescent="0.3">
      <c r="A24" s="20">
        <v>24</v>
      </c>
      <c r="B24" s="3" t="str">
        <f>Compras!A24</f>
        <v>Bebé dormir música juguetes de peluche ligero relajante - Patito</v>
      </c>
      <c r="C24" s="3" t="s">
        <v>61</v>
      </c>
      <c r="D24" s="3" t="s">
        <v>28</v>
      </c>
      <c r="E24" s="15">
        <f>Compras!C24</f>
        <v>339.45</v>
      </c>
      <c r="F24" s="6">
        <f>Compras!D24</f>
        <v>0.51353660332891449</v>
      </c>
      <c r="G24" s="4">
        <f>Compras!B24</f>
        <v>1</v>
      </c>
      <c r="H24" s="15">
        <f>Compras!Q24</f>
        <v>145.05000000000001</v>
      </c>
      <c r="I24" s="4">
        <f>Compras!P24</f>
        <v>1</v>
      </c>
      <c r="J24" s="22" t="s">
        <v>29</v>
      </c>
      <c r="K24" s="16">
        <f t="shared" si="0"/>
        <v>309.46875</v>
      </c>
      <c r="L24" s="17">
        <f t="shared" si="1"/>
        <v>257.890625</v>
      </c>
      <c r="M24" s="18">
        <f t="shared" si="2"/>
        <v>206.3125</v>
      </c>
    </row>
    <row r="25" spans="1:13" ht="31.2" x14ac:dyDescent="0.3">
      <c r="A25" s="20">
        <v>25</v>
      </c>
      <c r="B25" s="3" t="str">
        <f>Compras!A25</f>
        <v>Plants vs Zombies 2 Cactus Peashooter Coconut Cannon, 6 estilos</v>
      </c>
      <c r="C25" s="3" t="s">
        <v>231</v>
      </c>
      <c r="D25" s="3" t="s">
        <v>232</v>
      </c>
      <c r="E25" s="15">
        <f>Compras!C25</f>
        <v>302.39999999999998</v>
      </c>
      <c r="F25" s="6">
        <f>Compras!D25</f>
        <v>0.70611772486772484</v>
      </c>
      <c r="G25" s="4">
        <f>Compras!B25</f>
        <v>1</v>
      </c>
      <c r="H25" s="15">
        <f>Compras!Q25</f>
        <v>78.070000000000007</v>
      </c>
      <c r="I25" s="4">
        <f>Compras!P25</f>
        <v>1</v>
      </c>
      <c r="J25" s="22" t="s">
        <v>29</v>
      </c>
      <c r="K25" s="16">
        <f t="shared" si="0"/>
        <v>214.52812500000002</v>
      </c>
      <c r="L25" s="17">
        <f t="shared" si="1"/>
        <v>168.55781250000001</v>
      </c>
      <c r="M25" s="18">
        <f t="shared" si="2"/>
        <v>122.58750000000001</v>
      </c>
    </row>
    <row r="26" spans="1:13" ht="31.2" x14ac:dyDescent="0.3">
      <c r="A26" s="20">
        <v>26</v>
      </c>
      <c r="B26" s="3" t="str">
        <f>Compras!A26</f>
        <v>Multifuncional ClearView, Caja de Almacenamiento de Plástico Impermeable TG 40cm</v>
      </c>
      <c r="C26" s="3" t="s">
        <v>68</v>
      </c>
      <c r="D26" s="3" t="s">
        <v>233</v>
      </c>
      <c r="E26" s="15">
        <f>Compras!C26</f>
        <v>555</v>
      </c>
      <c r="F26" s="6">
        <f>Compras!D26</f>
        <v>0.28472072072072069</v>
      </c>
      <c r="G26" s="4">
        <f>Compras!B26</f>
        <v>1</v>
      </c>
      <c r="H26" s="15">
        <f>Compras!Q26</f>
        <v>396.98</v>
      </c>
      <c r="I26" s="4">
        <f>Compras!P26</f>
        <v>1</v>
      </c>
      <c r="J26" s="22" t="s">
        <v>29</v>
      </c>
      <c r="K26" s="16">
        <f t="shared" si="0"/>
        <v>521.22500000000002</v>
      </c>
      <c r="L26" s="17">
        <f t="shared" si="1"/>
        <v>521.22500000000002</v>
      </c>
      <c r="M26" s="18">
        <f t="shared" si="2"/>
        <v>521.22500000000002</v>
      </c>
    </row>
    <row r="27" spans="1:13" ht="31.2" x14ac:dyDescent="0.3">
      <c r="A27" s="20">
        <v>27</v>
      </c>
      <c r="B27" s="3" t="str">
        <f>Compras!A27</f>
        <v>Caja De Almacenamiento De Acrílico Transparente 28cm</v>
      </c>
      <c r="C27" s="3" t="s">
        <v>68</v>
      </c>
      <c r="D27" s="3" t="s">
        <v>233</v>
      </c>
      <c r="E27" s="15">
        <f>Compras!C27</f>
        <v>490</v>
      </c>
      <c r="F27" s="6">
        <f>Compras!D27</f>
        <v>0.39810204081632655</v>
      </c>
      <c r="G27" s="4">
        <f>Compras!B27</f>
        <v>1</v>
      </c>
      <c r="H27" s="15">
        <f>Compras!Q27</f>
        <v>294.93</v>
      </c>
      <c r="I27" s="4">
        <f>Compras!P27</f>
        <v>1</v>
      </c>
      <c r="J27" s="22" t="s">
        <v>29</v>
      </c>
      <c r="K27" s="16">
        <f t="shared" si="0"/>
        <v>492.078125</v>
      </c>
      <c r="L27" s="17">
        <f t="shared" si="1"/>
        <v>442.87031250000001</v>
      </c>
      <c r="M27" s="18">
        <f t="shared" si="2"/>
        <v>393.66250000000002</v>
      </c>
    </row>
    <row r="28" spans="1:13" ht="46.8" x14ac:dyDescent="0.3">
      <c r="A28" s="20">
        <v>28</v>
      </c>
      <c r="B28" s="3" t="str">
        <f>Compras!A28</f>
        <v>Kuromi Hello Kitty gorra con orejas móviles, sombrero de conejo brillante punto divertido LED - Stich</v>
      </c>
      <c r="C28" s="3" t="s">
        <v>41</v>
      </c>
      <c r="D28" s="3" t="s">
        <v>235</v>
      </c>
      <c r="E28" s="15">
        <f>Compras!C28</f>
        <v>196.83</v>
      </c>
      <c r="F28" s="6">
        <f>Compras!D28</f>
        <v>0.62531118223847992</v>
      </c>
      <c r="G28" s="4">
        <f>Compras!B28</f>
        <v>2</v>
      </c>
      <c r="H28" s="15">
        <f>Compras!Q28</f>
        <v>64.325000000000003</v>
      </c>
      <c r="I28" s="4">
        <f>Compras!P28</f>
        <v>1</v>
      </c>
      <c r="J28" s="22" t="s">
        <v>29</v>
      </c>
      <c r="K28" s="16">
        <f t="shared" si="0"/>
        <v>184.4609375</v>
      </c>
      <c r="L28" s="17">
        <f t="shared" si="1"/>
        <v>144.93359375</v>
      </c>
      <c r="M28" s="18">
        <f t="shared" si="2"/>
        <v>105.40625</v>
      </c>
    </row>
    <row r="29" spans="1:13" ht="31.2" x14ac:dyDescent="0.3">
      <c r="A29" s="20">
        <v>29</v>
      </c>
      <c r="B29" s="3" t="str">
        <f>Compras!A29</f>
        <v>Sombrero Kawaii de Hello Kitty, estilo Ins, Y2K, felpa, moño + bigotitos</v>
      </c>
      <c r="C29" s="3" t="s">
        <v>234</v>
      </c>
      <c r="D29" s="3" t="s">
        <v>235</v>
      </c>
      <c r="E29" s="15">
        <f>Compras!C29</f>
        <v>190.15</v>
      </c>
      <c r="F29" s="6">
        <f>Compras!D29</f>
        <v>0.65763870628451226</v>
      </c>
      <c r="G29" s="4">
        <f>Compras!B29</f>
        <v>1</v>
      </c>
      <c r="H29" s="15">
        <f>Compras!Q29</f>
        <v>56.769999999999996</v>
      </c>
      <c r="I29" s="4">
        <f>Compras!P29</f>
        <v>1</v>
      </c>
      <c r="J29" s="22" t="s">
        <v>29</v>
      </c>
      <c r="K29" s="16">
        <f t="shared" si="0"/>
        <v>167.93437499999999</v>
      </c>
      <c r="L29" s="17">
        <f t="shared" si="1"/>
        <v>131.94843749999998</v>
      </c>
      <c r="M29" s="18">
        <f t="shared" si="2"/>
        <v>95.962499999999991</v>
      </c>
    </row>
    <row r="30" spans="1:13" ht="31.2" x14ac:dyDescent="0.3">
      <c r="A30" s="20">
        <v>30</v>
      </c>
      <c r="B30" s="3" t="str">
        <f>Compras!A30</f>
        <v>Sombrero Kawaii de Hello Kitty, estilo Ins, Y2K, felpa, moño</v>
      </c>
      <c r="C30" s="3" t="s">
        <v>234</v>
      </c>
      <c r="D30" s="3" t="s">
        <v>235</v>
      </c>
      <c r="E30" s="15">
        <f>Compras!C30</f>
        <v>183.15</v>
      </c>
      <c r="F30" s="6">
        <f>Compras!D30</f>
        <v>0.6576576576576576</v>
      </c>
      <c r="G30" s="4">
        <f>Compras!B30</f>
        <v>1</v>
      </c>
      <c r="H30" s="15">
        <f>Compras!Q30</f>
        <v>54.680000000000007</v>
      </c>
      <c r="I30" s="4">
        <f>Compras!P30</f>
        <v>1</v>
      </c>
      <c r="J30" s="22" t="s">
        <v>29</v>
      </c>
      <c r="K30" s="16">
        <f t="shared" si="0"/>
        <v>163.36250000000001</v>
      </c>
      <c r="L30" s="17">
        <f t="shared" si="1"/>
        <v>128.35625000000002</v>
      </c>
      <c r="M30" s="18">
        <f t="shared" si="2"/>
        <v>93.350000000000009</v>
      </c>
    </row>
    <row r="31" spans="1:13" ht="31.2" x14ac:dyDescent="0.3">
      <c r="A31" s="20">
        <v>31</v>
      </c>
      <c r="B31" s="3" t="str">
        <f>Compras!A31</f>
        <v>Bufanda de felpa Kawaii Sanrio Cinnamoroll, con orejas, móvil, Kuromy</v>
      </c>
      <c r="C31" s="3" t="s">
        <v>38</v>
      </c>
      <c r="D31" s="3" t="s">
        <v>235</v>
      </c>
      <c r="E31" s="15">
        <f>Compras!C31</f>
        <v>281.64</v>
      </c>
      <c r="F31" s="6">
        <f>Compras!D31</f>
        <v>0.71410311035364304</v>
      </c>
      <c r="G31" s="4">
        <f>Compras!B31</f>
        <v>1</v>
      </c>
      <c r="H31" s="15">
        <f>Compras!Q31</f>
        <v>70.239999999999995</v>
      </c>
      <c r="I31" s="4">
        <f>Compras!P31</f>
        <v>1</v>
      </c>
      <c r="J31" s="22" t="s">
        <v>29</v>
      </c>
      <c r="K31" s="16">
        <f t="shared" si="0"/>
        <v>197.4</v>
      </c>
      <c r="L31" s="17">
        <f t="shared" si="1"/>
        <v>155.1</v>
      </c>
      <c r="M31" s="18">
        <f t="shared" si="2"/>
        <v>112.8</v>
      </c>
    </row>
    <row r="32" spans="1:13" ht="31.2" x14ac:dyDescent="0.3">
      <c r="A32" s="20">
        <v>32</v>
      </c>
      <c r="B32" s="3" t="str">
        <f>Compras!A32</f>
        <v>Kuromi Hello Kitty gorra con orejas móviles, conejo brillante, LED. Kuromy</v>
      </c>
      <c r="C32" s="3" t="s">
        <v>38</v>
      </c>
      <c r="D32" s="3" t="s">
        <v>235</v>
      </c>
      <c r="E32" s="15">
        <f>Compras!C32</f>
        <v>199.61</v>
      </c>
      <c r="F32" s="6">
        <f>Compras!D32</f>
        <v>0.625419568157908</v>
      </c>
      <c r="G32" s="4">
        <f>Compras!B32</f>
        <v>2</v>
      </c>
      <c r="H32" s="15">
        <f>Compras!Q32</f>
        <v>65.22</v>
      </c>
      <c r="I32" s="4">
        <f>Compras!P32</f>
        <v>1</v>
      </c>
      <c r="J32" s="22" t="s">
        <v>29</v>
      </c>
      <c r="K32" s="16">
        <f t="shared" si="0"/>
        <v>186.41875000000002</v>
      </c>
      <c r="L32" s="17">
        <f t="shared" si="1"/>
        <v>146.47187500000001</v>
      </c>
      <c r="M32" s="18">
        <f t="shared" si="2"/>
        <v>106.52500000000001</v>
      </c>
    </row>
    <row r="33" spans="1:13" ht="31.2" x14ac:dyDescent="0.3">
      <c r="A33" s="20">
        <v>33</v>
      </c>
      <c r="B33" s="3" t="str">
        <f>Compras!A33</f>
        <v>Bufanda de felpa Kawaii Sanrio Cinnamoroll, con orejas, móvil, perro amarillo</v>
      </c>
      <c r="C33" s="3" t="s">
        <v>38</v>
      </c>
      <c r="D33" s="3" t="s">
        <v>235</v>
      </c>
      <c r="E33" s="15">
        <f>Compras!C33</f>
        <v>289.56</v>
      </c>
      <c r="F33" s="6">
        <f>Compras!D33</f>
        <v>0.71411797209559325</v>
      </c>
      <c r="G33" s="4">
        <f>Compras!B33</f>
        <v>1</v>
      </c>
      <c r="H33" s="15">
        <f>Compras!Q33</f>
        <v>72.2</v>
      </c>
      <c r="I33" s="4">
        <f>Compras!P33</f>
        <v>1</v>
      </c>
      <c r="J33" s="22" t="s">
        <v>29</v>
      </c>
      <c r="K33" s="16">
        <f t="shared" si="0"/>
        <v>201.6875</v>
      </c>
      <c r="L33" s="17">
        <f t="shared" si="1"/>
        <v>158.46875</v>
      </c>
      <c r="M33" s="18">
        <f t="shared" si="2"/>
        <v>115.25</v>
      </c>
    </row>
    <row r="34" spans="1:13" ht="31.2" x14ac:dyDescent="0.3">
      <c r="A34" s="20">
        <v>34</v>
      </c>
      <c r="B34" s="3" t="str">
        <f>Compras!A34</f>
        <v>Llavero Kirby Sombrero de Papá Noel, peluche Llavero, Kirby de estrella</v>
      </c>
      <c r="C34" s="3" t="s">
        <v>40</v>
      </c>
      <c r="D34" s="3" t="s">
        <v>236</v>
      </c>
      <c r="E34" s="15">
        <f>Compras!C34</f>
        <v>86.34</v>
      </c>
      <c r="F34" s="6">
        <f>Compras!D34</f>
        <v>0.12879314338661113</v>
      </c>
      <c r="G34" s="4">
        <f>Compras!B34</f>
        <v>1</v>
      </c>
      <c r="H34" s="15">
        <f>Compras!Q34</f>
        <v>67.31</v>
      </c>
      <c r="I34" s="4">
        <f>Compras!P34</f>
        <v>1</v>
      </c>
      <c r="J34" s="22" t="s">
        <v>29</v>
      </c>
      <c r="K34" s="16">
        <f t="shared" si="0"/>
        <v>214.18875000000003</v>
      </c>
      <c r="L34" s="17">
        <f t="shared" si="1"/>
        <v>178.49062500000002</v>
      </c>
      <c r="M34" s="18">
        <f t="shared" si="2"/>
        <v>142.79250000000002</v>
      </c>
    </row>
    <row r="35" spans="1:13" ht="31.2" x14ac:dyDescent="0.3">
      <c r="A35" s="20">
        <v>35</v>
      </c>
      <c r="B35" s="3" t="str">
        <f>Compras!A35</f>
        <v>Cinnamoroll Cosplasy Stitch-juguetes bonitos de 20cm, muñecos de peluche de Disney</v>
      </c>
      <c r="C35" s="3" t="s">
        <v>38</v>
      </c>
      <c r="D35" s="3" t="s">
        <v>28</v>
      </c>
      <c r="E35" s="15">
        <f>Compras!C35</f>
        <v>287.73</v>
      </c>
      <c r="F35" s="6">
        <f>Compras!D35</f>
        <v>0.65829075869738995</v>
      </c>
      <c r="G35" s="4">
        <f>Compras!B35</f>
        <v>1</v>
      </c>
      <c r="H35" s="15">
        <f>Compras!Q35</f>
        <v>86.299999999999983</v>
      </c>
      <c r="I35" s="4">
        <f>Compras!P35</f>
        <v>1</v>
      </c>
      <c r="J35" s="22" t="s">
        <v>29</v>
      </c>
      <c r="K35" s="16">
        <f t="shared" si="0"/>
        <v>232.53124999999994</v>
      </c>
      <c r="L35" s="17">
        <f t="shared" si="1"/>
        <v>182.70312499999994</v>
      </c>
      <c r="M35" s="18">
        <f t="shared" si="2"/>
        <v>132.87499999999997</v>
      </c>
    </row>
    <row r="36" spans="1:13" ht="31.2" x14ac:dyDescent="0.3">
      <c r="A36" s="20">
        <v>36</v>
      </c>
      <c r="B36" s="3" t="str">
        <f>Compras!A36</f>
        <v>Peluche de Panda Rojo, con luces musicales y respiración rítmica, Panda Rojo</v>
      </c>
      <c r="C36" s="3" t="s">
        <v>61</v>
      </c>
      <c r="D36" s="3" t="s">
        <v>28</v>
      </c>
      <c r="E36" s="15">
        <f>Compras!C36</f>
        <v>355.97</v>
      </c>
      <c r="F36" s="6">
        <f>Compras!D36</f>
        <v>0.56619939882574377</v>
      </c>
      <c r="G36" s="4">
        <f>Compras!B36</f>
        <v>1</v>
      </c>
      <c r="H36" s="15">
        <f>Compras!Q36</f>
        <v>136.90999999999997</v>
      </c>
      <c r="I36" s="4">
        <f>Compras!P36</f>
        <v>1</v>
      </c>
      <c r="J36" s="22" t="s">
        <v>29</v>
      </c>
      <c r="K36" s="16">
        <f t="shared" si="0"/>
        <v>294.20624999999995</v>
      </c>
      <c r="L36" s="17">
        <f t="shared" si="1"/>
        <v>245.17187499999994</v>
      </c>
      <c r="M36" s="18">
        <f t="shared" si="2"/>
        <v>196.13749999999996</v>
      </c>
    </row>
    <row r="37" spans="1:13" ht="31.2" x14ac:dyDescent="0.3">
      <c r="A37" s="20">
        <v>37</v>
      </c>
      <c r="B37" s="3" t="str">
        <f>Compras!A37</f>
        <v>Muñecos de peluche de 2 estilos, banda de TROLLS, lindo peluche suave, Poppy</v>
      </c>
      <c r="C37" s="3" t="s">
        <v>237</v>
      </c>
      <c r="D37" s="3" t="s">
        <v>28</v>
      </c>
      <c r="E37" s="15">
        <f>Compras!C37</f>
        <v>310.52</v>
      </c>
      <c r="F37" s="6">
        <f>Compras!D37</f>
        <v>0.7338657735411569</v>
      </c>
      <c r="G37" s="4">
        <f>Compras!B37</f>
        <v>1</v>
      </c>
      <c r="H37" s="15">
        <f>Compras!Q37</f>
        <v>72.53</v>
      </c>
      <c r="I37" s="4">
        <f>Compras!P37</f>
        <v>1</v>
      </c>
      <c r="J37" s="22" t="s">
        <v>29</v>
      </c>
      <c r="K37" s="16">
        <f t="shared" si="0"/>
        <v>202.40937499999998</v>
      </c>
      <c r="L37" s="17">
        <f t="shared" si="1"/>
        <v>159.03593749999999</v>
      </c>
      <c r="M37" s="18">
        <f t="shared" si="2"/>
        <v>115.66249999999999</v>
      </c>
    </row>
    <row r="38" spans="1:13" ht="31.2" x14ac:dyDescent="0.3">
      <c r="A38" s="20">
        <v>38</v>
      </c>
      <c r="B38" s="3" t="str">
        <f>Compras!A38</f>
        <v>Inside Out 2 Plush Dolls Inside Out Plush Toy Cute - Elefante</v>
      </c>
      <c r="C38" s="3" t="s">
        <v>238</v>
      </c>
      <c r="D38" s="3" t="s">
        <v>28</v>
      </c>
      <c r="E38" s="15">
        <f>Compras!C38</f>
        <v>137.29</v>
      </c>
      <c r="F38" s="6">
        <f>Compras!D38</f>
        <v>0.11042319178381525</v>
      </c>
      <c r="G38" s="4">
        <f>Compras!B38</f>
        <v>1</v>
      </c>
      <c r="H38" s="15">
        <f>Compras!Q38</f>
        <v>108.27</v>
      </c>
      <c r="I38" s="4">
        <f>Compras!P38</f>
        <v>1</v>
      </c>
      <c r="J38" s="22" t="s">
        <v>29</v>
      </c>
      <c r="K38" s="16">
        <f t="shared" si="0"/>
        <v>214.4725</v>
      </c>
      <c r="L38" s="17">
        <f t="shared" si="1"/>
        <v>214.4725</v>
      </c>
      <c r="M38" s="18">
        <f t="shared" si="2"/>
        <v>214.4725</v>
      </c>
    </row>
    <row r="39" spans="1:13" ht="31.2" x14ac:dyDescent="0.3">
      <c r="A39" s="20">
        <v>39</v>
      </c>
      <c r="B39" s="3" t="str">
        <f>Compras!A39</f>
        <v>Inside Out 2 Plush Dolls Inside Out Plush Toy Cute - Anciedad</v>
      </c>
      <c r="C39" s="3" t="s">
        <v>238</v>
      </c>
      <c r="D39" s="3" t="s">
        <v>28</v>
      </c>
      <c r="E39" s="15">
        <f>Compras!C39</f>
        <v>106.93</v>
      </c>
      <c r="F39" s="6">
        <f>Compras!D39</f>
        <v>0.11203591134386987</v>
      </c>
      <c r="G39" s="4">
        <f>Compras!B39</f>
        <v>1</v>
      </c>
      <c r="H39" s="15">
        <f>Compras!Q39</f>
        <v>84.18</v>
      </c>
      <c r="I39" s="4">
        <f>Compras!P39</f>
        <v>1</v>
      </c>
      <c r="J39" s="22" t="s">
        <v>29</v>
      </c>
      <c r="K39" s="16">
        <f t="shared" si="0"/>
        <v>215.39375000000001</v>
      </c>
      <c r="L39" s="17">
        <f t="shared" si="1"/>
        <v>193.854375</v>
      </c>
      <c r="M39" s="18">
        <f t="shared" si="2"/>
        <v>172.315</v>
      </c>
    </row>
    <row r="40" spans="1:13" ht="46.8" x14ac:dyDescent="0.3">
      <c r="A40" s="20">
        <v>40</v>
      </c>
      <c r="B40" s="3" t="str">
        <f>Compras!A40</f>
        <v>Original Thomas y sus amigos Thomas Glarabel Anne vía de tren serie maestra 3 en 1 pista aventura</v>
      </c>
      <c r="C40" s="3" t="s">
        <v>239</v>
      </c>
      <c r="D40" s="3" t="s">
        <v>240</v>
      </c>
      <c r="E40" s="15">
        <f>Compras!C40</f>
        <v>3693.28</v>
      </c>
      <c r="F40" s="6">
        <f>Compras!D40</f>
        <v>0.47004288870597416</v>
      </c>
      <c r="G40" s="4">
        <f>Compras!B40</f>
        <v>1</v>
      </c>
      <c r="H40" s="15">
        <f>Compras!Q40</f>
        <v>1731.48</v>
      </c>
      <c r="I40" s="4">
        <f>Compras!P40</f>
        <v>1</v>
      </c>
      <c r="J40" s="22" t="s">
        <v>29</v>
      </c>
      <c r="K40" s="16">
        <f t="shared" si="0"/>
        <v>2079.8824999999997</v>
      </c>
      <c r="L40" s="17">
        <f t="shared" si="1"/>
        <v>2134.61625</v>
      </c>
      <c r="M40" s="18">
        <f t="shared" si="2"/>
        <v>2189.35</v>
      </c>
    </row>
    <row r="41" spans="1:13" ht="31.2" x14ac:dyDescent="0.3">
      <c r="A41" s="20">
        <v>41</v>
      </c>
      <c r="B41" s="3" t="str">
        <f>Compras!A41</f>
        <v>Masha and The Bear Doll, muñeco de vinilo de 6,5 pulgadas</v>
      </c>
      <c r="C41" s="3" t="s">
        <v>241</v>
      </c>
      <c r="D41" s="3" t="s">
        <v>242</v>
      </c>
      <c r="E41" s="15">
        <f>Compras!C41</f>
        <v>250</v>
      </c>
      <c r="F41" s="6">
        <f>Compras!D41</f>
        <v>0.15987999999999999</v>
      </c>
      <c r="G41" s="4">
        <f>Compras!B41</f>
        <v>2</v>
      </c>
      <c r="H41" s="15">
        <f>Compras!Q41</f>
        <v>180.13</v>
      </c>
      <c r="I41" s="4">
        <f>Compras!P41</f>
        <v>1</v>
      </c>
      <c r="J41" s="22" t="s">
        <v>29</v>
      </c>
      <c r="K41" s="16">
        <f t="shared" si="0"/>
        <v>295.19499999999999</v>
      </c>
      <c r="L41" s="17">
        <f t="shared" si="1"/>
        <v>295.19499999999999</v>
      </c>
      <c r="M41" s="18">
        <f t="shared" si="2"/>
        <v>295.19499999999999</v>
      </c>
    </row>
    <row r="42" spans="1:13" ht="31.2" x14ac:dyDescent="0.3">
      <c r="A42" s="20">
        <v>42</v>
      </c>
      <c r="B42" s="3" t="str">
        <f>Compras!A42</f>
        <v>Peluche Pequeños, Numberblocks One and Two Playful Pals</v>
      </c>
      <c r="C42" s="3" t="s">
        <v>243</v>
      </c>
      <c r="D42" s="3" t="s">
        <v>28</v>
      </c>
      <c r="E42" s="15">
        <f>Compras!C42</f>
        <v>961.31</v>
      </c>
      <c r="F42" s="6">
        <f>Compras!D42</f>
        <v>0.55374436966223173</v>
      </c>
      <c r="G42" s="4">
        <f>Compras!B42</f>
        <v>1</v>
      </c>
      <c r="H42" s="15">
        <f>Compras!Q42</f>
        <v>428.99</v>
      </c>
      <c r="I42" s="4">
        <f>Compras!P42</f>
        <v>1</v>
      </c>
      <c r="J42" s="22" t="s">
        <v>29</v>
      </c>
      <c r="K42" s="16">
        <f t="shared" si="0"/>
        <v>561.23749999999995</v>
      </c>
      <c r="L42" s="17">
        <f t="shared" si="1"/>
        <v>561.23749999999995</v>
      </c>
      <c r="M42" s="18">
        <f t="shared" si="2"/>
        <v>561.23749999999995</v>
      </c>
    </row>
    <row r="43" spans="1:13" ht="31.2" x14ac:dyDescent="0.3">
      <c r="A43" s="20">
        <v>43</v>
      </c>
      <c r="B43" s="3" t="str">
        <f>Compras!A43</f>
        <v>Numberblock Mini Vehicles, Juguetes de Autos de Carrera</v>
      </c>
      <c r="C43" s="3" t="s">
        <v>243</v>
      </c>
      <c r="D43" s="3" t="s">
        <v>44</v>
      </c>
      <c r="E43" s="15">
        <f>Compras!C43</f>
        <v>798.98</v>
      </c>
      <c r="F43" s="6">
        <f>Compras!D43</f>
        <v>0.49812260632306193</v>
      </c>
      <c r="G43" s="4">
        <f>Compras!B43</f>
        <v>1</v>
      </c>
      <c r="H43" s="15">
        <f>Compras!Q43</f>
        <v>400.99</v>
      </c>
      <c r="I43" s="4">
        <f>Compras!P43</f>
        <v>1</v>
      </c>
      <c r="J43" s="22" t="s">
        <v>29</v>
      </c>
      <c r="K43" s="16">
        <f t="shared" si="0"/>
        <v>526.23749999999995</v>
      </c>
      <c r="L43" s="17">
        <f t="shared" si="1"/>
        <v>526.23749999999995</v>
      </c>
      <c r="M43" s="18">
        <f t="shared" si="2"/>
        <v>526.23749999999995</v>
      </c>
    </row>
    <row r="44" spans="1:13" ht="31.2" x14ac:dyDescent="0.3">
      <c r="A44" s="20">
        <v>44</v>
      </c>
      <c r="B44" s="3" t="str">
        <f>Compras!A44</f>
        <v>Numberblock Friends One to Five Figures, Figuras de Acción Caricaturas</v>
      </c>
      <c r="C44" s="3" t="s">
        <v>243</v>
      </c>
      <c r="D44" s="3" t="s">
        <v>44</v>
      </c>
      <c r="E44" s="15">
        <f>Compras!C44</f>
        <v>798.98</v>
      </c>
      <c r="F44" s="6">
        <f>Compras!D44</f>
        <v>0.60200505644696989</v>
      </c>
      <c r="G44" s="4">
        <f>Compras!B44</f>
        <v>1</v>
      </c>
      <c r="H44" s="15">
        <f>Compras!Q44</f>
        <v>317.99</v>
      </c>
      <c r="I44" s="4">
        <f>Compras!P44</f>
        <v>1</v>
      </c>
      <c r="J44" s="22" t="s">
        <v>29</v>
      </c>
      <c r="K44" s="16">
        <f t="shared" si="0"/>
        <v>422.48750000000001</v>
      </c>
      <c r="L44" s="17">
        <f t="shared" si="1"/>
        <v>422.48750000000001</v>
      </c>
      <c r="M44" s="18">
        <f t="shared" si="2"/>
        <v>422.48750000000001</v>
      </c>
    </row>
    <row r="45" spans="1:13" ht="31.2" x14ac:dyDescent="0.3">
      <c r="A45" s="20">
        <v>45</v>
      </c>
      <c r="B45" s="3" t="str">
        <f>Compras!A45</f>
        <v>MathLink Cubes Numberblocks 1-10 Juego de Actividades, Actividades de Aprendizaje Preescolar</v>
      </c>
      <c r="C45" s="3" t="s">
        <v>243</v>
      </c>
      <c r="D45" s="3" t="s">
        <v>250</v>
      </c>
      <c r="E45" s="15">
        <f>Compras!C45</f>
        <v>592</v>
      </c>
      <c r="F45" s="6">
        <f>Compras!D45</f>
        <v>0.24070945945945948</v>
      </c>
      <c r="G45" s="4">
        <f>Compras!B45</f>
        <v>1</v>
      </c>
      <c r="H45" s="15">
        <f>Compras!Q45</f>
        <v>449.5</v>
      </c>
      <c r="I45" s="4">
        <f>Compras!P45</f>
        <v>1</v>
      </c>
      <c r="J45" s="22" t="s">
        <v>29</v>
      </c>
      <c r="K45" s="16">
        <f t="shared" si="0"/>
        <v>586.875</v>
      </c>
      <c r="L45" s="17">
        <f t="shared" si="1"/>
        <v>586.875</v>
      </c>
      <c r="M45" s="18">
        <f t="shared" si="2"/>
        <v>586.875</v>
      </c>
    </row>
    <row r="46" spans="1:13" ht="31.2" x14ac:dyDescent="0.3">
      <c r="A46" s="20">
        <v>46</v>
      </c>
      <c r="B46" s="3" t="str">
        <f>Compras!A46</f>
        <v>Gabby´s Dollhouse, Set de Regalo con 7 Figuras de Juguete y Accesorio Sorpresa</v>
      </c>
      <c r="C46" s="3" t="s">
        <v>60</v>
      </c>
      <c r="D46" s="3" t="s">
        <v>44</v>
      </c>
      <c r="E46" s="15">
        <f>Compras!C46</f>
        <v>776.04</v>
      </c>
      <c r="F46" s="6">
        <f>Compras!D46</f>
        <v>0.63803412195247677</v>
      </c>
      <c r="G46" s="4">
        <f>Compras!B46</f>
        <v>1</v>
      </c>
      <c r="H46" s="15">
        <f>Compras!Q46</f>
        <v>280.89999999999998</v>
      </c>
      <c r="I46" s="4">
        <f>Compras!P46</f>
        <v>1</v>
      </c>
      <c r="J46" s="22" t="s">
        <v>29</v>
      </c>
      <c r="K46" s="16">
        <f t="shared" si="0"/>
        <v>470.15625</v>
      </c>
      <c r="L46" s="17">
        <f t="shared" si="1"/>
        <v>423.140625</v>
      </c>
      <c r="M46" s="18">
        <f t="shared" si="2"/>
        <v>376.125</v>
      </c>
    </row>
    <row r="47" spans="1:13" x14ac:dyDescent="0.3">
      <c r="A47" s="20">
        <v>47</v>
      </c>
      <c r="B47" s="3" t="str">
        <f>Compras!A47</f>
        <v>Hot Wheels 10-Pack (Styles May Vary)</v>
      </c>
      <c r="C47" s="3" t="s">
        <v>244</v>
      </c>
      <c r="D47" s="3" t="s">
        <v>245</v>
      </c>
      <c r="E47" s="15">
        <f>Compras!C47</f>
        <v>469</v>
      </c>
      <c r="F47" s="6">
        <f>Compras!D47</f>
        <v>0.57569296375266521</v>
      </c>
      <c r="G47" s="4">
        <f>Compras!B47</f>
        <v>1</v>
      </c>
      <c r="H47" s="15">
        <f>Compras!Q47</f>
        <v>199</v>
      </c>
      <c r="I47" s="4">
        <f>Compras!P47</f>
        <v>1</v>
      </c>
      <c r="J47" s="22" t="s">
        <v>29</v>
      </c>
      <c r="K47" s="16">
        <f t="shared" si="0"/>
        <v>410.625</v>
      </c>
      <c r="L47" s="17">
        <f t="shared" si="1"/>
        <v>342.1875</v>
      </c>
      <c r="M47" s="18">
        <f t="shared" si="2"/>
        <v>273.75</v>
      </c>
    </row>
    <row r="48" spans="1:13" ht="31.2" x14ac:dyDescent="0.3">
      <c r="A48" s="20">
        <v>48</v>
      </c>
      <c r="B48" s="3" t="str">
        <f>Compras!A48</f>
        <v>Hot Wheels, Mario Kart, Pista de Juguete para Niños, Senda Arcoíris</v>
      </c>
      <c r="C48" s="3" t="s">
        <v>246</v>
      </c>
      <c r="D48" s="3" t="s">
        <v>240</v>
      </c>
      <c r="E48" s="15">
        <f>Compras!C48</f>
        <v>4599</v>
      </c>
      <c r="F48" s="6">
        <f>Compras!D48</f>
        <v>0.40746684061752553</v>
      </c>
      <c r="G48" s="4">
        <f>Compras!B48</f>
        <v>1</v>
      </c>
      <c r="H48" s="15">
        <f>Compras!Q48</f>
        <v>2725.06</v>
      </c>
      <c r="I48" s="4">
        <f>Compras!P48</f>
        <v>1</v>
      </c>
      <c r="J48" s="22" t="s">
        <v>29</v>
      </c>
      <c r="K48" s="16">
        <f t="shared" si="0"/>
        <v>3259.7587499999995</v>
      </c>
      <c r="L48" s="17">
        <f t="shared" si="1"/>
        <v>3345.5418749999999</v>
      </c>
      <c r="M48" s="18">
        <f t="shared" si="2"/>
        <v>3431.3249999999998</v>
      </c>
    </row>
    <row r="49" spans="1:13" ht="31.2" x14ac:dyDescent="0.3">
      <c r="A49" s="20">
        <v>49</v>
      </c>
      <c r="B49" s="3" t="str">
        <f>Compras!A49</f>
        <v>DreamWorks 30th Anniversary: Shrek - Puss in Boots (Brown) 1596 Sticker Special Edition</v>
      </c>
      <c r="C49" s="3" t="s">
        <v>41</v>
      </c>
      <c r="D49" s="3" t="s">
        <v>247</v>
      </c>
      <c r="E49" s="15">
        <f>Compras!C49</f>
        <v>399</v>
      </c>
      <c r="F49" s="6">
        <f>Compras!D49</f>
        <v>0.50125313283208017</v>
      </c>
      <c r="G49" s="4">
        <f>Compras!B49</f>
        <v>1</v>
      </c>
      <c r="H49" s="15">
        <f>Compras!Q49</f>
        <v>199</v>
      </c>
      <c r="I49" s="4">
        <f>Compras!P49</f>
        <v>1</v>
      </c>
      <c r="J49" s="22" t="s">
        <v>29</v>
      </c>
      <c r="K49" s="16">
        <f t="shared" si="0"/>
        <v>410.625</v>
      </c>
      <c r="L49" s="17">
        <f t="shared" si="1"/>
        <v>342.1875</v>
      </c>
      <c r="M49" s="18">
        <f t="shared" si="2"/>
        <v>273.75</v>
      </c>
    </row>
    <row r="50" spans="1:13" ht="31.2" x14ac:dyDescent="0.3">
      <c r="A50" s="20">
        <v>50</v>
      </c>
      <c r="B50" s="3" t="str">
        <f>Compras!A50</f>
        <v>MathLink Cubes Numberblocks 11-20 Juego de Actividades, Actividades de Aprendizaje Preescolar</v>
      </c>
      <c r="C50" s="3" t="s">
        <v>243</v>
      </c>
      <c r="D50" s="3" t="s">
        <v>250</v>
      </c>
      <c r="E50" s="15">
        <f>Compras!C50</f>
        <v>810</v>
      </c>
      <c r="F50" s="6">
        <f>Compras!D50</f>
        <v>0.28890123456790123</v>
      </c>
      <c r="G50" s="4">
        <f>Compras!B50</f>
        <v>1</v>
      </c>
      <c r="H50" s="15">
        <f>Compras!Q50</f>
        <v>575.99</v>
      </c>
      <c r="I50" s="4">
        <f>Compras!P50</f>
        <v>1</v>
      </c>
      <c r="J50" s="22" t="s">
        <v>29</v>
      </c>
      <c r="K50" s="16">
        <f t="shared" si="0"/>
        <v>707.73812499999997</v>
      </c>
      <c r="L50" s="17">
        <f t="shared" si="1"/>
        <v>726.36281250000002</v>
      </c>
      <c r="M50" s="18">
        <f t="shared" si="2"/>
        <v>744.98749999999995</v>
      </c>
    </row>
    <row r="51" spans="1:13" ht="31.2" x14ac:dyDescent="0.3">
      <c r="A51" s="20">
        <v>51</v>
      </c>
      <c r="B51" s="3" t="str">
        <f>Compras!A51</f>
        <v>Gabby’s Dollhouse, muñeca Gabby de 20.3 cm</v>
      </c>
      <c r="C51" s="3" t="s">
        <v>60</v>
      </c>
      <c r="D51" s="3" t="s">
        <v>242</v>
      </c>
      <c r="E51" s="15">
        <f>Compras!C51</f>
        <v>399</v>
      </c>
      <c r="F51" s="6">
        <f>Compras!D51</f>
        <v>0.39285714285714285</v>
      </c>
      <c r="G51" s="4">
        <f>Compras!B51</f>
        <v>1</v>
      </c>
      <c r="H51" s="15">
        <f>Compras!Q51</f>
        <v>242.25</v>
      </c>
      <c r="I51" s="4">
        <f>Compras!P51</f>
        <v>1</v>
      </c>
      <c r="J51" s="22" t="s">
        <v>29</v>
      </c>
      <c r="K51" s="16">
        <f t="shared" si="0"/>
        <v>409.765625</v>
      </c>
      <c r="L51" s="17">
        <f t="shared" si="1"/>
        <v>368.7890625</v>
      </c>
      <c r="M51" s="18">
        <f t="shared" si="2"/>
        <v>327.8125</v>
      </c>
    </row>
    <row r="52" spans="1:13" ht="31.2" x14ac:dyDescent="0.3">
      <c r="A52" s="20">
        <v>52</v>
      </c>
      <c r="B52" s="3" t="str">
        <f>Compras!A52</f>
        <v>Hasbro, Baby Alive, Hora de Comer - Cabello Rubio, Muñeca para Niñas de 20 cm</v>
      </c>
      <c r="C52" s="3" t="s">
        <v>248</v>
      </c>
      <c r="D52" s="3" t="s">
        <v>242</v>
      </c>
      <c r="E52" s="15">
        <f>Compras!C52</f>
        <v>429</v>
      </c>
      <c r="F52" s="6">
        <f>Compras!D52</f>
        <v>0.4794871794871795</v>
      </c>
      <c r="G52" s="4">
        <f>Compras!B52</f>
        <v>1</v>
      </c>
      <c r="H52" s="15">
        <f>Compras!Q52</f>
        <v>223.3</v>
      </c>
      <c r="I52" s="4">
        <f>Compras!P52</f>
        <v>1</v>
      </c>
      <c r="J52" s="22" t="s">
        <v>29</v>
      </c>
      <c r="K52" s="16">
        <f t="shared" si="0"/>
        <v>380.15625</v>
      </c>
      <c r="L52" s="17">
        <f t="shared" si="1"/>
        <v>342.140625</v>
      </c>
      <c r="M52" s="18">
        <f t="shared" si="2"/>
        <v>304.125</v>
      </c>
    </row>
    <row r="53" spans="1:13" ht="31.2" x14ac:dyDescent="0.3">
      <c r="A53" s="20">
        <v>53</v>
      </c>
      <c r="B53" s="3" t="str">
        <f>Compras!A53</f>
        <v>Hasbro Hippos Glotones Juego para niños y niñas Preescolar, lanzamiento instantáneo de canicas</v>
      </c>
      <c r="C53" s="3" t="s">
        <v>248</v>
      </c>
      <c r="D53" s="3" t="s">
        <v>250</v>
      </c>
      <c r="E53" s="15">
        <f>Compras!C53</f>
        <v>499</v>
      </c>
      <c r="F53" s="6">
        <f>Compras!D53</f>
        <v>0.34859719438877756</v>
      </c>
      <c r="G53" s="4">
        <f>Compras!B53</f>
        <v>1</v>
      </c>
      <c r="H53" s="15">
        <f>Compras!Q53</f>
        <v>325.05</v>
      </c>
      <c r="I53" s="4">
        <f>Compras!P53</f>
        <v>1</v>
      </c>
      <c r="J53" s="22" t="s">
        <v>29</v>
      </c>
      <c r="K53" s="16">
        <f t="shared" si="0"/>
        <v>431.3125</v>
      </c>
      <c r="L53" s="17">
        <f t="shared" si="1"/>
        <v>431.3125</v>
      </c>
      <c r="M53" s="18">
        <f t="shared" si="2"/>
        <v>431.3125</v>
      </c>
    </row>
    <row r="54" spans="1:13" ht="31.2" x14ac:dyDescent="0.3">
      <c r="A54" s="20">
        <v>54</v>
      </c>
      <c r="B54" s="3" t="str">
        <f>Compras!A54</f>
        <v>Spin Master Juego de Pescar Vamos de Caza de Pinkfong Baby Shark</v>
      </c>
      <c r="C54" s="3" t="s">
        <v>249</v>
      </c>
      <c r="D54" s="3" t="s">
        <v>250</v>
      </c>
      <c r="E54" s="15">
        <f>Compras!C54</f>
        <v>429</v>
      </c>
      <c r="F54" s="6">
        <f>Compras!D54</f>
        <v>0.40312354312354315</v>
      </c>
      <c r="G54" s="4">
        <f>Compras!B54</f>
        <v>1</v>
      </c>
      <c r="H54" s="15">
        <f>Compras!Q54</f>
        <v>256.06</v>
      </c>
      <c r="I54" s="4">
        <f>Compras!P54</f>
        <v>1</v>
      </c>
      <c r="J54" s="22" t="s">
        <v>29</v>
      </c>
      <c r="K54" s="16">
        <f t="shared" si="0"/>
        <v>431.34375</v>
      </c>
      <c r="L54" s="17">
        <f t="shared" si="1"/>
        <v>388.20937500000002</v>
      </c>
      <c r="M54" s="18">
        <f t="shared" si="2"/>
        <v>345.07499999999999</v>
      </c>
    </row>
    <row r="55" spans="1:13" ht="31.2" x14ac:dyDescent="0.3">
      <c r="A55" s="20">
        <v>55</v>
      </c>
      <c r="B55" s="3" t="str">
        <f>Compras!A55</f>
        <v>MathLink Cubes Numberblocks 1-10 Juego de Actividades, Actividades de Aprendizaje Preescolar</v>
      </c>
      <c r="C55" s="3" t="s">
        <v>243</v>
      </c>
      <c r="D55" s="3" t="s">
        <v>250</v>
      </c>
      <c r="E55" s="15">
        <f>Compras!C55</f>
        <v>692</v>
      </c>
      <c r="F55" s="6">
        <f>Compras!D55</f>
        <v>0.35043352601156064</v>
      </c>
      <c r="G55" s="4">
        <f>Compras!B55</f>
        <v>1</v>
      </c>
      <c r="H55" s="15">
        <f>Compras!Q55</f>
        <v>449.5</v>
      </c>
      <c r="I55" s="4">
        <f>Compras!P55</f>
        <v>1</v>
      </c>
      <c r="J55" s="22" t="s">
        <v>29</v>
      </c>
      <c r="K55" s="16">
        <f t="shared" si="0"/>
        <v>586.875</v>
      </c>
      <c r="L55" s="17">
        <f t="shared" si="1"/>
        <v>586.875</v>
      </c>
      <c r="M55" s="18">
        <f t="shared" si="2"/>
        <v>586.875</v>
      </c>
    </row>
    <row r="56" spans="1:13" ht="31.2" x14ac:dyDescent="0.3">
      <c r="A56" s="20">
        <v>56</v>
      </c>
      <c r="B56" s="3" t="str">
        <f>Compras!A56</f>
        <v>Gabby's Dollhouse, Habitación con Figura de DJ Musicat</v>
      </c>
      <c r="C56" s="3" t="s">
        <v>60</v>
      </c>
      <c r="D56" s="3" t="s">
        <v>251</v>
      </c>
      <c r="E56" s="15">
        <f>Compras!C56</f>
        <v>679</v>
      </c>
      <c r="F56" s="6">
        <f>Compras!D56</f>
        <v>0.44490427098674518</v>
      </c>
      <c r="G56" s="4">
        <f>Compras!B56</f>
        <v>1</v>
      </c>
      <c r="H56" s="15">
        <f>Compras!Q56</f>
        <v>376.91</v>
      </c>
      <c r="I56" s="4">
        <f>Compras!P56</f>
        <v>1</v>
      </c>
      <c r="J56" s="22" t="s">
        <v>29</v>
      </c>
      <c r="K56" s="16">
        <f t="shared" si="0"/>
        <v>496.13750000000005</v>
      </c>
      <c r="L56" s="17">
        <f t="shared" si="1"/>
        <v>496.13750000000005</v>
      </c>
      <c r="M56" s="18">
        <f t="shared" si="2"/>
        <v>496.13750000000005</v>
      </c>
    </row>
    <row r="57" spans="1:13" ht="31.2" x14ac:dyDescent="0.3">
      <c r="A57" s="20">
        <v>57</v>
      </c>
      <c r="B57" s="3" t="str">
        <f>Compras!A57</f>
        <v xml:space="preserve">Prinsel Carrito de Compras Shopping Trolley, colores aleatorios </v>
      </c>
      <c r="C57" s="3" t="s">
        <v>61</v>
      </c>
      <c r="D57" s="3" t="s">
        <v>252</v>
      </c>
      <c r="E57" s="15">
        <f>Compras!C57</f>
        <v>299</v>
      </c>
      <c r="F57" s="6">
        <f>Compras!D57</f>
        <v>0.47826086956521741</v>
      </c>
      <c r="G57" s="4">
        <f>Compras!B57</f>
        <v>1</v>
      </c>
      <c r="H57" s="15">
        <f>Compras!Q57</f>
        <v>156</v>
      </c>
      <c r="I57" s="4">
        <f>Compras!P57</f>
        <v>1</v>
      </c>
      <c r="J57" s="22" t="s">
        <v>29</v>
      </c>
      <c r="K57" s="16">
        <f t="shared" si="0"/>
        <v>330</v>
      </c>
      <c r="L57" s="17">
        <f t="shared" si="1"/>
        <v>275</v>
      </c>
      <c r="M57" s="18">
        <f t="shared" si="2"/>
        <v>220</v>
      </c>
    </row>
    <row r="58" spans="1:13" ht="31.2" x14ac:dyDescent="0.3">
      <c r="A58" s="20">
        <v>58</v>
      </c>
      <c r="B58" s="3" t="str">
        <f>Compras!A58</f>
        <v>Funko Pop! VHS Cover: Disney - Toy Story - Disney Pixar: Toy Story - Exclusiva Amazon</v>
      </c>
      <c r="C58" s="3" t="s">
        <v>253</v>
      </c>
      <c r="D58" s="3" t="s">
        <v>247</v>
      </c>
      <c r="E58" s="15">
        <f>Compras!C58</f>
        <v>759</v>
      </c>
      <c r="F58" s="6">
        <f>Compras!D58</f>
        <v>0.50907773386034261</v>
      </c>
      <c r="G58" s="4">
        <f>Compras!B58</f>
        <v>1</v>
      </c>
      <c r="H58" s="15">
        <f>Compras!Q58</f>
        <v>372.61</v>
      </c>
      <c r="I58" s="4">
        <f>Compras!P58</f>
        <v>1</v>
      </c>
      <c r="J58" s="22" t="s">
        <v>29</v>
      </c>
      <c r="K58" s="16">
        <f t="shared" si="0"/>
        <v>490.76250000000005</v>
      </c>
      <c r="L58" s="17">
        <f t="shared" si="1"/>
        <v>490.76250000000005</v>
      </c>
      <c r="M58" s="18">
        <f t="shared" si="2"/>
        <v>490.76250000000005</v>
      </c>
    </row>
    <row r="59" spans="1:13" ht="31.2" x14ac:dyDescent="0.3">
      <c r="A59" s="20">
        <v>59</v>
      </c>
      <c r="B59" s="3" t="str">
        <f>Compras!A59</f>
        <v>Furby Furblets Peluche Miniamigo Ray-Vee con más de 45 Sonidos, música K-Po</v>
      </c>
      <c r="C59" s="3" t="s">
        <v>254</v>
      </c>
      <c r="D59" s="3" t="s">
        <v>28</v>
      </c>
      <c r="E59" s="15">
        <f>Compras!C59</f>
        <v>289</v>
      </c>
      <c r="F59" s="6">
        <f>Compras!D59</f>
        <v>0.34820069204152249</v>
      </c>
      <c r="G59" s="4">
        <f>Compras!B59</f>
        <v>1</v>
      </c>
      <c r="H59" s="15">
        <f>Compras!Q59</f>
        <v>188.37</v>
      </c>
      <c r="I59" s="4">
        <f>Compras!P59</f>
        <v>1</v>
      </c>
      <c r="J59" s="22" t="s">
        <v>29</v>
      </c>
      <c r="K59" s="16">
        <f t="shared" si="0"/>
        <v>390.69374999999997</v>
      </c>
      <c r="L59" s="17">
        <f t="shared" si="1"/>
        <v>325.578125</v>
      </c>
      <c r="M59" s="18">
        <f t="shared" si="2"/>
        <v>260.46249999999998</v>
      </c>
    </row>
    <row r="60" spans="1:13" ht="31.2" x14ac:dyDescent="0.3">
      <c r="A60" s="20">
        <v>60</v>
      </c>
      <c r="B60" s="3" t="str">
        <f>Compras!A60</f>
        <v>Ruz Juguete Muñeca Toddler 13" Disney Minnie Mouse Unicornio</v>
      </c>
      <c r="C60" s="3" t="s">
        <v>41</v>
      </c>
      <c r="D60" s="3" t="s">
        <v>242</v>
      </c>
      <c r="E60" s="15">
        <f>Compras!C60</f>
        <v>799</v>
      </c>
      <c r="F60" s="6">
        <f>Compras!D60</f>
        <v>0.50997496871088865</v>
      </c>
      <c r="G60" s="4">
        <f>Compras!B60</f>
        <v>1</v>
      </c>
      <c r="H60" s="15">
        <f>Compras!Q60</f>
        <v>391.53</v>
      </c>
      <c r="I60" s="4">
        <f>Compras!P60</f>
        <v>1</v>
      </c>
      <c r="J60" s="22" t="s">
        <v>29</v>
      </c>
      <c r="K60" s="16">
        <f t="shared" si="0"/>
        <v>514.41249999999991</v>
      </c>
      <c r="L60" s="17">
        <f t="shared" si="1"/>
        <v>514.41249999999991</v>
      </c>
      <c r="M60" s="18">
        <f t="shared" si="2"/>
        <v>514.41249999999991</v>
      </c>
    </row>
    <row r="61" spans="1:13" ht="46.8" x14ac:dyDescent="0.3">
      <c r="A61" s="20">
        <v>61</v>
      </c>
      <c r="B61" s="3" t="str">
        <f>Compras!A61</f>
        <v>Coche rc 4WD con luces Led de música, acrobacias, con Control remoto por gestos, 2,4G, rotación 360, rojo</v>
      </c>
      <c r="C61" s="3" t="s">
        <v>255</v>
      </c>
      <c r="D61" s="3" t="s">
        <v>256</v>
      </c>
      <c r="E61" s="15">
        <f>Compras!C61</f>
        <v>818.61</v>
      </c>
      <c r="F61" s="6">
        <f>Compras!D61</f>
        <v>0.60848267184617821</v>
      </c>
      <c r="G61" s="4">
        <f>Compras!B61</f>
        <v>1</v>
      </c>
      <c r="H61" s="15">
        <f>Compras!Q61</f>
        <v>275.37</v>
      </c>
      <c r="I61" s="4">
        <f>Compras!P61</f>
        <v>1</v>
      </c>
      <c r="J61" s="22" t="s">
        <v>29</v>
      </c>
      <c r="K61" s="16">
        <f t="shared" si="0"/>
        <v>461.515625</v>
      </c>
      <c r="L61" s="17">
        <f t="shared" si="1"/>
        <v>415.36406249999999</v>
      </c>
      <c r="M61" s="18">
        <f t="shared" si="2"/>
        <v>369.21249999999998</v>
      </c>
    </row>
    <row r="62" spans="1:13" ht="31.2" x14ac:dyDescent="0.3">
      <c r="A62" s="20">
        <v>62</v>
      </c>
      <c r="B62" s="3" t="str">
        <f>Compras!A62</f>
        <v>Coche 4WD RC, 2,4G, reloj teledirigido, Sensor de gestos, rotación giratoria, Stunt Drift, verde</v>
      </c>
      <c r="C62" s="3" t="s">
        <v>255</v>
      </c>
      <c r="D62" s="3" t="s">
        <v>256</v>
      </c>
      <c r="E62" s="15">
        <f>Compras!C62</f>
        <v>767.32</v>
      </c>
      <c r="F62" s="6">
        <f>Compras!D62</f>
        <v>0.5631027472241048</v>
      </c>
      <c r="G62" s="4">
        <f>Compras!B62</f>
        <v>1</v>
      </c>
      <c r="H62" s="15">
        <f>Compras!Q62</f>
        <v>288.02</v>
      </c>
      <c r="I62" s="4">
        <f>Compras!P62</f>
        <v>1</v>
      </c>
      <c r="J62" s="22" t="s">
        <v>29</v>
      </c>
      <c r="K62" s="16">
        <f t="shared" si="0"/>
        <v>481.28125</v>
      </c>
      <c r="L62" s="17">
        <f t="shared" si="1"/>
        <v>433.15312499999999</v>
      </c>
      <c r="M62" s="18">
        <f t="shared" si="2"/>
        <v>385.02499999999998</v>
      </c>
    </row>
    <row r="63" spans="1:13" ht="31.2" x14ac:dyDescent="0.3">
      <c r="A63" s="20">
        <v>63</v>
      </c>
      <c r="B63" s="3" t="str">
        <f>Compras!A63</f>
        <v>Lampara figura de luz nocturna, Luffy, Zoro, Nami, Sanji, Chopper</v>
      </c>
      <c r="C63" s="3" t="s">
        <v>257</v>
      </c>
      <c r="D63" s="3" t="s">
        <v>66</v>
      </c>
      <c r="E63" s="15">
        <f>Compras!C63</f>
        <v>1440.17</v>
      </c>
      <c r="F63" s="6">
        <f>Compras!D63</f>
        <v>0.54782421519681701</v>
      </c>
      <c r="G63" s="4">
        <f>Compras!B63</f>
        <v>1</v>
      </c>
      <c r="H63" s="15">
        <f>Compras!Q63</f>
        <v>562.21</v>
      </c>
      <c r="I63" s="4">
        <f>Compras!P63</f>
        <v>3</v>
      </c>
      <c r="J63" s="22" t="s">
        <v>29</v>
      </c>
      <c r="K63" s="16">
        <f t="shared" si="0"/>
        <v>453.69479166666667</v>
      </c>
      <c r="L63" s="17">
        <f t="shared" si="1"/>
        <v>356.4744791666667</v>
      </c>
      <c r="M63" s="18">
        <f t="shared" si="2"/>
        <v>259.25416666666666</v>
      </c>
    </row>
    <row r="64" spans="1:13" ht="31.2" x14ac:dyDescent="0.3">
      <c r="A64" s="20">
        <v>64</v>
      </c>
      <c r="B64" s="3" t="str">
        <f>Compras!A64</f>
        <v>Muñeco de peluche con música, gato Disney, con sonido de luz y aliento</v>
      </c>
      <c r="C64" s="3" t="s">
        <v>41</v>
      </c>
      <c r="D64" s="3" t="s">
        <v>28</v>
      </c>
      <c r="E64" s="15">
        <f>Compras!C64</f>
        <v>217.11</v>
      </c>
      <c r="F64" s="6">
        <f>Compras!D64</f>
        <v>5.4120031320528755E-2</v>
      </c>
      <c r="G64" s="4">
        <f>Compras!B64</f>
        <v>1</v>
      </c>
      <c r="H64" s="15">
        <f>Compras!Q64</f>
        <v>177.28000000000003</v>
      </c>
      <c r="I64" s="4">
        <f>Compras!P64</f>
        <v>1</v>
      </c>
      <c r="J64" s="22" t="s">
        <v>29</v>
      </c>
      <c r="K64" s="16">
        <f t="shared" si="0"/>
        <v>318.47800000000007</v>
      </c>
      <c r="L64" s="17">
        <f t="shared" si="1"/>
        <v>326.85900000000004</v>
      </c>
      <c r="M64" s="18">
        <f t="shared" si="2"/>
        <v>335.24000000000007</v>
      </c>
    </row>
    <row r="65" spans="1:13" ht="31.2" x14ac:dyDescent="0.3">
      <c r="A65" s="20">
        <v>65</v>
      </c>
      <c r="B65" s="3" t="str">
        <f>Compras!A65</f>
        <v>Juguete de Peluche de hombre de jengibre, galleta de Peluche</v>
      </c>
      <c r="C65" s="3" t="s">
        <v>41</v>
      </c>
      <c r="D65" s="3" t="s">
        <v>28</v>
      </c>
      <c r="E65" s="15">
        <f>Compras!C65</f>
        <v>176.65</v>
      </c>
      <c r="F65" s="6">
        <f>Compras!D65</f>
        <v>0.54933484290970847</v>
      </c>
      <c r="G65" s="4">
        <f>Compras!B65</f>
        <v>1</v>
      </c>
      <c r="H65" s="15">
        <f>Compras!Q65</f>
        <v>67.36</v>
      </c>
      <c r="I65" s="4">
        <f>Compras!P65</f>
        <v>1</v>
      </c>
      <c r="J65" s="22" t="s">
        <v>29</v>
      </c>
      <c r="K65" s="16">
        <f t="shared" si="0"/>
        <v>191.1</v>
      </c>
      <c r="L65" s="17">
        <f t="shared" si="1"/>
        <v>150.15</v>
      </c>
      <c r="M65" s="18">
        <f t="shared" si="2"/>
        <v>109.2</v>
      </c>
    </row>
    <row r="66" spans="1:13" x14ac:dyDescent="0.3">
      <c r="A66" s="20">
        <v>66</v>
      </c>
      <c r="B66" s="3" t="str">
        <f>Compras!A66</f>
        <v>Disney Lucifer-peluche Kawaii, Gato de Cenicienta</v>
      </c>
      <c r="C66" s="3" t="s">
        <v>41</v>
      </c>
      <c r="D66" s="3" t="s">
        <v>28</v>
      </c>
      <c r="E66" s="15">
        <f>Compras!C66</f>
        <v>422.31</v>
      </c>
      <c r="F66" s="6">
        <f>Compras!D66</f>
        <v>0.67630413677156598</v>
      </c>
      <c r="G66" s="4">
        <f>Compras!B66</f>
        <v>1</v>
      </c>
      <c r="H66" s="15">
        <f>Compras!Q66</f>
        <v>116.86</v>
      </c>
      <c r="I66" s="4">
        <f>Compras!P66</f>
        <v>1</v>
      </c>
      <c r="J66" s="22" t="s">
        <v>29</v>
      </c>
      <c r="K66" s="16">
        <f t="shared" ref="K66:K129" si="3">M66* (IF(M66-H66&lt;100, IF(M66-H66&gt;80, 1.25, IF(M66-H66&gt;50, 1.5, 1.75)), IF(M66-H66&gt;150, 0.95, IF(M66-H66&gt;170, 0.9, 1))))</f>
        <v>256.61249999999995</v>
      </c>
      <c r="L66" s="17">
        <f t="shared" ref="L66:L129" si="4">(K66+M66)/2</f>
        <v>213.84374999999997</v>
      </c>
      <c r="M66" s="18">
        <f t="shared" ref="M66:M129" si="5">(H66/I66) * ( IF(E66&gt;H66, IF(E66-H66&gt;100, 1.25, IF(E66-H66&gt;50, 1.5, 1.75)), IF(H66-E66&gt;100, 1.25, IF(H66-E66&gt;50, 1.5, 1.75))) ) + 25</f>
        <v>171.07499999999999</v>
      </c>
    </row>
    <row r="67" spans="1:13" ht="31.2" x14ac:dyDescent="0.3">
      <c r="A67" s="20">
        <v>67</v>
      </c>
      <c r="B67" s="3" t="str">
        <f>Compras!A67</f>
        <v>Set plantas vs Zombies 2 tiburón mecánico Salvaje Oeste Gargantuar - Gigante</v>
      </c>
      <c r="C67" s="3" t="s">
        <v>231</v>
      </c>
      <c r="D67" s="3" t="s">
        <v>44</v>
      </c>
      <c r="E67" s="15">
        <f>Compras!C67</f>
        <v>511.72</v>
      </c>
      <c r="F67" s="6">
        <f>Compras!D67</f>
        <v>0.70665598374110838</v>
      </c>
      <c r="G67" s="4">
        <f>Compras!B67</f>
        <v>1</v>
      </c>
      <c r="H67" s="15">
        <f>Compras!Q67</f>
        <v>128.31000000000003</v>
      </c>
      <c r="I67" s="4">
        <f>Compras!P67</f>
        <v>1</v>
      </c>
      <c r="J67" s="22" t="s">
        <v>29</v>
      </c>
      <c r="K67" s="16">
        <f t="shared" si="3"/>
        <v>278.08125000000007</v>
      </c>
      <c r="L67" s="17">
        <f t="shared" si="4"/>
        <v>231.73437500000006</v>
      </c>
      <c r="M67" s="18">
        <f t="shared" si="5"/>
        <v>185.38750000000005</v>
      </c>
    </row>
    <row r="68" spans="1:13" ht="31.2" x14ac:dyDescent="0.3">
      <c r="A68" s="20">
        <v>68</v>
      </c>
      <c r="B68" s="3" t="str">
        <f>Compras!A68</f>
        <v>Set plantas vs Zombies 2 tiburón mecánico Salvaje Oeste Gargantuar - Barco Pirata</v>
      </c>
      <c r="C68" s="3" t="s">
        <v>231</v>
      </c>
      <c r="D68" s="3" t="s">
        <v>44</v>
      </c>
      <c r="E68" s="15">
        <f>Compras!C68</f>
        <v>381.69</v>
      </c>
      <c r="F68" s="6">
        <f>Compras!D68</f>
        <v>0.70667295449186507</v>
      </c>
      <c r="G68" s="4">
        <f>Compras!B68</f>
        <v>1</v>
      </c>
      <c r="H68" s="15">
        <f>Compras!Q68</f>
        <v>95.699999999999989</v>
      </c>
      <c r="I68" s="4">
        <f>Compras!P68</f>
        <v>1</v>
      </c>
      <c r="J68" s="22" t="s">
        <v>29</v>
      </c>
      <c r="K68" s="16">
        <f t="shared" si="3"/>
        <v>253.09375</v>
      </c>
      <c r="L68" s="17">
        <f t="shared" si="4"/>
        <v>198.859375</v>
      </c>
      <c r="M68" s="18">
        <f t="shared" si="5"/>
        <v>144.625</v>
      </c>
    </row>
    <row r="69" spans="1:13" ht="31.2" x14ac:dyDescent="0.3">
      <c r="A69" s="20">
        <v>69</v>
      </c>
      <c r="B69" s="3" t="str">
        <f>Compras!A69</f>
        <v>Sanrio Kawali Tiger Kuromi Hello Kitty My Melody Cinnamoroll almohada de felpa, Kuromi unicornio</v>
      </c>
      <c r="C69" s="3" t="s">
        <v>38</v>
      </c>
      <c r="D69" s="3" t="s">
        <v>28</v>
      </c>
      <c r="E69" s="15">
        <f>Compras!C69</f>
        <v>112.71</v>
      </c>
      <c r="F69" s="6">
        <f>Compras!D69</f>
        <v>7.6834353650962625E-2</v>
      </c>
      <c r="G69" s="4">
        <f>Compras!B69</f>
        <v>1</v>
      </c>
      <c r="H69" s="15">
        <f>Compras!Q69</f>
        <v>89.91</v>
      </c>
      <c r="I69" s="4">
        <f>Compras!P69</f>
        <v>1</v>
      </c>
      <c r="J69" s="22" t="s">
        <v>29</v>
      </c>
      <c r="K69" s="16">
        <f t="shared" si="3"/>
        <v>227.92812499999999</v>
      </c>
      <c r="L69" s="17">
        <f t="shared" si="4"/>
        <v>205.1353125</v>
      </c>
      <c r="M69" s="18">
        <f t="shared" si="5"/>
        <v>182.3425</v>
      </c>
    </row>
    <row r="70" spans="1:13" ht="31.2" x14ac:dyDescent="0.3">
      <c r="A70" s="20">
        <v>70</v>
      </c>
      <c r="B70" s="3" t="str">
        <f>Compras!A70</f>
        <v>Sanrio Kawali Tiger Kuromi Hello Kitty My Melody Cinnamoroll almohada de felpa, Melody unicornio</v>
      </c>
      <c r="C70" s="3" t="s">
        <v>38</v>
      </c>
      <c r="D70" s="3" t="s">
        <v>28</v>
      </c>
      <c r="E70" s="15">
        <f>Compras!C70</f>
        <v>113.33</v>
      </c>
      <c r="F70" s="6">
        <f>Compras!D70</f>
        <v>7.6325774287478956E-2</v>
      </c>
      <c r="G70" s="4">
        <f>Compras!B70</f>
        <v>1</v>
      </c>
      <c r="H70" s="15">
        <f>Compras!Q70</f>
        <v>90.47</v>
      </c>
      <c r="I70" s="4">
        <f>Compras!P70</f>
        <v>1</v>
      </c>
      <c r="J70" s="22" t="s">
        <v>29</v>
      </c>
      <c r="K70" s="16">
        <f t="shared" si="3"/>
        <v>229.15312499999999</v>
      </c>
      <c r="L70" s="17">
        <f t="shared" si="4"/>
        <v>206.23781249999999</v>
      </c>
      <c r="M70" s="18">
        <f t="shared" si="5"/>
        <v>183.32249999999999</v>
      </c>
    </row>
    <row r="71" spans="1:13" ht="31.2" x14ac:dyDescent="0.3">
      <c r="A71" s="20">
        <v>71</v>
      </c>
      <c r="B71" s="3" t="str">
        <f>Compras!A71</f>
        <v>Sanrio Kawali Tiger Kuromi Hello Kitty My Melody Cinnamoroll almohada de felpa, HK unicornio</v>
      </c>
      <c r="C71" s="3" t="s">
        <v>38</v>
      </c>
      <c r="D71" s="3" t="s">
        <v>28</v>
      </c>
      <c r="E71" s="15">
        <f>Compras!C71</f>
        <v>112.71</v>
      </c>
      <c r="F71" s="6">
        <f>Compras!D71</f>
        <v>7.6834353650962625E-2</v>
      </c>
      <c r="G71" s="4">
        <f>Compras!B71</f>
        <v>1</v>
      </c>
      <c r="H71" s="15">
        <f>Compras!Q71</f>
        <v>89.91</v>
      </c>
      <c r="I71" s="4">
        <f>Compras!P71</f>
        <v>1</v>
      </c>
      <c r="J71" s="22" t="s">
        <v>29</v>
      </c>
      <c r="K71" s="16">
        <f t="shared" si="3"/>
        <v>227.92812499999999</v>
      </c>
      <c r="L71" s="17">
        <f t="shared" si="4"/>
        <v>205.1353125</v>
      </c>
      <c r="M71" s="18">
        <f t="shared" si="5"/>
        <v>182.3425</v>
      </c>
    </row>
    <row r="72" spans="1:13" ht="46.8" x14ac:dyDescent="0.3">
      <c r="A72" s="20">
        <v>72</v>
      </c>
      <c r="B72" s="3" t="str">
        <f>Compras!A72</f>
        <v>Sanrio Kawali Tiger Kuromi Hello Kitty My Melody Cinnamoroll almohada de felpa, Cinnamoroll unicornio</v>
      </c>
      <c r="C72" s="3" t="s">
        <v>38</v>
      </c>
      <c r="D72" s="3" t="s">
        <v>28</v>
      </c>
      <c r="E72" s="15">
        <f>Compras!C72</f>
        <v>116.83</v>
      </c>
      <c r="F72" s="6">
        <f>Compras!D72</f>
        <v>7.3611229992296454E-2</v>
      </c>
      <c r="G72" s="4">
        <f>Compras!B72</f>
        <v>1</v>
      </c>
      <c r="H72" s="15">
        <f>Compras!Q72</f>
        <v>93.490000000000009</v>
      </c>
      <c r="I72" s="4">
        <f>Compras!P72</f>
        <v>1</v>
      </c>
      <c r="J72" s="22" t="s">
        <v>29</v>
      </c>
      <c r="K72" s="16">
        <f t="shared" si="3"/>
        <v>235.75937500000003</v>
      </c>
      <c r="L72" s="17">
        <f t="shared" si="4"/>
        <v>212.18343750000003</v>
      </c>
      <c r="M72" s="18">
        <f t="shared" si="5"/>
        <v>188.60750000000002</v>
      </c>
    </row>
    <row r="73" spans="1:13" ht="31.2" x14ac:dyDescent="0.3">
      <c r="A73" s="20">
        <v>73</v>
      </c>
      <c r="B73" s="3" t="str">
        <f>Compras!A73</f>
        <v>Sanrio Kawali Tiger Kuromi Hello Kitty My Melody Cinnamoroll almohada de felpa, Kuromi</v>
      </c>
      <c r="C73" s="3" t="s">
        <v>38</v>
      </c>
      <c r="D73" s="3" t="s">
        <v>28</v>
      </c>
      <c r="E73" s="15">
        <f>Compras!C73</f>
        <v>111.48</v>
      </c>
      <c r="F73" s="6">
        <f>Compras!D73</f>
        <v>7.7861499820595675E-2</v>
      </c>
      <c r="G73" s="4">
        <f>Compras!B73</f>
        <v>1</v>
      </c>
      <c r="H73" s="15">
        <f>Compras!Q73</f>
        <v>88.809999999999988</v>
      </c>
      <c r="I73" s="4">
        <f>Compras!P73</f>
        <v>1</v>
      </c>
      <c r="J73" s="22" t="s">
        <v>29</v>
      </c>
      <c r="K73" s="16">
        <f t="shared" si="3"/>
        <v>225.52187499999999</v>
      </c>
      <c r="L73" s="17">
        <f t="shared" si="4"/>
        <v>202.96968749999999</v>
      </c>
      <c r="M73" s="18">
        <f t="shared" si="5"/>
        <v>180.41749999999999</v>
      </c>
    </row>
    <row r="74" spans="1:13" ht="31.2" x14ac:dyDescent="0.3">
      <c r="A74" s="20">
        <v>74</v>
      </c>
      <c r="B74" s="3" t="str">
        <f>Compras!A74</f>
        <v>Sanrio Kawali Tiger Kuromi Hello Kitty My Melody Cinnamoroll almohada de felpa, Tiger</v>
      </c>
      <c r="C74" s="3" t="s">
        <v>38</v>
      </c>
      <c r="D74" s="3" t="s">
        <v>28</v>
      </c>
      <c r="E74" s="15">
        <f>Compras!C74</f>
        <v>111.06</v>
      </c>
      <c r="F74" s="6">
        <f>Compras!D74</f>
        <v>7.8155951737799448E-2</v>
      </c>
      <c r="G74" s="4">
        <f>Compras!B74</f>
        <v>1</v>
      </c>
      <c r="H74" s="15">
        <f>Compras!Q74</f>
        <v>88.44</v>
      </c>
      <c r="I74" s="4">
        <f>Compras!P74</f>
        <v>1</v>
      </c>
      <c r="J74" s="22" t="s">
        <v>29</v>
      </c>
      <c r="K74" s="16">
        <f t="shared" si="3"/>
        <v>224.71249999999998</v>
      </c>
      <c r="L74" s="17">
        <f t="shared" si="4"/>
        <v>202.24124999999998</v>
      </c>
      <c r="M74" s="18">
        <f t="shared" si="5"/>
        <v>179.76999999999998</v>
      </c>
    </row>
    <row r="75" spans="1:13" ht="31.2" x14ac:dyDescent="0.3">
      <c r="A75" s="20">
        <v>75</v>
      </c>
      <c r="B75" s="3" t="str">
        <f>Compras!A75</f>
        <v>Sanrio Kawali Tiger Kuromi Hello Kitty My Melody Cinnamoroll almohada de felpa, Cinnamoroll</v>
      </c>
      <c r="C75" s="3" t="s">
        <v>38</v>
      </c>
      <c r="D75" s="3" t="s">
        <v>28</v>
      </c>
      <c r="E75" s="15">
        <f>Compras!C75</f>
        <v>112.3</v>
      </c>
      <c r="F75" s="6">
        <f>Compras!D75</f>
        <v>7.7114870881567196E-2</v>
      </c>
      <c r="G75" s="4">
        <f>Compras!B75</f>
        <v>1</v>
      </c>
      <c r="H75" s="15">
        <f>Compras!Q75</f>
        <v>89.55</v>
      </c>
      <c r="I75" s="4">
        <f>Compras!P75</f>
        <v>1</v>
      </c>
      <c r="J75" s="22" t="s">
        <v>29</v>
      </c>
      <c r="K75" s="16">
        <f t="shared" si="3"/>
        <v>227.140625</v>
      </c>
      <c r="L75" s="17">
        <f t="shared" si="4"/>
        <v>204.42656249999999</v>
      </c>
      <c r="M75" s="18">
        <f t="shared" si="5"/>
        <v>181.71250000000001</v>
      </c>
    </row>
    <row r="76" spans="1:13" ht="31.2" x14ac:dyDescent="0.3">
      <c r="A76" s="20">
        <v>76</v>
      </c>
      <c r="B76" s="3" t="str">
        <f>Compras!A76</f>
        <v>Hello Kitty-reproductor de discos Kawaii Sanrio Cinnamoroll Ins, lindo Altavoz Bluetooth Kuromi</v>
      </c>
      <c r="C76" s="3" t="s">
        <v>234</v>
      </c>
      <c r="D76" s="3" t="s">
        <v>258</v>
      </c>
      <c r="E76" s="15">
        <f>Compras!C76</f>
        <v>292.70999999999998</v>
      </c>
      <c r="F76" s="6">
        <f>Compras!D76</f>
        <v>0.41334426565542687</v>
      </c>
      <c r="G76" s="4">
        <f>Compras!B76</f>
        <v>1</v>
      </c>
      <c r="H76" s="15">
        <f>Compras!Q76</f>
        <v>394.27</v>
      </c>
      <c r="I76" s="4">
        <f>Compras!P76</f>
        <v>1</v>
      </c>
      <c r="J76" s="22" t="s">
        <v>29</v>
      </c>
      <c r="K76" s="16">
        <f t="shared" si="3"/>
        <v>517.83749999999998</v>
      </c>
      <c r="L76" s="17">
        <f t="shared" si="4"/>
        <v>517.83749999999998</v>
      </c>
      <c r="M76" s="18">
        <f t="shared" si="5"/>
        <v>517.83749999999998</v>
      </c>
    </row>
    <row r="77" spans="1:13" x14ac:dyDescent="0.3">
      <c r="A77" s="20">
        <v>77</v>
      </c>
      <c r="B77" s="3" t="str">
        <f>Compras!A77</f>
        <v>Peluche Kawaii Garfield, 35Cm</v>
      </c>
      <c r="C77" s="3" t="s">
        <v>410</v>
      </c>
      <c r="D77" s="3" t="s">
        <v>28</v>
      </c>
      <c r="E77" s="15">
        <f>Compras!C77</f>
        <v>329.79</v>
      </c>
      <c r="F77" s="6">
        <f>Compras!D77</f>
        <v>0.45146911671063406</v>
      </c>
      <c r="G77" s="4">
        <f>Compras!B77</f>
        <v>1</v>
      </c>
      <c r="H77" s="15">
        <f>Compras!Q77</f>
        <v>154.62</v>
      </c>
      <c r="I77" s="4">
        <f>Compras!P77</f>
        <v>1</v>
      </c>
      <c r="J77" s="22" t="s">
        <v>29</v>
      </c>
      <c r="K77" s="16">
        <f t="shared" si="3"/>
        <v>327.41250000000002</v>
      </c>
      <c r="L77" s="17">
        <f t="shared" si="4"/>
        <v>272.84375</v>
      </c>
      <c r="M77" s="18">
        <f t="shared" si="5"/>
        <v>218.27500000000001</v>
      </c>
    </row>
    <row r="78" spans="1:13" x14ac:dyDescent="0.3">
      <c r="A78" s="20">
        <v>78</v>
      </c>
      <c r="B78" s="3" t="str">
        <f>Compras!A78</f>
        <v>Peluche Kawaii Garfield, 25Cm</v>
      </c>
      <c r="C78" s="3" t="s">
        <v>410</v>
      </c>
      <c r="D78" s="3" t="s">
        <v>28</v>
      </c>
      <c r="E78" s="15">
        <f>Compras!C78</f>
        <v>152.82</v>
      </c>
      <c r="F78" s="6">
        <f>Compras!D78</f>
        <v>0.47166601230205474</v>
      </c>
      <c r="G78" s="4">
        <f>Compras!B78</f>
        <v>1</v>
      </c>
      <c r="H78" s="15">
        <f>Compras!Q78</f>
        <v>69.02</v>
      </c>
      <c r="I78" s="4">
        <f>Compras!P78</f>
        <v>1</v>
      </c>
      <c r="J78" s="22" t="s">
        <v>29</v>
      </c>
      <c r="K78" s="16">
        <f t="shared" si="3"/>
        <v>192.79500000000002</v>
      </c>
      <c r="L78" s="17">
        <f t="shared" si="4"/>
        <v>160.66250000000002</v>
      </c>
      <c r="M78" s="18">
        <f t="shared" si="5"/>
        <v>128.53</v>
      </c>
    </row>
    <row r="79" spans="1:13" ht="31.2" x14ac:dyDescent="0.3">
      <c r="A79" s="20">
        <v>79</v>
      </c>
      <c r="B79" s="3" t="str">
        <f>Compras!A79</f>
        <v>Muñeco de peluche verde de 32cm para niños, muñeco de peluche Grinch</v>
      </c>
      <c r="C79" s="3" t="s">
        <v>41</v>
      </c>
      <c r="D79" s="3" t="s">
        <v>28</v>
      </c>
      <c r="E79" s="15">
        <f>Compras!C79</f>
        <v>212.23</v>
      </c>
      <c r="F79" s="6">
        <f>Compras!D79</f>
        <v>0.70673326108467227</v>
      </c>
      <c r="G79" s="4">
        <f>Compras!B79</f>
        <v>1</v>
      </c>
      <c r="H79" s="15">
        <f>Compras!Q79</f>
        <v>53.19</v>
      </c>
      <c r="I79" s="4">
        <f>Compras!P79</f>
        <v>1</v>
      </c>
      <c r="J79" s="22" t="s">
        <v>29</v>
      </c>
      <c r="K79" s="16">
        <f t="shared" si="3"/>
        <v>160.10312500000001</v>
      </c>
      <c r="L79" s="17">
        <f t="shared" si="4"/>
        <v>125.79531249999999</v>
      </c>
      <c r="M79" s="18">
        <f t="shared" si="5"/>
        <v>91.487499999999997</v>
      </c>
    </row>
    <row r="80" spans="1:13" ht="31.2" x14ac:dyDescent="0.3">
      <c r="A80" s="20">
        <v>80</v>
      </c>
      <c r="B80" s="3" t="str">
        <f>Compras!A80</f>
        <v>Muñecos de peluche de 2 estilos, banda de TROLLS, Ramon</v>
      </c>
      <c r="C80" s="3" t="s">
        <v>237</v>
      </c>
      <c r="D80" s="3" t="s">
        <v>28</v>
      </c>
      <c r="E80" s="15">
        <f>Compras!C80</f>
        <v>305.2</v>
      </c>
      <c r="F80" s="6">
        <f>Compras!D80</f>
        <v>0.72077326343381387</v>
      </c>
      <c r="G80" s="4">
        <f>Compras!B80</f>
        <v>1</v>
      </c>
      <c r="H80" s="15">
        <f>Compras!Q80</f>
        <v>72.84</v>
      </c>
      <c r="I80" s="4">
        <f>Compras!P80</f>
        <v>1</v>
      </c>
      <c r="J80" s="22" t="s">
        <v>29</v>
      </c>
      <c r="K80" s="16">
        <f t="shared" si="3"/>
        <v>203.08750000000003</v>
      </c>
      <c r="L80" s="17">
        <f t="shared" si="4"/>
        <v>159.56875000000002</v>
      </c>
      <c r="M80" s="18">
        <f t="shared" si="5"/>
        <v>116.05000000000001</v>
      </c>
    </row>
    <row r="81" spans="1:13" ht="31.2" x14ac:dyDescent="0.3">
      <c r="A81" s="20">
        <v>81</v>
      </c>
      <c r="B81" s="3" t="str">
        <f>Compras!A81</f>
        <v>Miniso Sanrio Kuromi Cinnamoroll proyector de luz de proyección musical, caja de música</v>
      </c>
      <c r="C81" s="3" t="s">
        <v>38</v>
      </c>
      <c r="D81" s="3" t="s">
        <v>66</v>
      </c>
      <c r="E81" s="15">
        <f>Compras!C81</f>
        <v>390.42</v>
      </c>
      <c r="F81" s="6">
        <f>Compras!D81</f>
        <v>0.40968700373956252</v>
      </c>
      <c r="G81" s="4">
        <f>Compras!B81</f>
        <v>1</v>
      </c>
      <c r="H81" s="15">
        <f>Compras!Q81</f>
        <v>362.78</v>
      </c>
      <c r="I81" s="4">
        <f>Compras!P81</f>
        <v>1</v>
      </c>
      <c r="J81" s="22" t="s">
        <v>29</v>
      </c>
      <c r="K81" s="16">
        <f t="shared" si="3"/>
        <v>626.87175000000002</v>
      </c>
      <c r="L81" s="17">
        <f t="shared" si="4"/>
        <v>643.36837500000001</v>
      </c>
      <c r="M81" s="18">
        <f t="shared" si="5"/>
        <v>659.86500000000001</v>
      </c>
    </row>
    <row r="82" spans="1:13" ht="31.2" x14ac:dyDescent="0.3">
      <c r="A82" s="20">
        <v>82</v>
      </c>
      <c r="B82" s="3" t="str">
        <f>Compras!A82</f>
        <v>Peluche de Tortugas Ninja, TMNT, Leo, Raph, Mike, Don, 25cm - DON</v>
      </c>
      <c r="C82" s="3" t="s">
        <v>259</v>
      </c>
      <c r="D82" s="3" t="s">
        <v>28</v>
      </c>
      <c r="E82" s="15">
        <f>Compras!C82</f>
        <v>149.15</v>
      </c>
      <c r="F82" s="6">
        <f>Compras!D82</f>
        <v>0.53469661414683201</v>
      </c>
      <c r="G82" s="4">
        <f>Compras!B82</f>
        <v>1</v>
      </c>
      <c r="H82" s="15">
        <f>Compras!Q82</f>
        <v>59.330000000000013</v>
      </c>
      <c r="I82" s="4">
        <f>Compras!P82</f>
        <v>1</v>
      </c>
      <c r="J82" s="22" t="s">
        <v>29</v>
      </c>
      <c r="K82" s="16">
        <f t="shared" si="3"/>
        <v>170.99250000000004</v>
      </c>
      <c r="L82" s="17">
        <f t="shared" si="4"/>
        <v>142.49375000000003</v>
      </c>
      <c r="M82" s="18">
        <f t="shared" si="5"/>
        <v>113.99500000000002</v>
      </c>
    </row>
    <row r="83" spans="1:13" ht="31.2" x14ac:dyDescent="0.3">
      <c r="A83" s="20">
        <v>83</v>
      </c>
      <c r="B83" s="3" t="str">
        <f>Compras!A83</f>
        <v>Peluche de Tortugas Ninja, TMNT, Leo, Raph, Mike, Don, 25cm - LEO</v>
      </c>
      <c r="C83" s="3" t="s">
        <v>259</v>
      </c>
      <c r="D83" s="3" t="s">
        <v>28</v>
      </c>
      <c r="E83" s="15">
        <f>Compras!C83</f>
        <v>150.06</v>
      </c>
      <c r="F83" s="6">
        <f>Compras!D83</f>
        <v>0.53465280554444883</v>
      </c>
      <c r="G83" s="4">
        <f>Compras!B83</f>
        <v>1</v>
      </c>
      <c r="H83" s="15">
        <f>Compras!Q83</f>
        <v>59.7</v>
      </c>
      <c r="I83" s="4">
        <f>Compras!P83</f>
        <v>1</v>
      </c>
      <c r="J83" s="22" t="s">
        <v>29</v>
      </c>
      <c r="K83" s="16">
        <f t="shared" si="3"/>
        <v>171.82500000000002</v>
      </c>
      <c r="L83" s="17">
        <f t="shared" si="4"/>
        <v>143.1875</v>
      </c>
      <c r="M83" s="18">
        <f t="shared" si="5"/>
        <v>114.55000000000001</v>
      </c>
    </row>
    <row r="84" spans="1:13" ht="31.2" x14ac:dyDescent="0.3">
      <c r="A84" s="20">
        <v>84</v>
      </c>
      <c r="B84" s="3" t="str">
        <f>Compras!A84</f>
        <v>Peluche de Tortugas Ninja, TMNT, Leo, Raph, Mike, Don, 25cm - MIKE</v>
      </c>
      <c r="C84" s="3" t="s">
        <v>259</v>
      </c>
      <c r="D84" s="3" t="s">
        <v>28</v>
      </c>
      <c r="E84" s="15">
        <f>Compras!C84</f>
        <v>151.12</v>
      </c>
      <c r="F84" s="6">
        <f>Compras!D84</f>
        <v>0.53467443091582856</v>
      </c>
      <c r="G84" s="4">
        <f>Compras!B84</f>
        <v>1</v>
      </c>
      <c r="H84" s="15">
        <f>Compras!Q84</f>
        <v>60.12</v>
      </c>
      <c r="I84" s="4">
        <f>Compras!P84</f>
        <v>1</v>
      </c>
      <c r="J84" s="22" t="s">
        <v>29</v>
      </c>
      <c r="K84" s="16">
        <f t="shared" si="3"/>
        <v>172.76999999999998</v>
      </c>
      <c r="L84" s="17">
        <f t="shared" si="4"/>
        <v>143.97499999999999</v>
      </c>
      <c r="M84" s="18">
        <f t="shared" si="5"/>
        <v>115.17999999999999</v>
      </c>
    </row>
    <row r="85" spans="1:13" ht="31.2" x14ac:dyDescent="0.3">
      <c r="A85" s="20">
        <v>85</v>
      </c>
      <c r="B85" s="3" t="str">
        <f>Compras!A85</f>
        <v>Peluche de Tortugas Ninja, TMNT, Leo, Raph, Mike, Don, 25cm - RAPH</v>
      </c>
      <c r="C85" s="3" t="s">
        <v>259</v>
      </c>
      <c r="D85" s="3" t="s">
        <v>28</v>
      </c>
      <c r="E85" s="15">
        <f>Compras!C85</f>
        <v>152.52000000000001</v>
      </c>
      <c r="F85" s="6">
        <f>Compras!D85</f>
        <v>-0.93371361132966157</v>
      </c>
      <c r="G85" s="4">
        <f>Compras!B85</f>
        <v>1</v>
      </c>
      <c r="H85" s="15">
        <f>Compras!Q85</f>
        <v>284.73</v>
      </c>
      <c r="I85" s="4">
        <f>Compras!P85</f>
        <v>1</v>
      </c>
      <c r="J85" s="22" t="s">
        <v>29</v>
      </c>
      <c r="K85" s="16">
        <f t="shared" si="3"/>
        <v>476.140625</v>
      </c>
      <c r="L85" s="17">
        <f t="shared" si="4"/>
        <v>428.52656250000001</v>
      </c>
      <c r="M85" s="18">
        <f t="shared" si="5"/>
        <v>380.91250000000002</v>
      </c>
    </row>
    <row r="86" spans="1:13" ht="31.2" x14ac:dyDescent="0.3">
      <c r="A86" s="20">
        <v>86</v>
      </c>
      <c r="B86" s="3" t="str">
        <f>Compras!A86</f>
        <v>Mochilas de Spiderman para estudiantes, Bolsa Escolar de superhéroes, azul fuerte</v>
      </c>
      <c r="C86" s="3" t="s">
        <v>260</v>
      </c>
      <c r="D86" s="3" t="s">
        <v>42</v>
      </c>
      <c r="E86" s="15">
        <f>Compras!C86</f>
        <v>337.41</v>
      </c>
      <c r="F86" s="6">
        <f>Compras!D86</f>
        <v>0.58531163865919811</v>
      </c>
      <c r="G86" s="4">
        <f>Compras!B86</f>
        <v>1</v>
      </c>
      <c r="H86" s="15">
        <f>Compras!Q86</f>
        <v>119.58999999999999</v>
      </c>
      <c r="I86" s="4">
        <f>Compras!P86</f>
        <v>1</v>
      </c>
      <c r="J86" s="22" t="s">
        <v>29</v>
      </c>
      <c r="K86" s="16">
        <f t="shared" si="3"/>
        <v>261.73124999999999</v>
      </c>
      <c r="L86" s="17">
        <f t="shared" si="4"/>
        <v>218.109375</v>
      </c>
      <c r="M86" s="18">
        <f t="shared" si="5"/>
        <v>174.48749999999998</v>
      </c>
    </row>
    <row r="87" spans="1:13" ht="31.2" x14ac:dyDescent="0.3">
      <c r="A87" s="20">
        <v>87</v>
      </c>
      <c r="B87" s="3" t="str">
        <f>Compras!A87</f>
        <v>Mochilas de Spiderman para estudiantes, Bolsa Escolar de superhéroes, azul</v>
      </c>
      <c r="C87" s="3" t="s">
        <v>260</v>
      </c>
      <c r="D87" s="3" t="s">
        <v>42</v>
      </c>
      <c r="E87" s="15">
        <f>Compras!C87</f>
        <v>340.86</v>
      </c>
      <c r="F87" s="6">
        <f>Compras!D87</f>
        <v>0.58528428093645479</v>
      </c>
      <c r="G87" s="4">
        <f>Compras!B87</f>
        <v>1</v>
      </c>
      <c r="H87" s="15">
        <f>Compras!Q87</f>
        <v>120.83000000000001</v>
      </c>
      <c r="I87" s="4">
        <f>Compras!P87</f>
        <v>1</v>
      </c>
      <c r="J87" s="22" t="s">
        <v>29</v>
      </c>
      <c r="K87" s="16">
        <f t="shared" si="3"/>
        <v>264.05625000000003</v>
      </c>
      <c r="L87" s="17">
        <f t="shared" si="4"/>
        <v>220.04687500000003</v>
      </c>
      <c r="M87" s="18">
        <f t="shared" si="5"/>
        <v>176.03750000000002</v>
      </c>
    </row>
    <row r="88" spans="1:13" ht="31.2" x14ac:dyDescent="0.3">
      <c r="A88" s="20">
        <v>88</v>
      </c>
      <c r="B88" s="3" t="str">
        <f>Compras!A88</f>
        <v>Peluche de payaso Plim, peluche suave de Anime, Kawaii juguete de 25cm</v>
      </c>
      <c r="C88" s="3" t="s">
        <v>261</v>
      </c>
      <c r="D88" s="3" t="s">
        <v>28</v>
      </c>
      <c r="E88" s="15">
        <f>Compras!C88</f>
        <v>60.82</v>
      </c>
      <c r="F88" s="6">
        <f>Compras!D88</f>
        <v>0.14205853337717855</v>
      </c>
      <c r="G88" s="4">
        <f>Compras!B88</f>
        <v>2</v>
      </c>
      <c r="H88" s="15">
        <f>Compras!Q88</f>
        <v>45.045000000000002</v>
      </c>
      <c r="I88" s="4">
        <f>Compras!P88</f>
        <v>1</v>
      </c>
      <c r="J88" s="22" t="s">
        <v>29</v>
      </c>
      <c r="K88" s="16">
        <f t="shared" si="3"/>
        <v>155.74312499999999</v>
      </c>
      <c r="L88" s="17">
        <f t="shared" si="4"/>
        <v>129.78593749999999</v>
      </c>
      <c r="M88" s="18">
        <f t="shared" si="5"/>
        <v>103.82875</v>
      </c>
    </row>
    <row r="89" spans="1:13" ht="31.2" x14ac:dyDescent="0.3">
      <c r="A89" s="20">
        <v>89</v>
      </c>
      <c r="B89" s="3" t="str">
        <f>Compras!A89</f>
        <v>Peluche de Hello Kitty, peluche de 10cm, colgante de mochila escolar</v>
      </c>
      <c r="C89" s="3" t="s">
        <v>234</v>
      </c>
      <c r="D89" s="3" t="s">
        <v>236</v>
      </c>
      <c r="E89" s="15">
        <f>Compras!C89</f>
        <v>192.4</v>
      </c>
      <c r="F89" s="6">
        <f>Compras!D89</f>
        <v>0.56507276507276505</v>
      </c>
      <c r="G89" s="4">
        <f>Compras!B89</f>
        <v>1</v>
      </c>
      <c r="H89" s="15">
        <f>Compras!Q89</f>
        <v>71.52000000000001</v>
      </c>
      <c r="I89" s="4">
        <f>Compras!P89</f>
        <v>1</v>
      </c>
      <c r="J89" s="22" t="s">
        <v>29</v>
      </c>
      <c r="K89" s="16">
        <f t="shared" si="3"/>
        <v>200.20000000000002</v>
      </c>
      <c r="L89" s="17">
        <f t="shared" si="4"/>
        <v>157.30000000000001</v>
      </c>
      <c r="M89" s="18">
        <f t="shared" si="5"/>
        <v>114.4</v>
      </c>
    </row>
    <row r="90" spans="1:13" ht="31.2" x14ac:dyDescent="0.3">
      <c r="A90" s="20">
        <v>90</v>
      </c>
      <c r="B90" s="3" t="str">
        <f>Compras!A90</f>
        <v>Unidad Flash USB de Metal colorida, llavero gratis de 64GB, memoria Stick</v>
      </c>
      <c r="C90" s="3" t="s">
        <v>262</v>
      </c>
      <c r="D90" s="3" t="s">
        <v>263</v>
      </c>
      <c r="E90" s="15">
        <f>Compras!C90</f>
        <v>112.43</v>
      </c>
      <c r="F90" s="6">
        <f>Compras!D90</f>
        <v>0.53473272258294047</v>
      </c>
      <c r="G90" s="4">
        <f>Compras!B90</f>
        <v>1</v>
      </c>
      <c r="H90" s="15">
        <f>Compras!Q90</f>
        <v>44.71</v>
      </c>
      <c r="I90" s="4">
        <f>Compras!P90</f>
        <v>1</v>
      </c>
      <c r="J90" s="22" t="s">
        <v>29</v>
      </c>
      <c r="K90" s="16">
        <f t="shared" si="3"/>
        <v>161.11374999999998</v>
      </c>
      <c r="L90" s="17">
        <f t="shared" si="4"/>
        <v>126.58937499999999</v>
      </c>
      <c r="M90" s="18">
        <f t="shared" si="5"/>
        <v>92.064999999999998</v>
      </c>
    </row>
    <row r="91" spans="1:13" ht="31.2" x14ac:dyDescent="0.3">
      <c r="A91" s="20">
        <v>91</v>
      </c>
      <c r="B91" s="3" t="str">
        <f>Compras!A91</f>
        <v>Super Mario 3D World + Bowser’s Fury Nintendo Switch</v>
      </c>
      <c r="C91" s="3" t="s">
        <v>264</v>
      </c>
      <c r="D91" s="3" t="s">
        <v>266</v>
      </c>
      <c r="E91" s="15">
        <f>Compras!C91</f>
        <v>1299</v>
      </c>
      <c r="F91" s="6">
        <f>Compras!D91</f>
        <v>0.46189376443418012</v>
      </c>
      <c r="G91" s="4">
        <f>Compras!B91</f>
        <v>1</v>
      </c>
      <c r="H91" s="15">
        <f>Compras!Q91</f>
        <v>594.15</v>
      </c>
      <c r="I91" s="4">
        <f>Compras!P91</f>
        <v>1</v>
      </c>
      <c r="J91" s="22" t="s">
        <v>29</v>
      </c>
      <c r="K91" s="16">
        <f t="shared" si="3"/>
        <v>729.30312499999991</v>
      </c>
      <c r="L91" s="17">
        <f t="shared" si="4"/>
        <v>748.49531249999995</v>
      </c>
      <c r="M91" s="18">
        <f t="shared" si="5"/>
        <v>767.6875</v>
      </c>
    </row>
    <row r="92" spans="1:13" ht="31.2" x14ac:dyDescent="0.3">
      <c r="A92" s="20">
        <v>92</v>
      </c>
      <c r="B92" s="3" t="str">
        <f>Compras!A92</f>
        <v>Mario Kart 8 Deluxe, Edición Estándar para Nintendo Switch</v>
      </c>
      <c r="C92" s="3" t="s">
        <v>264</v>
      </c>
      <c r="D92" s="3" t="s">
        <v>266</v>
      </c>
      <c r="E92" s="15">
        <f>Compras!C92</f>
        <v>1299</v>
      </c>
      <c r="F92" s="6">
        <f>Compras!D92</f>
        <v>0.46189376443418012</v>
      </c>
      <c r="G92" s="4">
        <f>Compras!B92</f>
        <v>1</v>
      </c>
      <c r="H92" s="15">
        <f>Compras!Q92</f>
        <v>594.15</v>
      </c>
      <c r="I92" s="4">
        <f>Compras!P92</f>
        <v>1</v>
      </c>
      <c r="J92" s="22" t="s">
        <v>29</v>
      </c>
      <c r="K92" s="16">
        <f t="shared" si="3"/>
        <v>729.30312499999991</v>
      </c>
      <c r="L92" s="17">
        <f t="shared" si="4"/>
        <v>748.49531249999995</v>
      </c>
      <c r="M92" s="18">
        <f t="shared" si="5"/>
        <v>767.6875</v>
      </c>
    </row>
    <row r="93" spans="1:13" ht="31.2" x14ac:dyDescent="0.3">
      <c r="A93" s="20">
        <v>93</v>
      </c>
      <c r="B93" s="3" t="str">
        <f>Compras!A93</f>
        <v>Muñeca LOL Surprise OMG de moda con cabello largo Varios Modelos</v>
      </c>
      <c r="C93" s="3" t="s">
        <v>267</v>
      </c>
      <c r="D93" s="3" t="s">
        <v>242</v>
      </c>
      <c r="E93" s="15">
        <f>Compras!C93</f>
        <v>399</v>
      </c>
      <c r="F93" s="6">
        <f>Compras!D93</f>
        <v>0.50125313283208017</v>
      </c>
      <c r="G93" s="4">
        <f>Compras!B93</f>
        <v>1</v>
      </c>
      <c r="H93" s="15">
        <f>Compras!Q93</f>
        <v>169.15</v>
      </c>
      <c r="I93" s="4">
        <f>Compras!P93</f>
        <v>1</v>
      </c>
      <c r="J93" s="22" t="s">
        <v>29</v>
      </c>
      <c r="K93" s="16">
        <f t="shared" si="3"/>
        <v>354.65625</v>
      </c>
      <c r="L93" s="17">
        <f t="shared" si="4"/>
        <v>295.546875</v>
      </c>
      <c r="M93" s="18">
        <f t="shared" si="5"/>
        <v>236.4375</v>
      </c>
    </row>
    <row r="94" spans="1:13" ht="31.2" x14ac:dyDescent="0.3">
      <c r="A94" s="20">
        <v>94</v>
      </c>
      <c r="B94" s="3" t="str">
        <f>Compras!A94</f>
        <v>Muñeca LOL Surprise Omg Básica MID Varios Modelos</v>
      </c>
      <c r="C94" s="3" t="s">
        <v>267</v>
      </c>
      <c r="D94" s="3" t="s">
        <v>242</v>
      </c>
      <c r="E94" s="15">
        <f>Compras!C94</f>
        <v>399</v>
      </c>
      <c r="F94" s="6">
        <f>Compras!D94</f>
        <v>0.50125313283208017</v>
      </c>
      <c r="G94" s="4">
        <f>Compras!B94</f>
        <v>1</v>
      </c>
      <c r="H94" s="15">
        <f>Compras!Q94</f>
        <v>169.15</v>
      </c>
      <c r="I94" s="4">
        <f>Compras!P94</f>
        <v>1</v>
      </c>
      <c r="J94" s="22" t="s">
        <v>29</v>
      </c>
      <c r="K94" s="16">
        <f t="shared" si="3"/>
        <v>354.65625</v>
      </c>
      <c r="L94" s="17">
        <f t="shared" si="4"/>
        <v>295.546875</v>
      </c>
      <c r="M94" s="18">
        <f t="shared" si="5"/>
        <v>236.4375</v>
      </c>
    </row>
    <row r="95" spans="1:13" ht="31.2" x14ac:dyDescent="0.3">
      <c r="A95" s="20">
        <v>95</v>
      </c>
      <c r="B95" s="3" t="str">
        <f>Compras!A95</f>
        <v>Set de Juego Polly Pocket Core Hospital Móvil de Animalitos</v>
      </c>
      <c r="C95" s="3" t="s">
        <v>268</v>
      </c>
      <c r="D95" s="3" t="s">
        <v>251</v>
      </c>
      <c r="E95" s="15">
        <f>Compras!C95</f>
        <v>699</v>
      </c>
      <c r="F95" s="6">
        <f>Compras!D95</f>
        <v>0.32904148783977116</v>
      </c>
      <c r="G95" s="4">
        <f>Compras!B95</f>
        <v>1</v>
      </c>
      <c r="H95" s="15">
        <f>Compras!Q95</f>
        <v>398.65</v>
      </c>
      <c r="I95" s="4">
        <f>Compras!P95</f>
        <v>1</v>
      </c>
      <c r="J95" s="22" t="s">
        <v>29</v>
      </c>
      <c r="K95" s="16">
        <f t="shared" si="3"/>
        <v>523.3125</v>
      </c>
      <c r="L95" s="17">
        <f t="shared" si="4"/>
        <v>523.3125</v>
      </c>
      <c r="M95" s="18">
        <f t="shared" si="5"/>
        <v>523.3125</v>
      </c>
    </row>
    <row r="96" spans="1:13" ht="31.2" x14ac:dyDescent="0.3">
      <c r="A96" s="20">
        <v>96</v>
      </c>
      <c r="B96" s="3" t="str">
        <f>Compras!A96</f>
        <v>Juguete de Construcción Mega Bloks Disney Comando Estelar</v>
      </c>
      <c r="C96" s="3" t="s">
        <v>41</v>
      </c>
      <c r="D96" s="3" t="s">
        <v>269</v>
      </c>
      <c r="E96" s="15">
        <f>Compras!C96</f>
        <v>329</v>
      </c>
      <c r="F96" s="6">
        <f>Compras!D96</f>
        <v>0.34650455927051671</v>
      </c>
      <c r="G96" s="4">
        <f>Compras!B96</f>
        <v>1</v>
      </c>
      <c r="H96" s="15">
        <f>Compras!Q96</f>
        <v>182.75</v>
      </c>
      <c r="I96" s="4">
        <f>Compras!P96</f>
        <v>1</v>
      </c>
      <c r="J96" s="22" t="s">
        <v>29</v>
      </c>
      <c r="K96" s="16">
        <f t="shared" si="3"/>
        <v>380.15625</v>
      </c>
      <c r="L96" s="17">
        <f t="shared" si="4"/>
        <v>316.796875</v>
      </c>
      <c r="M96" s="18">
        <f t="shared" si="5"/>
        <v>253.4375</v>
      </c>
    </row>
    <row r="97" spans="1:13" ht="31.2" x14ac:dyDescent="0.3">
      <c r="A97" s="20">
        <v>97</v>
      </c>
      <c r="B97" s="3" t="str">
        <f>Compras!A97</f>
        <v>Set Hot Wheels MATTEL de 5 Vehículos Varios Modelo</v>
      </c>
      <c r="C97" s="3" t="s">
        <v>244</v>
      </c>
      <c r="D97" s="3" t="s">
        <v>245</v>
      </c>
      <c r="E97" s="15">
        <f>Compras!C97</f>
        <v>169</v>
      </c>
      <c r="F97" s="6">
        <f>Compras!D97</f>
        <v>0.41420118343195261</v>
      </c>
      <c r="G97" s="4">
        <f>Compras!B97</f>
        <v>2</v>
      </c>
      <c r="H97" s="15">
        <f>Compras!Q97</f>
        <v>84.15</v>
      </c>
      <c r="I97" s="4">
        <f>Compras!P97</f>
        <v>1</v>
      </c>
      <c r="J97" s="22" t="s">
        <v>29</v>
      </c>
      <c r="K97" s="16">
        <f t="shared" si="3"/>
        <v>226.83750000000003</v>
      </c>
      <c r="L97" s="17">
        <f t="shared" si="4"/>
        <v>189.03125000000003</v>
      </c>
      <c r="M97" s="18">
        <f t="shared" si="5"/>
        <v>151.22500000000002</v>
      </c>
    </row>
    <row r="98" spans="1:13" ht="31.2" x14ac:dyDescent="0.3">
      <c r="A98" s="20">
        <v>98</v>
      </c>
      <c r="B98" s="3" t="str">
        <f>Compras!A98</f>
        <v>Kinetic Sand, set de juego Tienda de pasteles de unicornio, 453 g, herramientas de unicornio</v>
      </c>
      <c r="C98" s="3" t="s">
        <v>61</v>
      </c>
      <c r="D98" s="3" t="s">
        <v>251</v>
      </c>
      <c r="E98" s="15">
        <f>Compras!C98</f>
        <v>399</v>
      </c>
      <c r="F98" s="6">
        <f>Compras!D98</f>
        <v>0.37380952380952381</v>
      </c>
      <c r="G98" s="4">
        <f>Compras!B98</f>
        <v>1</v>
      </c>
      <c r="H98" s="15">
        <f>Compras!Q98</f>
        <v>227.25333333333333</v>
      </c>
      <c r="I98" s="4">
        <f>Compras!P98</f>
        <v>1</v>
      </c>
      <c r="J98" s="22" t="s">
        <v>29</v>
      </c>
      <c r="K98" s="16">
        <f t="shared" si="3"/>
        <v>386.33333333333331</v>
      </c>
      <c r="L98" s="17">
        <f t="shared" si="4"/>
        <v>347.7</v>
      </c>
      <c r="M98" s="18">
        <f t="shared" si="5"/>
        <v>309.06666666666666</v>
      </c>
    </row>
    <row r="99" spans="1:13" ht="31.2" x14ac:dyDescent="0.3">
      <c r="A99" s="20">
        <v>99</v>
      </c>
      <c r="B99" s="3" t="str">
        <f>Compras!A99</f>
        <v>Gabby’s Dollhouse, orejas de gato, Orejas Mágicas Musicales con luces</v>
      </c>
      <c r="C99" s="3" t="s">
        <v>60</v>
      </c>
      <c r="D99" s="3" t="s">
        <v>270</v>
      </c>
      <c r="E99" s="15">
        <f>Compras!C99</f>
        <v>378</v>
      </c>
      <c r="F99" s="6">
        <f>Compras!D99</f>
        <v>0.43386243386243384</v>
      </c>
      <c r="G99" s="4">
        <f>Compras!B99</f>
        <v>2</v>
      </c>
      <c r="H99" s="15">
        <f>Compras!Q99</f>
        <v>191.40333333333334</v>
      </c>
      <c r="I99" s="4">
        <f>Compras!P99</f>
        <v>1</v>
      </c>
      <c r="J99" s="22" t="s">
        <v>29</v>
      </c>
      <c r="K99" s="16">
        <f t="shared" si="3"/>
        <v>396.38125000000002</v>
      </c>
      <c r="L99" s="17">
        <f t="shared" si="4"/>
        <v>330.31770833333337</v>
      </c>
      <c r="M99" s="18">
        <f t="shared" si="5"/>
        <v>264.25416666666666</v>
      </c>
    </row>
    <row r="100" spans="1:13" ht="31.2" x14ac:dyDescent="0.3">
      <c r="A100" s="20">
        <v>100</v>
      </c>
      <c r="B100" s="3" t="str">
        <f>Compras!A100</f>
        <v>Kinetic Sand con Aroma, Set de Juego Fábrica de Helados y Postres con 3 Colores de Aroma Natural</v>
      </c>
      <c r="C100" s="3" t="s">
        <v>61</v>
      </c>
      <c r="D100" s="3" t="s">
        <v>251</v>
      </c>
      <c r="E100" s="15">
        <f>Compras!C100</f>
        <v>399</v>
      </c>
      <c r="F100" s="6">
        <f>Compras!D100</f>
        <v>0.49874686716791977</v>
      </c>
      <c r="G100" s="4">
        <f>Compras!B100</f>
        <v>1</v>
      </c>
      <c r="H100" s="15">
        <f>Compras!Q100</f>
        <v>130.5</v>
      </c>
      <c r="I100" s="4">
        <f>Compras!P100</f>
        <v>1</v>
      </c>
      <c r="J100" s="22" t="s">
        <v>29</v>
      </c>
      <c r="K100" s="16">
        <f t="shared" si="3"/>
        <v>282.1875</v>
      </c>
      <c r="L100" s="17">
        <f t="shared" si="4"/>
        <v>235.15625</v>
      </c>
      <c r="M100" s="18">
        <f t="shared" si="5"/>
        <v>188.125</v>
      </c>
    </row>
    <row r="101" spans="1:13" ht="31.2" x14ac:dyDescent="0.3">
      <c r="A101" s="20">
        <v>101</v>
      </c>
      <c r="B101" s="3" t="str">
        <f>Compras!A101</f>
        <v>LITTLE PEOPLE, Pista de Carreras de Hot Wheels, 50 sonidos, Lanzador triple de vehículos</v>
      </c>
      <c r="C101" s="3" t="s">
        <v>244</v>
      </c>
      <c r="D101" s="3" t="s">
        <v>240</v>
      </c>
      <c r="E101" s="15">
        <f>Compras!C101</f>
        <v>1899</v>
      </c>
      <c r="F101" s="6">
        <f>Compras!D101</f>
        <v>0.36861506055818849</v>
      </c>
      <c r="G101" s="4">
        <f>Compras!B101</f>
        <v>1</v>
      </c>
      <c r="H101" s="15">
        <f>Compras!Q101</f>
        <v>1129.5</v>
      </c>
      <c r="I101" s="4">
        <f>Compras!P101</f>
        <v>1</v>
      </c>
      <c r="J101" s="22" t="s">
        <v>29</v>
      </c>
      <c r="K101" s="16">
        <f t="shared" si="3"/>
        <v>1365.03125</v>
      </c>
      <c r="L101" s="17">
        <f t="shared" si="4"/>
        <v>1400.953125</v>
      </c>
      <c r="M101" s="18">
        <f t="shared" si="5"/>
        <v>1436.875</v>
      </c>
    </row>
    <row r="102" spans="1:13" ht="31.2" x14ac:dyDescent="0.3">
      <c r="A102" s="20">
        <v>102</v>
      </c>
      <c r="B102" s="3" t="str">
        <f>Compras!A102</f>
        <v>ZOHAN-orejeras de protección auditiva para niños, protectores de oídos para bebés</v>
      </c>
      <c r="C102" s="3" t="s">
        <v>61</v>
      </c>
      <c r="D102" s="3" t="s">
        <v>271</v>
      </c>
      <c r="E102" s="15">
        <f>Compras!C102</f>
        <v>793.11</v>
      </c>
      <c r="F102" s="6">
        <f>Compras!D102</f>
        <v>0.65514241404092743</v>
      </c>
      <c r="G102" s="4">
        <f>Compras!B102</f>
        <v>1</v>
      </c>
      <c r="H102" s="15">
        <f>Compras!Q102</f>
        <v>217.99</v>
      </c>
      <c r="I102" s="4">
        <f>Compras!P102</f>
        <v>1</v>
      </c>
      <c r="J102" s="22" t="s">
        <v>29</v>
      </c>
      <c r="K102" s="16">
        <f t="shared" si="3"/>
        <v>446.23125000000005</v>
      </c>
      <c r="L102" s="17">
        <f t="shared" si="4"/>
        <v>371.859375</v>
      </c>
      <c r="M102" s="18">
        <f t="shared" si="5"/>
        <v>297.48750000000001</v>
      </c>
    </row>
    <row r="103" spans="1:13" ht="46.8" x14ac:dyDescent="0.3">
      <c r="A103" s="20">
        <v>103</v>
      </c>
      <c r="B103" s="3" t="str">
        <f>Compras!A103</f>
        <v>Disney-auriculares inalámbricos Y08 de Marvel para niños, cascos plegables con Bluetooth, sonido envolvente HIFI</v>
      </c>
      <c r="C103" s="3" t="s">
        <v>41</v>
      </c>
      <c r="D103" s="3" t="s">
        <v>272</v>
      </c>
      <c r="E103" s="15">
        <f>Compras!C103</f>
        <v>302.20999999999998</v>
      </c>
      <c r="F103" s="6">
        <f>Compras!D103</f>
        <v>0.62579001356672503</v>
      </c>
      <c r="G103" s="4">
        <f>Compras!B103</f>
        <v>1</v>
      </c>
      <c r="H103" s="15">
        <f>Compras!Q103</f>
        <v>93.9</v>
      </c>
      <c r="I103" s="4">
        <f>Compras!P103</f>
        <v>1</v>
      </c>
      <c r="J103" s="22" t="s">
        <v>29</v>
      </c>
      <c r="K103" s="16">
        <f t="shared" si="3"/>
        <v>249.15625</v>
      </c>
      <c r="L103" s="17">
        <f t="shared" si="4"/>
        <v>195.765625</v>
      </c>
      <c r="M103" s="18">
        <f t="shared" si="5"/>
        <v>142.375</v>
      </c>
    </row>
    <row r="104" spans="1:13" ht="31.2" x14ac:dyDescent="0.3">
      <c r="A104" s="20">
        <v>104</v>
      </c>
      <c r="B104" s="3" t="str">
        <f>Compras!A104</f>
        <v>Juego de plantas VS Zombies 2, caja sorpresa de 12 estilos, Peashooter, girasol, Faraón, Zombie</v>
      </c>
      <c r="C104" s="3" t="s">
        <v>231</v>
      </c>
      <c r="D104" s="3" t="s">
        <v>232</v>
      </c>
      <c r="E104" s="15">
        <f>Compras!C104</f>
        <v>1511.67</v>
      </c>
      <c r="F104" s="6">
        <f>Compras!D104</f>
        <v>0.70668201393161201</v>
      </c>
      <c r="G104" s="4">
        <f>Compras!B104</f>
        <v>1</v>
      </c>
      <c r="H104" s="15">
        <f>Compras!Q104</f>
        <v>379.15</v>
      </c>
      <c r="I104" s="4">
        <f>Compras!P104</f>
        <v>12</v>
      </c>
      <c r="J104" s="22" t="s">
        <v>29</v>
      </c>
      <c r="K104" s="16">
        <f t="shared" si="3"/>
        <v>112.86588541666666</v>
      </c>
      <c r="L104" s="17">
        <f t="shared" si="4"/>
        <v>88.680338541666657</v>
      </c>
      <c r="M104" s="18">
        <f t="shared" si="5"/>
        <v>64.494791666666657</v>
      </c>
    </row>
    <row r="105" spans="1:13" ht="31.2" x14ac:dyDescent="0.3">
      <c r="A105" s="20">
        <v>105</v>
      </c>
      <c r="B105" s="3" t="str">
        <f>Compras!A105</f>
        <v>Lilo &amp; Stitch-muñecos de peluche kawaii, peluches suaves de Anime, hicecream</v>
      </c>
      <c r="C105" s="3" t="s">
        <v>41</v>
      </c>
      <c r="D105" s="3" t="s">
        <v>28</v>
      </c>
      <c r="E105" s="15">
        <f>Compras!C105</f>
        <v>412.5</v>
      </c>
      <c r="F105" s="6">
        <f>Compras!D105</f>
        <v>0.66625454545454554</v>
      </c>
      <c r="G105" s="4">
        <f>Compras!B105</f>
        <v>1</v>
      </c>
      <c r="H105" s="15">
        <f>Compras!Q105</f>
        <v>116.72</v>
      </c>
      <c r="I105" s="4">
        <f>Compras!P105</f>
        <v>1</v>
      </c>
      <c r="J105" s="22" t="s">
        <v>29</v>
      </c>
      <c r="K105" s="16">
        <f t="shared" si="3"/>
        <v>256.35000000000002</v>
      </c>
      <c r="L105" s="17">
        <f t="shared" si="4"/>
        <v>213.625</v>
      </c>
      <c r="M105" s="18">
        <f t="shared" si="5"/>
        <v>170.9</v>
      </c>
    </row>
    <row r="106" spans="1:13" ht="31.2" x14ac:dyDescent="0.3">
      <c r="A106" s="20">
        <v>106</v>
      </c>
      <c r="B106" s="3" t="str">
        <f>Compras!A106</f>
        <v>Duyin can dance Robot Toy Electric Music Singing Spider-Man Wasp Toy, Bumblebee</v>
      </c>
      <c r="C106" s="3" t="s">
        <v>61</v>
      </c>
      <c r="D106" s="3" t="s">
        <v>273</v>
      </c>
      <c r="E106" s="15">
        <f>Compras!C106</f>
        <v>510.3</v>
      </c>
      <c r="F106" s="6">
        <f>Compras!D106</f>
        <v>0.67033117773858519</v>
      </c>
      <c r="G106" s="4">
        <f>Compras!B106</f>
        <v>1</v>
      </c>
      <c r="H106" s="15">
        <f>Compras!Q106</f>
        <v>142.64999999999998</v>
      </c>
      <c r="I106" s="4">
        <f>Compras!P106</f>
        <v>1</v>
      </c>
      <c r="J106" s="22" t="s">
        <v>29</v>
      </c>
      <c r="K106" s="16">
        <f t="shared" si="3"/>
        <v>304.96874999999994</v>
      </c>
      <c r="L106" s="17">
        <f t="shared" si="4"/>
        <v>254.14062499999994</v>
      </c>
      <c r="M106" s="18">
        <f t="shared" si="5"/>
        <v>203.31249999999997</v>
      </c>
    </row>
    <row r="107" spans="1:13" ht="31.2" x14ac:dyDescent="0.3">
      <c r="A107" s="20">
        <v>107</v>
      </c>
      <c r="B107" s="3" t="str">
        <f>Compras!A107</f>
        <v>La Granja de Zenon pollo, bebés pollo bailando Bartolito con música, Aprendizaje Temprano</v>
      </c>
      <c r="C107" s="3" t="s">
        <v>274</v>
      </c>
      <c r="D107" s="3" t="s">
        <v>273</v>
      </c>
      <c r="E107" s="15">
        <f>Compras!C107</f>
        <v>705.13</v>
      </c>
      <c r="F107" s="6">
        <f>Compras!D107</f>
        <v>0.5436586161417043</v>
      </c>
      <c r="G107" s="4">
        <f>Compras!B107</f>
        <v>1</v>
      </c>
      <c r="H107" s="15">
        <f>Compras!Q107</f>
        <v>261.77999999999997</v>
      </c>
      <c r="I107" s="4">
        <f>Compras!P107</f>
        <v>1</v>
      </c>
      <c r="J107" s="22" t="s">
        <v>29</v>
      </c>
      <c r="K107" s="16">
        <f t="shared" si="3"/>
        <v>440.28124999999994</v>
      </c>
      <c r="L107" s="17">
        <f t="shared" si="4"/>
        <v>396.25312499999995</v>
      </c>
      <c r="M107" s="18">
        <f t="shared" si="5"/>
        <v>352.22499999999997</v>
      </c>
    </row>
    <row r="108" spans="1:13" ht="31.2" x14ac:dyDescent="0.3">
      <c r="A108" s="20">
        <v>108</v>
      </c>
      <c r="B108" s="3" t="str">
        <f>Compras!A108</f>
        <v>Peluche de Sailor Moon, Luna, Artemis, animales lindos, gato Luna</v>
      </c>
      <c r="C108" s="3" t="s">
        <v>275</v>
      </c>
      <c r="D108" s="3" t="s">
        <v>28</v>
      </c>
      <c r="E108" s="15">
        <f>Compras!C108</f>
        <v>282.08999999999997</v>
      </c>
      <c r="F108" s="6">
        <f>Compras!D108</f>
        <v>0.35112907228189583</v>
      </c>
      <c r="G108" s="4">
        <f>Compras!B108</f>
        <v>1</v>
      </c>
      <c r="H108" s="15">
        <f>Compras!Q108</f>
        <v>153.53</v>
      </c>
      <c r="I108" s="4">
        <f>Compras!P108</f>
        <v>1</v>
      </c>
      <c r="J108" s="22" t="s">
        <v>29</v>
      </c>
      <c r="K108" s="16">
        <f t="shared" si="3"/>
        <v>325.36874999999998</v>
      </c>
      <c r="L108" s="17">
        <f t="shared" si="4"/>
        <v>271.140625</v>
      </c>
      <c r="M108" s="18">
        <f t="shared" si="5"/>
        <v>216.91249999999999</v>
      </c>
    </row>
    <row r="109" spans="1:13" ht="31.2" x14ac:dyDescent="0.3">
      <c r="A109" s="20">
        <v>109</v>
      </c>
      <c r="B109" s="3" t="str">
        <f>Compras!A109</f>
        <v>One Piece, Tony Chopper Cos, Luffy, Saber, modelo  Law</v>
      </c>
      <c r="C109" s="3" t="s">
        <v>257</v>
      </c>
      <c r="D109" s="3" t="s">
        <v>232</v>
      </c>
      <c r="E109" s="15">
        <f>Compras!C109</f>
        <v>67.81</v>
      </c>
      <c r="F109" s="6">
        <f>Compras!D109</f>
        <v>-1.1502728211178308E-2</v>
      </c>
      <c r="G109" s="4">
        <f>Compras!B109</f>
        <v>1</v>
      </c>
      <c r="H109" s="15">
        <f>Compras!Q109</f>
        <v>57.550000000000004</v>
      </c>
      <c r="I109" s="4">
        <f>Compras!P109</f>
        <v>1</v>
      </c>
      <c r="J109" s="22" t="s">
        <v>29</v>
      </c>
      <c r="K109" s="16">
        <f t="shared" si="3"/>
        <v>188.56875000000002</v>
      </c>
      <c r="L109" s="17">
        <f t="shared" si="4"/>
        <v>157.140625</v>
      </c>
      <c r="M109" s="18">
        <f t="shared" si="5"/>
        <v>125.71250000000001</v>
      </c>
    </row>
    <row r="110" spans="1:13" ht="31.2" x14ac:dyDescent="0.3">
      <c r="A110" s="20">
        <v>110</v>
      </c>
      <c r="B110" s="3" t="str">
        <f>Compras!A110</f>
        <v>Conejo electrónico para niños, juguete con música, juego de animales ligeros, Verde</v>
      </c>
      <c r="C110" s="3" t="s">
        <v>61</v>
      </c>
      <c r="D110" s="3" t="s">
        <v>273</v>
      </c>
      <c r="E110" s="15">
        <f>Compras!C110</f>
        <v>327.77</v>
      </c>
      <c r="F110" s="6">
        <f>Compras!D110</f>
        <v>0.53470421332031615</v>
      </c>
      <c r="G110" s="4">
        <f>Compras!B110</f>
        <v>1</v>
      </c>
      <c r="H110" s="15">
        <f>Compras!Q110</f>
        <v>129.32</v>
      </c>
      <c r="I110" s="4">
        <f>Compras!P110</f>
        <v>1</v>
      </c>
      <c r="J110" s="22" t="s">
        <v>29</v>
      </c>
      <c r="K110" s="16">
        <f t="shared" si="3"/>
        <v>279.97499999999997</v>
      </c>
      <c r="L110" s="17">
        <f t="shared" si="4"/>
        <v>233.31249999999997</v>
      </c>
      <c r="M110" s="18">
        <f t="shared" si="5"/>
        <v>186.64999999999998</v>
      </c>
    </row>
    <row r="111" spans="1:13" ht="31.2" x14ac:dyDescent="0.3">
      <c r="A111" s="20">
        <v>111</v>
      </c>
      <c r="B111" s="3" t="str">
        <f>Compras!A111</f>
        <v>Conejo bailarín con guitarra para caminar, juguetes en movimiento para bebé</v>
      </c>
      <c r="C111" s="3" t="s">
        <v>61</v>
      </c>
      <c r="D111" s="3" t="s">
        <v>273</v>
      </c>
      <c r="E111" s="15">
        <f>Compras!C111</f>
        <v>489.04</v>
      </c>
      <c r="F111" s="6">
        <f>Compras!D111</f>
        <v>0.6763454932111892</v>
      </c>
      <c r="G111" s="4">
        <f>Compras!B111</f>
        <v>1</v>
      </c>
      <c r="H111" s="15">
        <f>Compras!Q111</f>
        <v>134.19</v>
      </c>
      <c r="I111" s="4">
        <f>Compras!P111</f>
        <v>1</v>
      </c>
      <c r="J111" s="22" t="s">
        <v>29</v>
      </c>
      <c r="K111" s="16">
        <f t="shared" si="3"/>
        <v>289.10625000000005</v>
      </c>
      <c r="L111" s="17">
        <f t="shared" si="4"/>
        <v>240.92187500000003</v>
      </c>
      <c r="M111" s="18">
        <f t="shared" si="5"/>
        <v>192.73750000000001</v>
      </c>
    </row>
    <row r="112" spans="1:13" ht="31.2" x14ac:dyDescent="0.3">
      <c r="A112" s="20">
        <v>112</v>
      </c>
      <c r="B112" s="3" t="str">
        <f>Compras!A112</f>
        <v>Robot giratorio para niños, coche de acrobacias, triciclo eléctrico de baile, motocicleta</v>
      </c>
      <c r="C112" s="3" t="s">
        <v>61</v>
      </c>
      <c r="D112" s="3" t="s">
        <v>273</v>
      </c>
      <c r="E112" s="15">
        <f>Compras!C112</f>
        <v>519.28</v>
      </c>
      <c r="F112" s="6">
        <f>Compras!D112</f>
        <v>0.70665151748574939</v>
      </c>
      <c r="G112" s="4">
        <f>Compras!B112</f>
        <v>1</v>
      </c>
      <c r="H112" s="15">
        <f>Compras!Q112</f>
        <v>129.15</v>
      </c>
      <c r="I112" s="4">
        <f>Compras!P112</f>
        <v>1</v>
      </c>
      <c r="J112" s="22" t="s">
        <v>29</v>
      </c>
      <c r="K112" s="16">
        <f t="shared" si="3"/>
        <v>279.65625</v>
      </c>
      <c r="L112" s="17">
        <f t="shared" si="4"/>
        <v>233.046875</v>
      </c>
      <c r="M112" s="18">
        <f t="shared" si="5"/>
        <v>186.4375</v>
      </c>
    </row>
    <row r="113" spans="1:13" ht="46.8" x14ac:dyDescent="0.3">
      <c r="A113" s="20">
        <v>113</v>
      </c>
      <c r="B113" s="3" t="str">
        <f>Compras!A113</f>
        <v>Monopatín de rotación automática de Marvel Spiderman, coche acústico-óptico, música eléctrica, Scooters</v>
      </c>
      <c r="C113" s="3" t="s">
        <v>260</v>
      </c>
      <c r="D113" s="3" t="s">
        <v>273</v>
      </c>
      <c r="E113" s="15">
        <f>Compras!C113</f>
        <v>411.13</v>
      </c>
      <c r="F113" s="6">
        <f>Compras!D113</f>
        <v>0.7066864495415075</v>
      </c>
      <c r="G113" s="4">
        <f>Compras!B113</f>
        <v>1</v>
      </c>
      <c r="H113" s="15">
        <f>Compras!Q113</f>
        <v>102.25</v>
      </c>
      <c r="I113" s="4">
        <f>Compras!P113</f>
        <v>1</v>
      </c>
      <c r="J113" s="22" t="s">
        <v>29</v>
      </c>
      <c r="K113" s="16">
        <f t="shared" si="3"/>
        <v>229.21875</v>
      </c>
      <c r="L113" s="17">
        <f t="shared" si="4"/>
        <v>191.015625</v>
      </c>
      <c r="M113" s="18">
        <f t="shared" si="5"/>
        <v>152.8125</v>
      </c>
    </row>
    <row r="114" spans="1:13" ht="31.2" x14ac:dyDescent="0.3">
      <c r="A114" s="20">
        <v>114</v>
      </c>
      <c r="B114" s="3" t="str">
        <f>Compras!A114</f>
        <v>Robot de baile musical con luz LED de 6 garras: educativo e interactivo - Azul</v>
      </c>
      <c r="C114" s="3" t="s">
        <v>61</v>
      </c>
      <c r="D114" s="3" t="s">
        <v>273</v>
      </c>
      <c r="E114" s="15">
        <f>Compras!C114</f>
        <v>525.99</v>
      </c>
      <c r="F114" s="6">
        <f>Compras!D114</f>
        <v>0.72689594859217843</v>
      </c>
      <c r="G114" s="4">
        <f>Compras!B114</f>
        <v>1</v>
      </c>
      <c r="H114" s="15">
        <f>Compras!Q114</f>
        <v>121.78999999999999</v>
      </c>
      <c r="I114" s="4">
        <f>Compras!P114</f>
        <v>1</v>
      </c>
      <c r="J114" s="22" t="s">
        <v>29</v>
      </c>
      <c r="K114" s="16">
        <f t="shared" si="3"/>
        <v>265.85624999999999</v>
      </c>
      <c r="L114" s="17">
        <f t="shared" si="4"/>
        <v>221.546875</v>
      </c>
      <c r="M114" s="18">
        <f t="shared" si="5"/>
        <v>177.23749999999998</v>
      </c>
    </row>
    <row r="115" spans="1:13" ht="31.2" x14ac:dyDescent="0.3">
      <c r="A115" s="20">
        <v>115</v>
      </c>
      <c r="B115" s="3" t="str">
        <f>Compras!A115</f>
        <v>Robot de baile musical con luz LED de 6 garras: educativo e interactivo</v>
      </c>
      <c r="C115" s="3" t="s">
        <v>61</v>
      </c>
      <c r="D115" s="3" t="s">
        <v>273</v>
      </c>
      <c r="E115" s="15">
        <f>Compras!C115</f>
        <v>527.73</v>
      </c>
      <c r="F115" s="6">
        <f>Compras!D115</f>
        <v>0.72692475318818339</v>
      </c>
      <c r="G115" s="4">
        <f>Compras!B115</f>
        <v>1</v>
      </c>
      <c r="H115" s="15">
        <f>Compras!Q115</f>
        <v>122.20000000000002</v>
      </c>
      <c r="I115" s="4">
        <f>Compras!P115</f>
        <v>1</v>
      </c>
      <c r="J115" s="22" t="s">
        <v>29</v>
      </c>
      <c r="K115" s="16">
        <f t="shared" si="3"/>
        <v>266.62500000000006</v>
      </c>
      <c r="L115" s="17">
        <f t="shared" si="4"/>
        <v>222.18750000000006</v>
      </c>
      <c r="M115" s="18">
        <f t="shared" si="5"/>
        <v>177.75000000000003</v>
      </c>
    </row>
    <row r="116" spans="1:13" ht="31.2" x14ac:dyDescent="0.3">
      <c r="A116" s="20">
        <v>116</v>
      </c>
      <c r="B116" s="3" t="str">
        <f>Compras!A116</f>
        <v>Juguetes interactivos para bebés, juguete con luz Musical, baile, gesto de amor</v>
      </c>
      <c r="C116" s="3" t="s">
        <v>61</v>
      </c>
      <c r="D116" s="3" t="s">
        <v>273</v>
      </c>
      <c r="E116" s="15">
        <f>Compras!C116</f>
        <v>453.5</v>
      </c>
      <c r="F116" s="6">
        <f>Compras!D116</f>
        <v>0.68643880926130096</v>
      </c>
      <c r="G116" s="4">
        <f>Compras!B116</f>
        <v>1</v>
      </c>
      <c r="H116" s="15">
        <f>Compras!Q116</f>
        <v>120.57</v>
      </c>
      <c r="I116" s="4">
        <f>Compras!P116</f>
        <v>1</v>
      </c>
      <c r="J116" s="22" t="s">
        <v>29</v>
      </c>
      <c r="K116" s="16">
        <f t="shared" si="3"/>
        <v>263.56874999999997</v>
      </c>
      <c r="L116" s="17">
        <f t="shared" si="4"/>
        <v>219.64062499999997</v>
      </c>
      <c r="M116" s="18">
        <f t="shared" si="5"/>
        <v>175.71249999999998</v>
      </c>
    </row>
    <row r="117" spans="1:13" ht="31.2" x14ac:dyDescent="0.3">
      <c r="A117" s="20">
        <v>117</v>
      </c>
      <c r="B117" s="3" t="str">
        <f>Compras!A117</f>
        <v>Juguetes De Los Vengadores de Marvel para niños, Kart, Spider-Man</v>
      </c>
      <c r="C117" s="3" t="s">
        <v>260</v>
      </c>
      <c r="D117" s="3" t="s">
        <v>273</v>
      </c>
      <c r="E117" s="15">
        <f>Compras!C117</f>
        <v>481.77</v>
      </c>
      <c r="F117" s="6">
        <f>Compras!D117</f>
        <v>0.66739315440978064</v>
      </c>
      <c r="G117" s="4">
        <f>Compras!B117</f>
        <v>1</v>
      </c>
      <c r="H117" s="15">
        <f>Compras!Q117</f>
        <v>135.87</v>
      </c>
      <c r="I117" s="4">
        <f>Compras!P117</f>
        <v>1</v>
      </c>
      <c r="J117" s="22" t="s">
        <v>29</v>
      </c>
      <c r="K117" s="16">
        <f t="shared" si="3"/>
        <v>292.25625000000002</v>
      </c>
      <c r="L117" s="17">
        <f t="shared" si="4"/>
        <v>243.546875</v>
      </c>
      <c r="M117" s="18">
        <f t="shared" si="5"/>
        <v>194.83750000000001</v>
      </c>
    </row>
    <row r="118" spans="1:13" ht="31.2" x14ac:dyDescent="0.3">
      <c r="A118" s="20">
        <v>118</v>
      </c>
      <c r="B118" s="3" t="str">
        <f>Compras!A118</f>
        <v>Juguetes De Los Vengadores de Marvel para niños, Kart, Bumblebee</v>
      </c>
      <c r="C118" s="3" t="s">
        <v>260</v>
      </c>
      <c r="D118" s="3" t="s">
        <v>273</v>
      </c>
      <c r="E118" s="15">
        <f>Compras!C118</f>
        <v>499.26</v>
      </c>
      <c r="F118" s="6">
        <f>Compras!D118</f>
        <v>0.64599607418980087</v>
      </c>
      <c r="G118" s="4">
        <f>Compras!B118</f>
        <v>1</v>
      </c>
      <c r="H118" s="15">
        <f>Compras!Q118</f>
        <v>149.87</v>
      </c>
      <c r="I118" s="4">
        <f>Compras!P118</f>
        <v>1</v>
      </c>
      <c r="J118" s="22" t="s">
        <v>29</v>
      </c>
      <c r="K118" s="16">
        <f t="shared" si="3"/>
        <v>318.50625000000002</v>
      </c>
      <c r="L118" s="17">
        <f t="shared" si="4"/>
        <v>265.421875</v>
      </c>
      <c r="M118" s="18">
        <f t="shared" si="5"/>
        <v>212.33750000000001</v>
      </c>
    </row>
    <row r="119" spans="1:13" x14ac:dyDescent="0.3">
      <c r="A119" s="20">
        <v>119</v>
      </c>
      <c r="B119" s="3" t="str">
        <f>Compras!A119</f>
        <v>Nintendo Switch Lite en color azul turquesa</v>
      </c>
      <c r="C119" s="3" t="s">
        <v>264</v>
      </c>
      <c r="D119" s="3" t="s">
        <v>265</v>
      </c>
      <c r="E119" s="15">
        <f>Compras!C119</f>
        <v>5190</v>
      </c>
      <c r="F119" s="6">
        <f>Compras!D119</f>
        <v>0.36608863198458574</v>
      </c>
      <c r="G119" s="4">
        <f>Compras!B119</f>
        <v>1</v>
      </c>
      <c r="H119" s="15">
        <f>Compras!Q119</f>
        <v>3301</v>
      </c>
      <c r="I119" s="4">
        <f>Compras!P119</f>
        <v>5</v>
      </c>
      <c r="J119" s="22" t="s">
        <v>29</v>
      </c>
      <c r="K119" s="16">
        <f t="shared" si="3"/>
        <v>1487.9375</v>
      </c>
      <c r="L119" s="17">
        <f t="shared" si="4"/>
        <v>1169.09375</v>
      </c>
      <c r="M119" s="18">
        <f t="shared" si="5"/>
        <v>850.25</v>
      </c>
    </row>
    <row r="120" spans="1:13" x14ac:dyDescent="0.3">
      <c r="A120" s="20">
        <v>120</v>
      </c>
      <c r="B120" s="3" t="str">
        <f>Compras!A120</f>
        <v>Pista de juguete Hot Wheels City Némesis Cocodrilo</v>
      </c>
      <c r="C120" s="3" t="s">
        <v>244</v>
      </c>
      <c r="D120" s="3" t="s">
        <v>240</v>
      </c>
      <c r="E120" s="15">
        <f>Compras!C120</f>
        <v>455</v>
      </c>
      <c r="F120" s="6">
        <f>Compras!D120</f>
        <v>0.27472527472527469</v>
      </c>
      <c r="G120" s="4">
        <f>Compras!B120</f>
        <v>1</v>
      </c>
      <c r="H120" s="15">
        <f>Compras!Q120</f>
        <v>341</v>
      </c>
      <c r="I120" s="4">
        <f>Compras!P120</f>
        <v>1</v>
      </c>
      <c r="J120" s="22" t="s">
        <v>29</v>
      </c>
      <c r="K120" s="16">
        <f t="shared" si="3"/>
        <v>451.25</v>
      </c>
      <c r="L120" s="17">
        <f t="shared" si="4"/>
        <v>451.25</v>
      </c>
      <c r="M120" s="18">
        <f t="shared" si="5"/>
        <v>451.25</v>
      </c>
    </row>
    <row r="121" spans="1:13" x14ac:dyDescent="0.3">
      <c r="A121" s="20">
        <v>121</v>
      </c>
      <c r="B121" s="3" t="str">
        <f>Compras!A121</f>
        <v>Muñeca Mattel Disney Frozen Reina Elsa Frozen II</v>
      </c>
      <c r="C121" s="3" t="s">
        <v>41</v>
      </c>
      <c r="D121" s="3" t="s">
        <v>242</v>
      </c>
      <c r="E121" s="15">
        <f>Compras!C121</f>
        <v>329</v>
      </c>
      <c r="F121" s="6">
        <f>Compras!D121</f>
        <v>0.3161094224924012</v>
      </c>
      <c r="G121" s="4">
        <f>Compras!B121</f>
        <v>1</v>
      </c>
      <c r="H121" s="15">
        <f>Compras!Q121</f>
        <v>236</v>
      </c>
      <c r="I121" s="4">
        <f>Compras!P121</f>
        <v>1</v>
      </c>
      <c r="J121" s="22" t="s">
        <v>29</v>
      </c>
      <c r="K121" s="16">
        <f t="shared" si="3"/>
        <v>379</v>
      </c>
      <c r="L121" s="17">
        <f t="shared" si="4"/>
        <v>379</v>
      </c>
      <c r="M121" s="18">
        <f t="shared" si="5"/>
        <v>379</v>
      </c>
    </row>
    <row r="122" spans="1:13" x14ac:dyDescent="0.3">
      <c r="A122" s="20">
        <v>122</v>
      </c>
      <c r="B122" s="3" t="str">
        <f>Compras!A122</f>
        <v>Muñeca Barbie A Touch of Magic Malibú</v>
      </c>
      <c r="C122" s="3" t="s">
        <v>276</v>
      </c>
      <c r="D122" s="3" t="s">
        <v>242</v>
      </c>
      <c r="E122" s="15">
        <f>Compras!C122</f>
        <v>549</v>
      </c>
      <c r="F122" s="6">
        <f>Compras!D122</f>
        <v>0.2914389799635701</v>
      </c>
      <c r="G122" s="4">
        <f>Compras!B122</f>
        <v>1</v>
      </c>
      <c r="H122" s="15">
        <f>Compras!Q122</f>
        <v>400</v>
      </c>
      <c r="I122" s="4">
        <f>Compras!P122</f>
        <v>1</v>
      </c>
      <c r="J122" s="22" t="s">
        <v>29</v>
      </c>
      <c r="K122" s="16">
        <f t="shared" si="3"/>
        <v>525</v>
      </c>
      <c r="L122" s="17">
        <f t="shared" si="4"/>
        <v>525</v>
      </c>
      <c r="M122" s="18">
        <f t="shared" si="5"/>
        <v>525</v>
      </c>
    </row>
    <row r="123" spans="1:13" ht="31.2" x14ac:dyDescent="0.3">
      <c r="A123" s="20">
        <v>123</v>
      </c>
      <c r="B123" s="3" t="str">
        <f>Compras!A123</f>
        <v>Hasbro Baby Alive, Hora de Comer - Cabello Castaño, Muñeca para Niñas, de 20 cm</v>
      </c>
      <c r="C123" s="3" t="s">
        <v>248</v>
      </c>
      <c r="D123" s="3" t="s">
        <v>242</v>
      </c>
      <c r="E123" s="15">
        <f>Compras!C123</f>
        <v>429</v>
      </c>
      <c r="F123" s="6">
        <f>Compras!D123</f>
        <v>0.44032634032634038</v>
      </c>
      <c r="G123" s="4">
        <f>Compras!B123</f>
        <v>1</v>
      </c>
      <c r="H123" s="15">
        <f>Compras!Q123</f>
        <v>240.1</v>
      </c>
      <c r="I123" s="4">
        <f>Compras!P123</f>
        <v>1</v>
      </c>
      <c r="J123" s="22" t="s">
        <v>29</v>
      </c>
      <c r="K123" s="16">
        <f t="shared" si="3"/>
        <v>406.40625</v>
      </c>
      <c r="L123" s="17">
        <f t="shared" si="4"/>
        <v>365.765625</v>
      </c>
      <c r="M123" s="18">
        <f t="shared" si="5"/>
        <v>325.125</v>
      </c>
    </row>
    <row r="124" spans="1:13" x14ac:dyDescent="0.3">
      <c r="A124" s="20">
        <v>124</v>
      </c>
      <c r="B124" s="3" t="str">
        <f>Compras!A124</f>
        <v>GP Pilas AA - LR6 - Lote de 40 Extra</v>
      </c>
      <c r="C124" s="3" t="s">
        <v>277</v>
      </c>
      <c r="D124" s="3" t="s">
        <v>278</v>
      </c>
      <c r="E124" s="15">
        <f>Compras!C124</f>
        <v>279</v>
      </c>
      <c r="F124" s="6">
        <f>Compras!D124</f>
        <v>0.11999999999999997</v>
      </c>
      <c r="G124" s="4">
        <f>Compras!B124</f>
        <v>1</v>
      </c>
      <c r="H124" s="15">
        <f>Compras!Q124</f>
        <v>245.52</v>
      </c>
      <c r="I124" s="4">
        <f>Compras!P124</f>
        <v>40</v>
      </c>
      <c r="J124" s="22" t="s">
        <v>29</v>
      </c>
      <c r="K124" s="16">
        <f t="shared" si="3"/>
        <v>62.547625000000004</v>
      </c>
      <c r="L124" s="17">
        <f t="shared" si="4"/>
        <v>49.144562500000006</v>
      </c>
      <c r="M124" s="18">
        <f t="shared" si="5"/>
        <v>35.741500000000002</v>
      </c>
    </row>
    <row r="125" spans="1:13" ht="31.2" x14ac:dyDescent="0.3">
      <c r="A125" s="20">
        <v>125</v>
      </c>
      <c r="B125" s="3" t="str">
        <f>Compras!A125</f>
        <v>Pilas AAA, Paquete de 40 Pilas Alcalinas AAA LR03 1.5V Larga Duración Baterías Desechables</v>
      </c>
      <c r="C125" s="3" t="s">
        <v>277</v>
      </c>
      <c r="D125" s="3" t="s">
        <v>278</v>
      </c>
      <c r="E125" s="15">
        <f>Compras!C125</f>
        <v>199</v>
      </c>
      <c r="F125" s="6">
        <f>Compras!D125</f>
        <v>0.16432160804020096</v>
      </c>
      <c r="G125" s="4">
        <f>Compras!B125</f>
        <v>1</v>
      </c>
      <c r="H125" s="15">
        <f>Compras!Q125</f>
        <v>166.3</v>
      </c>
      <c r="I125" s="4">
        <f>Compras!P125</f>
        <v>40</v>
      </c>
      <c r="J125" s="22" t="s">
        <v>29</v>
      </c>
      <c r="K125" s="16">
        <f t="shared" si="3"/>
        <v>56.482343750000013</v>
      </c>
      <c r="L125" s="17">
        <f t="shared" si="4"/>
        <v>44.378984375000009</v>
      </c>
      <c r="M125" s="18">
        <f t="shared" si="5"/>
        <v>32.275625000000005</v>
      </c>
    </row>
    <row r="126" spans="1:13" ht="31.2" x14ac:dyDescent="0.3">
      <c r="A126" s="20">
        <v>126</v>
      </c>
      <c r="B126" s="3" t="str">
        <f>Compras!A126</f>
        <v>Soporte de silicona para lápiz, corrección de postura, agarre de papelería</v>
      </c>
      <c r="C126" s="3" t="s">
        <v>65</v>
      </c>
      <c r="D126" s="3" t="s">
        <v>279</v>
      </c>
      <c r="E126" s="15">
        <f>Compras!C126</f>
        <v>46.73</v>
      </c>
      <c r="F126" s="6">
        <f>Compras!D126</f>
        <v>0.5067408517012626</v>
      </c>
      <c r="G126" s="4">
        <f>Compras!B126</f>
        <v>1</v>
      </c>
      <c r="H126" s="15">
        <f>Compras!Q126</f>
        <v>22.82</v>
      </c>
      <c r="I126" s="4">
        <f>Compras!P126</f>
        <v>5</v>
      </c>
      <c r="J126" s="22" t="s">
        <v>29</v>
      </c>
      <c r="K126" s="16">
        <f t="shared" si="3"/>
        <v>57.727250000000005</v>
      </c>
      <c r="L126" s="17">
        <f t="shared" si="4"/>
        <v>45.357125000000003</v>
      </c>
      <c r="M126" s="18">
        <f t="shared" si="5"/>
        <v>32.987000000000002</v>
      </c>
    </row>
    <row r="127" spans="1:13" ht="31.2" x14ac:dyDescent="0.3">
      <c r="A127" s="20">
        <v>127</v>
      </c>
      <c r="B127" s="3" t="str">
        <f>Compras!A127</f>
        <v xml:space="preserve">Nintendo Super Mario Mushroom Kingdom Diorama Figure 3-Pack </v>
      </c>
      <c r="C127" s="3" t="s">
        <v>280</v>
      </c>
      <c r="D127" s="3" t="s">
        <v>281</v>
      </c>
      <c r="E127" s="15">
        <f>Compras!C127</f>
        <v>899</v>
      </c>
      <c r="F127" s="6">
        <f>Compras!D127</f>
        <v>0.2203781979977753</v>
      </c>
      <c r="G127" s="4">
        <f>Compras!B127</f>
        <v>1</v>
      </c>
      <c r="H127" s="15">
        <f>Compras!Q127</f>
        <v>630.79</v>
      </c>
      <c r="I127" s="4">
        <f>Compras!P127</f>
        <v>1</v>
      </c>
      <c r="J127" s="22" t="s">
        <v>29</v>
      </c>
      <c r="K127" s="16">
        <f t="shared" si="3"/>
        <v>772.8131249999999</v>
      </c>
      <c r="L127" s="17">
        <f t="shared" si="4"/>
        <v>793.15031249999993</v>
      </c>
      <c r="M127" s="18">
        <f t="shared" si="5"/>
        <v>813.48749999999995</v>
      </c>
    </row>
    <row r="128" spans="1:13" ht="46.8" x14ac:dyDescent="0.3">
      <c r="A128" s="20">
        <v>128</v>
      </c>
      <c r="B128" s="3" t="str">
        <f>Compras!A128</f>
        <v>Wireless Sunrise Alarm Speaker - RGB Rhythm Light, Fast Charging, Rechargeable Lithium-Polymer Battery</v>
      </c>
      <c r="C128" s="3" t="s">
        <v>61</v>
      </c>
      <c r="D128" s="3" t="s">
        <v>258</v>
      </c>
      <c r="E128" s="15">
        <f>Compras!C128</f>
        <v>1463.82</v>
      </c>
      <c r="F128" s="6">
        <f>Compras!D128</f>
        <v>0.90748691779043877</v>
      </c>
      <c r="G128" s="4">
        <f>Compras!B128</f>
        <v>1</v>
      </c>
      <c r="H128" s="15">
        <f>Compras!Q128</f>
        <v>135.42250000000001</v>
      </c>
      <c r="I128" s="4">
        <f>Compras!P128</f>
        <v>1</v>
      </c>
      <c r="J128" s="22" t="s">
        <v>29</v>
      </c>
      <c r="K128" s="16">
        <f t="shared" si="3"/>
        <v>291.41718750000001</v>
      </c>
      <c r="L128" s="17">
        <f t="shared" si="4"/>
        <v>242.84765625</v>
      </c>
      <c r="M128" s="18">
        <f t="shared" si="5"/>
        <v>194.27812500000002</v>
      </c>
    </row>
    <row r="129" spans="1:13" ht="46.8" x14ac:dyDescent="0.3">
      <c r="A129" s="20">
        <v>129</v>
      </c>
      <c r="B129" s="3" t="str">
        <f>Compras!A129</f>
        <v>Circle Light With Flexible Tripod Stand &amp; Phone Holder, For Photo Selfie Video Recording Zoom Meeting</v>
      </c>
      <c r="C129" s="3" t="s">
        <v>61</v>
      </c>
      <c r="D129" s="3" t="s">
        <v>66</v>
      </c>
      <c r="E129" s="15">
        <f>Compras!C129</f>
        <v>1290.49</v>
      </c>
      <c r="F129" s="6">
        <f>Compras!D129</f>
        <v>0.89506117831211407</v>
      </c>
      <c r="G129" s="4">
        <f>Compras!B129</f>
        <v>1</v>
      </c>
      <c r="H129" s="15">
        <f>Compras!Q129</f>
        <v>135.42250000000001</v>
      </c>
      <c r="I129" s="4">
        <f>Compras!P129</f>
        <v>1</v>
      </c>
      <c r="J129" s="22" t="s">
        <v>29</v>
      </c>
      <c r="K129" s="16">
        <f t="shared" si="3"/>
        <v>291.41718750000001</v>
      </c>
      <c r="L129" s="17">
        <f t="shared" si="4"/>
        <v>242.84765625</v>
      </c>
      <c r="M129" s="18">
        <f t="shared" si="5"/>
        <v>194.27812500000002</v>
      </c>
    </row>
    <row r="130" spans="1:13" ht="31.2" x14ac:dyDescent="0.3">
      <c r="A130" s="20">
        <v>130</v>
      </c>
      <c r="B130" s="3" t="str">
        <f>Compras!A130</f>
        <v>Oxinvis Acrylic Display Stand - High Clarity, Multi-Functional Dustproof Storage Box with Wall Mount</v>
      </c>
      <c r="C130" s="3" t="s">
        <v>68</v>
      </c>
      <c r="D130" s="3" t="s">
        <v>288</v>
      </c>
      <c r="E130" s="15">
        <f>Compras!C130</f>
        <v>1069</v>
      </c>
      <c r="F130" s="6">
        <f>Compras!D130</f>
        <v>0.8566136576239477</v>
      </c>
      <c r="G130" s="4">
        <f>Compras!B130</f>
        <v>1</v>
      </c>
      <c r="H130" s="15">
        <f>Compras!Q130</f>
        <v>153.28</v>
      </c>
      <c r="I130" s="4">
        <f>Compras!P130</f>
        <v>1</v>
      </c>
      <c r="J130" s="22" t="s">
        <v>29</v>
      </c>
      <c r="K130" s="16">
        <f t="shared" ref="K130:K193" si="6">M130* (IF(M130-H130&lt;100, IF(M130-H130&gt;80, 1.25, IF(M130-H130&gt;50, 1.5, 1.75)), IF(M130-H130&gt;150, 0.95, IF(M130-H130&gt;170, 0.9, 1))))</f>
        <v>324.89999999999998</v>
      </c>
      <c r="L130" s="17">
        <f t="shared" ref="L130:L193" si="7">(K130+M130)/2</f>
        <v>270.75</v>
      </c>
      <c r="M130" s="18">
        <f t="shared" ref="M130:M193" si="8">(H130/I130) * ( IF(E130&gt;H130, IF(E130-H130&gt;100, 1.25, IF(E130-H130&gt;50, 1.5, 1.75)), IF(H130-E130&gt;100, 1.25, IF(H130-E130&gt;50, 1.5, 1.75))) ) + 25</f>
        <v>216.6</v>
      </c>
    </row>
    <row r="131" spans="1:13" ht="31.2" x14ac:dyDescent="0.3">
      <c r="A131" s="20">
        <v>131</v>
      </c>
      <c r="B131" s="3" t="str">
        <f>Compras!A131</f>
        <v>Stackable Acrylic Storage Box with Magnetic Lid - Dustproof Display, Luxury Bags</v>
      </c>
      <c r="C131" s="3" t="s">
        <v>68</v>
      </c>
      <c r="D131" s="3" t="s">
        <v>233</v>
      </c>
      <c r="E131" s="15">
        <f>Compras!C131</f>
        <v>490</v>
      </c>
      <c r="F131" s="6">
        <f>Compras!D131</f>
        <v>0.76007142857142851</v>
      </c>
      <c r="G131" s="4">
        <f>Compras!B131</f>
        <v>1</v>
      </c>
      <c r="H131" s="15">
        <f>Compras!Q131</f>
        <v>117.565</v>
      </c>
      <c r="I131" s="4">
        <f>Compras!P131</f>
        <v>1</v>
      </c>
      <c r="J131" s="22" t="s">
        <v>29</v>
      </c>
      <c r="K131" s="16">
        <f t="shared" si="6"/>
        <v>257.93437500000005</v>
      </c>
      <c r="L131" s="17">
        <f t="shared" si="7"/>
        <v>214.94531250000003</v>
      </c>
      <c r="M131" s="18">
        <f t="shared" si="8"/>
        <v>171.95625000000001</v>
      </c>
    </row>
    <row r="132" spans="1:13" ht="46.8" x14ac:dyDescent="0.3">
      <c r="A132" s="20">
        <v>132</v>
      </c>
      <c r="B132" s="3" t="str">
        <f>Compras!A132</f>
        <v>Desk Lamp with 3-Level Dimmer, Flexible Gooseneck, USB Powered - Switchable Warm to White Light for Home Office Reading and Study</v>
      </c>
      <c r="C132" s="3" t="s">
        <v>61</v>
      </c>
      <c r="D132" s="3" t="s">
        <v>66</v>
      </c>
      <c r="E132" s="15">
        <f>Compras!C132</f>
        <v>509.99</v>
      </c>
      <c r="F132" s="6">
        <f>Compras!D132</f>
        <v>0.82511421792584172</v>
      </c>
      <c r="G132" s="4">
        <f>Compras!B132</f>
        <v>1</v>
      </c>
      <c r="H132" s="15">
        <f>Compras!Q132</f>
        <v>89.19</v>
      </c>
      <c r="I132" s="4">
        <f>Compras!P132</f>
        <v>1</v>
      </c>
      <c r="J132" s="22" t="s">
        <v>29</v>
      </c>
      <c r="K132" s="16">
        <f t="shared" si="6"/>
        <v>238.85312500000003</v>
      </c>
      <c r="L132" s="17">
        <f t="shared" si="7"/>
        <v>187.67031250000002</v>
      </c>
      <c r="M132" s="18">
        <f t="shared" si="8"/>
        <v>136.48750000000001</v>
      </c>
    </row>
    <row r="133" spans="1:13" ht="31.2" x14ac:dyDescent="0.3">
      <c r="A133" s="20">
        <v>133</v>
      </c>
      <c r="B133" s="3" t="str">
        <f>Compras!A133</f>
        <v>Portalápices de silicona de 5 dedos para niños, herramienta de aprendizaje de escritura</v>
      </c>
      <c r="C133" s="3" t="s">
        <v>279</v>
      </c>
      <c r="D133" s="3" t="s">
        <v>312</v>
      </c>
      <c r="E133" s="15">
        <f>Compras!C133</f>
        <v>70</v>
      </c>
      <c r="F133" s="6">
        <f>Compras!D133</f>
        <v>1.757142857142863E-2</v>
      </c>
      <c r="G133" s="4">
        <f>Compras!B133</f>
        <v>1</v>
      </c>
      <c r="H133" s="15">
        <f>Compras!Q133</f>
        <v>63.459999999999994</v>
      </c>
      <c r="I133" s="4">
        <f>Compras!P133</f>
        <v>1</v>
      </c>
      <c r="J133" s="22" t="s">
        <v>29</v>
      </c>
      <c r="K133" s="16">
        <f t="shared" si="6"/>
        <v>204.08250000000001</v>
      </c>
      <c r="L133" s="17">
        <f t="shared" si="7"/>
        <v>170.06875000000002</v>
      </c>
      <c r="M133" s="18">
        <f t="shared" si="8"/>
        <v>136.05500000000001</v>
      </c>
    </row>
    <row r="134" spans="1:13" ht="31.2" x14ac:dyDescent="0.3">
      <c r="A134" s="20">
        <v>134</v>
      </c>
      <c r="B134" s="3" t="str">
        <f>Compras!A134</f>
        <v>Sombreros Chopper Kawaii de una pieza, gorro de felpa de Anime, gorro cálido de invierno</v>
      </c>
      <c r="C134" s="3" t="s">
        <v>38</v>
      </c>
      <c r="D134" s="3" t="s">
        <v>235</v>
      </c>
      <c r="E134" s="15">
        <f>Compras!C134</f>
        <v>291.2</v>
      </c>
      <c r="F134" s="6">
        <f>Compras!D134</f>
        <v>0.68825549450549461</v>
      </c>
      <c r="G134" s="4">
        <f>Compras!B134</f>
        <v>1</v>
      </c>
      <c r="H134" s="15">
        <f>Compras!Q134</f>
        <v>83.800000000000011</v>
      </c>
      <c r="I134" s="4">
        <f>Compras!P134</f>
        <v>1</v>
      </c>
      <c r="J134" s="22" t="s">
        <v>29</v>
      </c>
      <c r="K134" s="16">
        <f t="shared" si="6"/>
        <v>227.0625</v>
      </c>
      <c r="L134" s="17">
        <f t="shared" si="7"/>
        <v>178.40625</v>
      </c>
      <c r="M134" s="18">
        <f t="shared" si="8"/>
        <v>129.75</v>
      </c>
    </row>
    <row r="135" spans="1:13" ht="31.2" x14ac:dyDescent="0.3">
      <c r="A135" s="20">
        <v>135</v>
      </c>
      <c r="B135" s="3" t="str">
        <f>Compras!A135</f>
        <v>Sombrero de Cosplay de Anime Tony Chopper Unisex, suave y acogedor, rosa</v>
      </c>
      <c r="C135" s="3" t="s">
        <v>38</v>
      </c>
      <c r="D135" s="3" t="s">
        <v>235</v>
      </c>
      <c r="E135" s="15">
        <f>Compras!C135</f>
        <v>240.19</v>
      </c>
      <c r="F135" s="6">
        <f>Compras!D135</f>
        <v>0.60776884966068534</v>
      </c>
      <c r="G135" s="4">
        <f>Compras!B135</f>
        <v>1</v>
      </c>
      <c r="H135" s="15">
        <f>Compras!Q135</f>
        <v>86.97</v>
      </c>
      <c r="I135" s="4">
        <f>Compras!P135</f>
        <v>1</v>
      </c>
      <c r="J135" s="22" t="s">
        <v>29</v>
      </c>
      <c r="K135" s="16">
        <f t="shared" si="6"/>
        <v>233.99687500000002</v>
      </c>
      <c r="L135" s="17">
        <f t="shared" si="7"/>
        <v>183.85468750000001</v>
      </c>
      <c r="M135" s="18">
        <f t="shared" si="8"/>
        <v>133.71250000000001</v>
      </c>
    </row>
    <row r="136" spans="1:13" ht="31.2" x14ac:dyDescent="0.3">
      <c r="A136" s="20">
        <v>136</v>
      </c>
      <c r="B136" s="3" t="str">
        <f>Compras!A136</f>
        <v>Gorro de invierno creativo de Sanrio, bufanda Cinnamoroll con orejas móviles</v>
      </c>
      <c r="C136" s="3" t="s">
        <v>38</v>
      </c>
      <c r="D136" s="3" t="s">
        <v>235</v>
      </c>
      <c r="E136" s="15">
        <f>Compras!C136</f>
        <v>430.08</v>
      </c>
      <c r="F136" s="6">
        <f>Compras!D136</f>
        <v>0.70837983630952384</v>
      </c>
      <c r="G136" s="4">
        <f>Compras!B136</f>
        <v>1</v>
      </c>
      <c r="H136" s="15">
        <f>Compras!Q136</f>
        <v>115.86</v>
      </c>
      <c r="I136" s="4">
        <f>Compras!P136</f>
        <v>1</v>
      </c>
      <c r="J136" s="22" t="s">
        <v>29</v>
      </c>
      <c r="K136" s="16">
        <f t="shared" si="6"/>
        <v>254.73749999999998</v>
      </c>
      <c r="L136" s="17">
        <f t="shared" si="7"/>
        <v>212.28125</v>
      </c>
      <c r="M136" s="18">
        <f t="shared" si="8"/>
        <v>169.82499999999999</v>
      </c>
    </row>
    <row r="137" spans="1:13" ht="31.2" x14ac:dyDescent="0.3">
      <c r="A137" s="20">
        <v>137</v>
      </c>
      <c r="B137" s="3" t="str">
        <f>Compras!A137</f>
        <v>Gorro Kawaii Sanrio Cinnamoroll Kuromi para niños, bufanda, guantes</v>
      </c>
      <c r="C137" s="3" t="s">
        <v>38</v>
      </c>
      <c r="D137" s="3" t="s">
        <v>235</v>
      </c>
      <c r="E137" s="15">
        <f>Compras!C137</f>
        <v>199.93</v>
      </c>
      <c r="F137" s="6">
        <f>Compras!D137</f>
        <v>7.2525383884359529E-2</v>
      </c>
      <c r="G137" s="4">
        <f>Compras!B137</f>
        <v>1</v>
      </c>
      <c r="H137" s="15">
        <f>Compras!Q137</f>
        <v>171.42</v>
      </c>
      <c r="I137" s="4">
        <f>Compras!P137</f>
        <v>1</v>
      </c>
      <c r="J137" s="22" t="s">
        <v>29</v>
      </c>
      <c r="K137" s="16">
        <f t="shared" si="6"/>
        <v>308.73574999999994</v>
      </c>
      <c r="L137" s="17">
        <f t="shared" si="7"/>
        <v>316.86037499999998</v>
      </c>
      <c r="M137" s="18">
        <f t="shared" si="8"/>
        <v>324.98499999999996</v>
      </c>
    </row>
    <row r="138" spans="1:13" ht="31.2" x14ac:dyDescent="0.3">
      <c r="A138" s="20">
        <v>138</v>
      </c>
      <c r="B138" s="3" t="str">
        <f>Compras!A138</f>
        <v>Sanrio Light Up Hat orejas Move Plush Air Bag Hat Light Up Toy Kuromi, gorro Cinnamoroll</v>
      </c>
      <c r="C138" s="3" t="s">
        <v>38</v>
      </c>
      <c r="D138" s="3" t="s">
        <v>235</v>
      </c>
      <c r="E138" s="15">
        <f>Compras!C138</f>
        <v>99.32</v>
      </c>
      <c r="F138" s="6">
        <f>Compras!D138</f>
        <v>8.5682641965364403E-2</v>
      </c>
      <c r="G138" s="4">
        <f>Compras!B138</f>
        <v>1</v>
      </c>
      <c r="H138" s="15">
        <f>Compras!Q138</f>
        <v>83.8</v>
      </c>
      <c r="I138" s="4">
        <f>Compras!P138</f>
        <v>1</v>
      </c>
      <c r="J138" s="22" t="s">
        <v>29</v>
      </c>
      <c r="K138" s="16">
        <f t="shared" si="6"/>
        <v>214.5625</v>
      </c>
      <c r="L138" s="17">
        <f t="shared" si="7"/>
        <v>193.10624999999999</v>
      </c>
      <c r="M138" s="18">
        <f t="shared" si="8"/>
        <v>171.65</v>
      </c>
    </row>
    <row r="139" spans="1:13" x14ac:dyDescent="0.3">
      <c r="A139" s="20">
        <v>139</v>
      </c>
      <c r="B139" s="3" t="str">
        <f>Compras!A139</f>
        <v>Demon Slayer Blade Blind Box Bag, Set 6 pc</v>
      </c>
      <c r="C139" s="3" t="s">
        <v>315</v>
      </c>
      <c r="D139" s="3" t="s">
        <v>44</v>
      </c>
      <c r="E139" s="15">
        <f>Compras!C139</f>
        <v>709.32</v>
      </c>
      <c r="F139" s="6">
        <f>Compras!D139</f>
        <v>0.61268538882309809</v>
      </c>
      <c r="G139" s="4">
        <f>Compras!B139</f>
        <v>1</v>
      </c>
      <c r="H139" s="15">
        <f>Compras!Q139</f>
        <v>289.75</v>
      </c>
      <c r="I139" s="4">
        <f>Compras!P139</f>
        <v>6</v>
      </c>
      <c r="J139" s="22" t="s">
        <v>29</v>
      </c>
      <c r="K139" s="16">
        <f t="shared" si="6"/>
        <v>149.38802083333331</v>
      </c>
      <c r="L139" s="17">
        <f t="shared" si="7"/>
        <v>117.37630208333331</v>
      </c>
      <c r="M139" s="18">
        <f t="shared" si="8"/>
        <v>85.364583333333329</v>
      </c>
    </row>
    <row r="140" spans="1:13" ht="31.2" x14ac:dyDescent="0.3">
      <c r="A140" s="20">
        <v>140</v>
      </c>
      <c r="B140" s="3" t="str">
        <f>Compras!A140</f>
        <v>Cactus bailarín recargable que brilla, juguetes de peluche electrónicos</v>
      </c>
      <c r="C140" s="3" t="s">
        <v>61</v>
      </c>
      <c r="D140" s="3" t="s">
        <v>28</v>
      </c>
      <c r="E140" s="15">
        <f>Compras!C140</f>
        <v>339.83</v>
      </c>
      <c r="F140" s="6">
        <f>Compras!D140</f>
        <v>0.71123797192714011</v>
      </c>
      <c r="G140" s="4">
        <f>Compras!B140</f>
        <v>1</v>
      </c>
      <c r="H140" s="15">
        <f>Compras!Q140</f>
        <v>84.13</v>
      </c>
      <c r="I140" s="4">
        <f>Compras!P140</f>
        <v>1</v>
      </c>
      <c r="J140" s="22" t="s">
        <v>29</v>
      </c>
      <c r="K140" s="16">
        <f t="shared" si="6"/>
        <v>227.78437499999998</v>
      </c>
      <c r="L140" s="17">
        <f t="shared" si="7"/>
        <v>178.97343749999999</v>
      </c>
      <c r="M140" s="18">
        <f t="shared" si="8"/>
        <v>130.16249999999999</v>
      </c>
    </row>
    <row r="141" spans="1:13" ht="31.2" x14ac:dyDescent="0.3">
      <c r="A141" s="20">
        <v>141</v>
      </c>
      <c r="B141" s="3" t="str">
        <f>Compras!A141</f>
        <v>Cactus bailarín recargable que brilla, juguetes de peluche electrónicos</v>
      </c>
      <c r="C141" s="3" t="s">
        <v>61</v>
      </c>
      <c r="D141" s="3" t="s">
        <v>28</v>
      </c>
      <c r="E141" s="15">
        <f>Compras!C141</f>
        <v>384.57</v>
      </c>
      <c r="F141" s="6">
        <f>Compras!D141</f>
        <v>0.71118391970252492</v>
      </c>
      <c r="G141" s="4">
        <f>Compras!B141</f>
        <v>1</v>
      </c>
      <c r="H141" s="15">
        <f>Compras!Q141</f>
        <v>95.210000000000008</v>
      </c>
      <c r="I141" s="4">
        <f>Compras!P141</f>
        <v>1</v>
      </c>
      <c r="J141" s="22" t="s">
        <v>29</v>
      </c>
      <c r="K141" s="16">
        <f t="shared" si="6"/>
        <v>252.02187500000002</v>
      </c>
      <c r="L141" s="17">
        <f t="shared" si="7"/>
        <v>198.01718750000003</v>
      </c>
      <c r="M141" s="18">
        <f t="shared" si="8"/>
        <v>144.01250000000002</v>
      </c>
    </row>
    <row r="142" spans="1:13" ht="31.2" x14ac:dyDescent="0.3">
      <c r="A142" s="20">
        <v>142</v>
      </c>
      <c r="B142" s="3" t="str">
        <f>Compras!A142</f>
        <v>Plants Vs Zombies juguetes de peluche para niños, girasol, PeaShooter, Jalapeno, Zombie Bufon</v>
      </c>
      <c r="C142" s="3" t="s">
        <v>231</v>
      </c>
      <c r="D142" s="3" t="s">
        <v>28</v>
      </c>
      <c r="E142" s="15">
        <f>Compras!C142</f>
        <v>112.28</v>
      </c>
      <c r="F142" s="6">
        <f>Compras!D142</f>
        <v>2.3156394727467501E-3</v>
      </c>
      <c r="G142" s="4">
        <f>Compras!B142</f>
        <v>1</v>
      </c>
      <c r="H142" s="15">
        <f>Compras!Q142</f>
        <v>96.11999999999999</v>
      </c>
      <c r="I142" s="4">
        <f>Compras!P142</f>
        <v>1</v>
      </c>
      <c r="J142" s="22" t="s">
        <v>29</v>
      </c>
      <c r="K142" s="16">
        <f t="shared" si="6"/>
        <v>241.51249999999999</v>
      </c>
      <c r="L142" s="17">
        <f t="shared" si="7"/>
        <v>217.36124999999998</v>
      </c>
      <c r="M142" s="18">
        <f t="shared" si="8"/>
        <v>193.20999999999998</v>
      </c>
    </row>
    <row r="143" spans="1:13" ht="31.2" x14ac:dyDescent="0.3">
      <c r="A143" s="20">
        <v>143</v>
      </c>
      <c r="B143" s="3" t="str">
        <f>Compras!A143</f>
        <v>Plants Vs Zombies juguetes de peluche para niños, girasol, PeaShooter, Jalapeno, Zombie Cono</v>
      </c>
      <c r="C143" s="3" t="s">
        <v>231</v>
      </c>
      <c r="D143" s="3" t="s">
        <v>28</v>
      </c>
      <c r="E143" s="15">
        <f>Compras!C143</f>
        <v>97.25</v>
      </c>
      <c r="F143" s="6">
        <f>Compras!D143</f>
        <v>2.2622107969151551E-3</v>
      </c>
      <c r="G143" s="4">
        <f>Compras!B143</f>
        <v>1</v>
      </c>
      <c r="H143" s="15">
        <f>Compras!Q143</f>
        <v>83.16</v>
      </c>
      <c r="I143" s="4">
        <f>Compras!P143</f>
        <v>1</v>
      </c>
      <c r="J143" s="22" t="s">
        <v>29</v>
      </c>
      <c r="K143" s="16">
        <f t="shared" si="6"/>
        <v>213.16249999999999</v>
      </c>
      <c r="L143" s="17">
        <f t="shared" si="7"/>
        <v>191.84625</v>
      </c>
      <c r="M143" s="18">
        <f t="shared" si="8"/>
        <v>170.53</v>
      </c>
    </row>
    <row r="144" spans="1:13" ht="31.2" x14ac:dyDescent="0.3">
      <c r="A144" s="20">
        <v>144</v>
      </c>
      <c r="B144" s="3" t="str">
        <f>Compras!A144</f>
        <v>Gorro Kawaii Sanrio Cinnamoroll Kuromi para niños, bufanda, guantes - Cinnamprpll</v>
      </c>
      <c r="C144" s="3" t="s">
        <v>38</v>
      </c>
      <c r="D144" s="3" t="s">
        <v>235</v>
      </c>
      <c r="E144" s="15">
        <f>Compras!C144</f>
        <v>202.44</v>
      </c>
      <c r="F144" s="6">
        <f>Compras!D144</f>
        <v>8.4617664493183142E-2</v>
      </c>
      <c r="G144" s="4">
        <f>Compras!B144</f>
        <v>1</v>
      </c>
      <c r="H144" s="15">
        <f>Compras!Q144</f>
        <v>157.18</v>
      </c>
      <c r="I144" s="4">
        <f>Compras!P144</f>
        <v>1</v>
      </c>
      <c r="J144" s="22" t="s">
        <v>29</v>
      </c>
      <c r="K144" s="16">
        <f t="shared" si="6"/>
        <v>300.065</v>
      </c>
      <c r="L144" s="17">
        <f t="shared" si="7"/>
        <v>300.065</v>
      </c>
      <c r="M144" s="18">
        <f t="shared" si="8"/>
        <v>300.065</v>
      </c>
    </row>
    <row r="145" spans="1:13" ht="31.2" x14ac:dyDescent="0.3">
      <c r="A145" s="20">
        <v>145</v>
      </c>
      <c r="B145" s="3" t="str">
        <f>Compras!A145</f>
        <v>Gorro de invierno creativo de Sanrio, bufanda Cinnamoroll con orejas móviles</v>
      </c>
      <c r="C145" s="3" t="s">
        <v>38</v>
      </c>
      <c r="D145" s="3" t="s">
        <v>235</v>
      </c>
      <c r="E145" s="15">
        <f>Compras!C145</f>
        <v>430.08</v>
      </c>
      <c r="F145" s="6">
        <f>Compras!D145</f>
        <v>0.6570172991071429</v>
      </c>
      <c r="G145" s="4">
        <f>Compras!B145</f>
        <v>1</v>
      </c>
      <c r="H145" s="15">
        <f>Compras!Q145</f>
        <v>126.44999999999999</v>
      </c>
      <c r="I145" s="4">
        <f>Compras!P145</f>
        <v>1</v>
      </c>
      <c r="J145" s="22" t="s">
        <v>29</v>
      </c>
      <c r="K145" s="16">
        <f t="shared" si="6"/>
        <v>274.59375</v>
      </c>
      <c r="L145" s="17">
        <f t="shared" si="7"/>
        <v>228.828125</v>
      </c>
      <c r="M145" s="18">
        <f t="shared" si="8"/>
        <v>183.0625</v>
      </c>
    </row>
    <row r="146" spans="1:13" ht="31.2" x14ac:dyDescent="0.3">
      <c r="A146" s="20">
        <v>146</v>
      </c>
      <c r="B146" s="3" t="str">
        <f>Compras!A146</f>
        <v>Manta japonesa Cinnamoroll Sanrio de franela con estampado HD, chal suave y esponjoso</v>
      </c>
      <c r="C146" s="3" t="s">
        <v>38</v>
      </c>
      <c r="D146" s="3" t="s">
        <v>316</v>
      </c>
      <c r="E146" s="15">
        <f>Compras!C146</f>
        <v>475.22</v>
      </c>
      <c r="F146" s="6">
        <f>Compras!D146</f>
        <v>0.68130550061024364</v>
      </c>
      <c r="G146" s="4">
        <f>Compras!B146</f>
        <v>1</v>
      </c>
      <c r="H146" s="15">
        <f>Compras!Q146</f>
        <v>131.13</v>
      </c>
      <c r="I146" s="4">
        <f>Compras!P146</f>
        <v>1</v>
      </c>
      <c r="J146" s="22" t="s">
        <v>29</v>
      </c>
      <c r="K146" s="16">
        <f t="shared" si="6"/>
        <v>283.36874999999998</v>
      </c>
      <c r="L146" s="17">
        <f t="shared" si="7"/>
        <v>236.140625</v>
      </c>
      <c r="M146" s="18">
        <f t="shared" si="8"/>
        <v>188.91249999999999</v>
      </c>
    </row>
    <row r="147" spans="1:13" ht="31.2" x14ac:dyDescent="0.3">
      <c r="A147" s="20">
        <v>147</v>
      </c>
      <c r="B147" s="3" t="str">
        <f>Compras!A147</f>
        <v>Gabby's Dollhouse Gabby Fashionista Spin Master</v>
      </c>
      <c r="C147" s="3" t="s">
        <v>60</v>
      </c>
      <c r="D147" s="3" t="s">
        <v>242</v>
      </c>
      <c r="E147" s="15">
        <f>Compras!C147</f>
        <v>399</v>
      </c>
      <c r="F147" s="6">
        <f>Compras!D147</f>
        <v>0.26743107769423552</v>
      </c>
      <c r="G147" s="4">
        <f>Compras!B147</f>
        <v>1</v>
      </c>
      <c r="H147" s="15">
        <f>Compras!Q147</f>
        <v>242.29500000000002</v>
      </c>
      <c r="I147" s="4">
        <f>Compras!P147</f>
        <v>1</v>
      </c>
      <c r="J147" s="22" t="s">
        <v>29</v>
      </c>
      <c r="K147" s="16">
        <f t="shared" si="6"/>
        <v>409.83593750000006</v>
      </c>
      <c r="L147" s="17">
        <f t="shared" si="7"/>
        <v>368.85234375000005</v>
      </c>
      <c r="M147" s="18">
        <f t="shared" si="8"/>
        <v>327.86875000000003</v>
      </c>
    </row>
    <row r="148" spans="1:13" x14ac:dyDescent="0.3">
      <c r="A148" s="20">
        <v>148</v>
      </c>
      <c r="B148" s="3" t="str">
        <f>Compras!A148</f>
        <v>Barbie Cutie Reveal Disfraces Divertidos Oso-delfín</v>
      </c>
      <c r="C148" s="3" t="s">
        <v>276</v>
      </c>
      <c r="D148" s="3" t="s">
        <v>242</v>
      </c>
      <c r="E148" s="15">
        <f>Compras!C148</f>
        <v>919</v>
      </c>
      <c r="F148" s="6">
        <f>Compras!D148</f>
        <v>0.46350924918389552</v>
      </c>
      <c r="G148" s="4">
        <f>Compras!B148</f>
        <v>1</v>
      </c>
      <c r="H148" s="15">
        <f>Compras!Q148</f>
        <v>443.03500000000003</v>
      </c>
      <c r="I148" s="4">
        <f>Compras!P148</f>
        <v>1</v>
      </c>
      <c r="J148" s="22" t="s">
        <v>29</v>
      </c>
      <c r="K148" s="16">
        <f t="shared" si="6"/>
        <v>578.79375000000005</v>
      </c>
      <c r="L148" s="17">
        <f t="shared" si="7"/>
        <v>578.79375000000005</v>
      </c>
      <c r="M148" s="18">
        <f t="shared" si="8"/>
        <v>578.79375000000005</v>
      </c>
    </row>
    <row r="149" spans="1:13" ht="31.2" x14ac:dyDescent="0.3">
      <c r="A149" s="20">
        <v>149</v>
      </c>
      <c r="B149" s="3" t="str">
        <f>Compras!A149</f>
        <v>Sombrero de Cosplay de Anime Tony Chopper Unisex, suave y acogedor, rosa y azul</v>
      </c>
      <c r="C149" s="3" t="s">
        <v>257</v>
      </c>
      <c r="D149" s="3" t="s">
        <v>235</v>
      </c>
      <c r="E149" s="15">
        <f>Compras!C149</f>
        <v>169.66</v>
      </c>
      <c r="F149" s="6">
        <f>Compras!D149</f>
        <v>0.38017210892372977</v>
      </c>
      <c r="G149" s="4">
        <f>Compras!B149</f>
        <v>1</v>
      </c>
      <c r="H149" s="15">
        <f>Compras!Q149</f>
        <v>89.5</v>
      </c>
      <c r="I149" s="4">
        <f>Compras!P149</f>
        <v>1</v>
      </c>
      <c r="J149" s="22" t="s">
        <v>29</v>
      </c>
      <c r="K149" s="16">
        <f t="shared" si="6"/>
        <v>238.875</v>
      </c>
      <c r="L149" s="17">
        <f t="shared" si="7"/>
        <v>199.0625</v>
      </c>
      <c r="M149" s="18">
        <f t="shared" si="8"/>
        <v>159.25</v>
      </c>
    </row>
    <row r="150" spans="1:13" ht="31.2" x14ac:dyDescent="0.3">
      <c r="A150" s="20">
        <v>150</v>
      </c>
      <c r="B150" s="3" t="str">
        <f>Compras!A150</f>
        <v>Sanrio Kuromi-Mochila con tapa de felpa para mujer, morral escolar de dibujos animados kawaii</v>
      </c>
      <c r="C150" s="3" t="s">
        <v>38</v>
      </c>
      <c r="D150" s="3" t="s">
        <v>42</v>
      </c>
      <c r="E150" s="15">
        <f>Compras!C150</f>
        <v>265.52999999999997</v>
      </c>
      <c r="F150" s="6">
        <f>Compras!D150</f>
        <v>0.60994991149775923</v>
      </c>
      <c r="G150" s="4">
        <f>Compras!B150</f>
        <v>1</v>
      </c>
      <c r="H150" s="15">
        <f>Compras!Q150</f>
        <v>89.039999999999992</v>
      </c>
      <c r="I150" s="4">
        <f>Compras!P150</f>
        <v>1</v>
      </c>
      <c r="J150" s="22" t="s">
        <v>29</v>
      </c>
      <c r="K150" s="16">
        <f t="shared" si="6"/>
        <v>238.52499999999998</v>
      </c>
      <c r="L150" s="17">
        <f t="shared" si="7"/>
        <v>187.41249999999997</v>
      </c>
      <c r="M150" s="18">
        <f t="shared" si="8"/>
        <v>136.29999999999998</v>
      </c>
    </row>
    <row r="151" spans="1:13" ht="46.8" x14ac:dyDescent="0.3">
      <c r="A151" s="20">
        <v>151</v>
      </c>
      <c r="B151" s="3" t="str">
        <f>Compras!A151</f>
        <v>Llavero de felpa Kawaii Sanrio Hello Kitty Melody Kuromi, serie de Anime Dream Angel, 12cm - Cinnamoroll</v>
      </c>
      <c r="C151" s="3" t="s">
        <v>38</v>
      </c>
      <c r="D151" s="3" t="s">
        <v>236</v>
      </c>
      <c r="E151" s="15">
        <f>Compras!C151</f>
        <v>241.8</v>
      </c>
      <c r="F151" s="6">
        <f>Compras!D151</f>
        <v>0.67005789909015723</v>
      </c>
      <c r="G151" s="4">
        <f>Compras!B151</f>
        <v>1</v>
      </c>
      <c r="H151" s="15">
        <f>Compras!Q151</f>
        <v>67.91</v>
      </c>
      <c r="I151" s="4">
        <f>Compras!P151</f>
        <v>1</v>
      </c>
      <c r="J151" s="22" t="s">
        <v>29</v>
      </c>
      <c r="K151" s="16">
        <f t="shared" si="6"/>
        <v>192.30312499999997</v>
      </c>
      <c r="L151" s="17">
        <f t="shared" si="7"/>
        <v>151.09531249999998</v>
      </c>
      <c r="M151" s="18">
        <f t="shared" si="8"/>
        <v>109.88749999999999</v>
      </c>
    </row>
    <row r="152" spans="1:13" ht="46.8" x14ac:dyDescent="0.3">
      <c r="A152" s="20">
        <v>152</v>
      </c>
      <c r="B152" s="3" t="str">
        <f>Compras!A152</f>
        <v>Llavero de felpa Kawaii Sanrio Hello Kitty Melody Kuromi, serie de Anime Dream Angel, 12cm - Hello Kitty</v>
      </c>
      <c r="C152" s="3" t="s">
        <v>38</v>
      </c>
      <c r="D152" s="3" t="s">
        <v>236</v>
      </c>
      <c r="E152" s="15">
        <f>Compras!C152</f>
        <v>237.73</v>
      </c>
      <c r="F152" s="6">
        <f>Compras!D152</f>
        <v>0.67000378580742848</v>
      </c>
      <c r="G152" s="4">
        <f>Compras!B152</f>
        <v>1</v>
      </c>
      <c r="H152" s="15">
        <f>Compras!Q152</f>
        <v>66.78</v>
      </c>
      <c r="I152" s="4">
        <f>Compras!P152</f>
        <v>1</v>
      </c>
      <c r="J152" s="22" t="s">
        <v>29</v>
      </c>
      <c r="K152" s="16">
        <f t="shared" si="6"/>
        <v>189.83124999999998</v>
      </c>
      <c r="L152" s="17">
        <f t="shared" si="7"/>
        <v>149.15312499999999</v>
      </c>
      <c r="M152" s="18">
        <f t="shared" si="8"/>
        <v>108.47499999999999</v>
      </c>
    </row>
    <row r="153" spans="1:13" ht="31.2" x14ac:dyDescent="0.3">
      <c r="A153" s="20">
        <v>153</v>
      </c>
      <c r="B153" s="3" t="str">
        <f>Compras!A153</f>
        <v>Llavero de Sanrio Kawaii, peluche con colgante, Kuromi - Cinnamoroll</v>
      </c>
      <c r="C153" s="3" t="s">
        <v>38</v>
      </c>
      <c r="D153" s="3" t="s">
        <v>236</v>
      </c>
      <c r="E153" s="15">
        <f>Compras!C153</f>
        <v>125.73</v>
      </c>
      <c r="F153" s="6">
        <f>Compras!D153</f>
        <v>0.71001352103714321</v>
      </c>
      <c r="G153" s="4">
        <f>Compras!B153</f>
        <v>1</v>
      </c>
      <c r="H153" s="15">
        <f>Compras!Q153</f>
        <v>31.029999999999998</v>
      </c>
      <c r="I153" s="4">
        <f>Compras!P153</f>
        <v>1</v>
      </c>
      <c r="J153" s="22" t="s">
        <v>29</v>
      </c>
      <c r="K153" s="16">
        <f t="shared" si="6"/>
        <v>125.20374999999999</v>
      </c>
      <c r="L153" s="17">
        <f t="shared" si="7"/>
        <v>98.374374999999986</v>
      </c>
      <c r="M153" s="18">
        <f t="shared" si="8"/>
        <v>71.544999999999987</v>
      </c>
    </row>
    <row r="154" spans="1:13" ht="31.2" x14ac:dyDescent="0.3">
      <c r="A154" s="20">
        <v>154</v>
      </c>
      <c r="B154" s="3" t="str">
        <f>Compras!A154</f>
        <v>Llavero de peluche Kawaii Sanrio Cinnamoroll Hello Kitty, llavero, Cinnamoroll</v>
      </c>
      <c r="C154" s="3" t="s">
        <v>38</v>
      </c>
      <c r="D154" s="3" t="s">
        <v>236</v>
      </c>
      <c r="E154" s="15">
        <f>Compras!C154</f>
        <v>129.6</v>
      </c>
      <c r="F154" s="6">
        <f>Compras!D154</f>
        <v>0.71010802469135814</v>
      </c>
      <c r="G154" s="4">
        <f>Compras!B154</f>
        <v>1</v>
      </c>
      <c r="H154" s="15">
        <f>Compras!Q154</f>
        <v>31.98</v>
      </c>
      <c r="I154" s="4">
        <f>Compras!P154</f>
        <v>1</v>
      </c>
      <c r="J154" s="22" t="s">
        <v>29</v>
      </c>
      <c r="K154" s="16">
        <f t="shared" si="6"/>
        <v>127.69749999999999</v>
      </c>
      <c r="L154" s="17">
        <f t="shared" si="7"/>
        <v>100.33374999999999</v>
      </c>
      <c r="M154" s="18">
        <f t="shared" si="8"/>
        <v>72.97</v>
      </c>
    </row>
    <row r="155" spans="1:13" ht="31.2" x14ac:dyDescent="0.3">
      <c r="A155" s="20">
        <v>155</v>
      </c>
      <c r="B155" s="3" t="str">
        <f>Compras!A155</f>
        <v>Llavero de Sanrio Kawaii, peluche con colgante, Kuromi Cinnamoroll - Amarillo</v>
      </c>
      <c r="C155" s="3" t="s">
        <v>38</v>
      </c>
      <c r="D155" s="3" t="s">
        <v>236</v>
      </c>
      <c r="E155" s="15">
        <f>Compras!C155</f>
        <v>131.74</v>
      </c>
      <c r="F155" s="6">
        <f>Compras!D155</f>
        <v>0.7100349172612721</v>
      </c>
      <c r="G155" s="4">
        <f>Compras!B155</f>
        <v>1</v>
      </c>
      <c r="H155" s="15">
        <f>Compras!Q155</f>
        <v>32.520000000000003</v>
      </c>
      <c r="I155" s="4">
        <f>Compras!P155</f>
        <v>1</v>
      </c>
      <c r="J155" s="22" t="s">
        <v>29</v>
      </c>
      <c r="K155" s="16">
        <f t="shared" si="6"/>
        <v>129.11500000000001</v>
      </c>
      <c r="L155" s="17">
        <f t="shared" si="7"/>
        <v>101.44750000000001</v>
      </c>
      <c r="M155" s="18">
        <f t="shared" si="8"/>
        <v>73.78</v>
      </c>
    </row>
    <row r="156" spans="1:13" ht="31.2" x14ac:dyDescent="0.3">
      <c r="A156" s="20">
        <v>156</v>
      </c>
      <c r="B156" s="3" t="str">
        <f>Compras!A156</f>
        <v>Sanrio llavero de felpa juguete Kawaii Hello Kitty My Melody Kuromi Cinnamoroll, Cinnamoroll</v>
      </c>
      <c r="C156" s="3" t="s">
        <v>38</v>
      </c>
      <c r="D156" s="3" t="s">
        <v>236</v>
      </c>
      <c r="E156" s="15">
        <f>Compras!C156</f>
        <v>147.46</v>
      </c>
      <c r="F156" s="6">
        <f>Compras!D156</f>
        <v>0.67991319679913187</v>
      </c>
      <c r="G156" s="4">
        <f>Compras!B156</f>
        <v>1</v>
      </c>
      <c r="H156" s="15">
        <f>Compras!Q156</f>
        <v>40.160000000000004</v>
      </c>
      <c r="I156" s="4">
        <f>Compras!P156</f>
        <v>1</v>
      </c>
      <c r="J156" s="22" t="s">
        <v>29</v>
      </c>
      <c r="K156" s="16">
        <f t="shared" si="6"/>
        <v>131.6</v>
      </c>
      <c r="L156" s="17">
        <f t="shared" si="7"/>
        <v>103.4</v>
      </c>
      <c r="M156" s="18">
        <f t="shared" si="8"/>
        <v>75.2</v>
      </c>
    </row>
    <row r="157" spans="1:13" ht="31.2" x14ac:dyDescent="0.3">
      <c r="A157" s="20">
        <v>157</v>
      </c>
      <c r="B157" s="3" t="str">
        <f>Compras!A157</f>
        <v>Llavero de peluche Kawaii Sanrio Cinnamoroll Hello Kitty, llavero de dibujos animados, Amarillo</v>
      </c>
      <c r="C157" s="3" t="s">
        <v>38</v>
      </c>
      <c r="D157" s="3" t="s">
        <v>236</v>
      </c>
      <c r="E157" s="15">
        <f>Compras!C157</f>
        <v>135.61000000000001</v>
      </c>
      <c r="F157" s="6">
        <f>Compras!D157</f>
        <v>0.70997714032888437</v>
      </c>
      <c r="G157" s="4">
        <f>Compras!B157</f>
        <v>1</v>
      </c>
      <c r="H157" s="15">
        <f>Compras!Q157</f>
        <v>33.47</v>
      </c>
      <c r="I157" s="4">
        <f>Compras!P157</f>
        <v>1</v>
      </c>
      <c r="J157" s="22" t="s">
        <v>29</v>
      </c>
      <c r="K157" s="16">
        <f t="shared" si="6"/>
        <v>116.96562500000002</v>
      </c>
      <c r="L157" s="17">
        <f t="shared" si="7"/>
        <v>91.901562500000011</v>
      </c>
      <c r="M157" s="18">
        <f t="shared" si="8"/>
        <v>66.837500000000006</v>
      </c>
    </row>
    <row r="158" spans="1:13" ht="31.2" x14ac:dyDescent="0.3">
      <c r="A158" s="20">
        <v>158</v>
      </c>
      <c r="B158" s="3" t="str">
        <f>Compras!A158</f>
        <v>Sanrio llavero de felpa juguete Kawaii Hello Kitty My Melody Kuromi Cinnamoroll - Melody</v>
      </c>
      <c r="C158" s="3" t="s">
        <v>38</v>
      </c>
      <c r="D158" s="3" t="s">
        <v>236</v>
      </c>
      <c r="E158" s="15">
        <f>Compras!C158</f>
        <v>140.47999999999999</v>
      </c>
      <c r="F158" s="6">
        <f>Compras!D158</f>
        <v>0.68999145785877003</v>
      </c>
      <c r="G158" s="4">
        <f>Compras!B158</f>
        <v>1</v>
      </c>
      <c r="H158" s="15">
        <f>Compras!Q158</f>
        <v>37.069999999999993</v>
      </c>
      <c r="I158" s="4">
        <f>Compras!P158</f>
        <v>1</v>
      </c>
      <c r="J158" s="22" t="s">
        <v>29</v>
      </c>
      <c r="K158" s="16">
        <f t="shared" si="6"/>
        <v>124.84062499999999</v>
      </c>
      <c r="L158" s="17">
        <f t="shared" si="7"/>
        <v>98.089062499999983</v>
      </c>
      <c r="M158" s="18">
        <f t="shared" si="8"/>
        <v>71.337499999999991</v>
      </c>
    </row>
    <row r="159" spans="1:13" ht="31.2" x14ac:dyDescent="0.3">
      <c r="A159" s="20">
        <v>159</v>
      </c>
      <c r="B159" s="3" t="str">
        <f>Compras!A159</f>
        <v>Sanrio-Llavero de peluche de Hello Kitty, colgante de bolsa, Cinnamoroll, pomppurin - Cinnamoroll</v>
      </c>
      <c r="C159" s="3" t="s">
        <v>38</v>
      </c>
      <c r="D159" s="3" t="s">
        <v>236</v>
      </c>
      <c r="E159" s="15">
        <f>Compras!C159</f>
        <v>156.91999999999999</v>
      </c>
      <c r="F159" s="6">
        <f>Compras!D159</f>
        <v>0.73005353046138155</v>
      </c>
      <c r="G159" s="4">
        <f>Compras!B159</f>
        <v>1</v>
      </c>
      <c r="H159" s="15">
        <f>Compras!Q159</f>
        <v>36.06</v>
      </c>
      <c r="I159" s="4">
        <f>Compras!P159</f>
        <v>1</v>
      </c>
      <c r="J159" s="22" t="s">
        <v>29</v>
      </c>
      <c r="K159" s="16">
        <f t="shared" si="6"/>
        <v>122.63125000000001</v>
      </c>
      <c r="L159" s="17">
        <f t="shared" si="7"/>
        <v>96.353125000000006</v>
      </c>
      <c r="M159" s="18">
        <f t="shared" si="8"/>
        <v>70.075000000000003</v>
      </c>
    </row>
    <row r="160" spans="1:13" ht="31.2" x14ac:dyDescent="0.3">
      <c r="A160" s="20">
        <v>160</v>
      </c>
      <c r="B160" s="3" t="str">
        <f>Compras!A160</f>
        <v>Sanrio-Llavero de peluche de Hello Kitty, colgante de bolsa, Cinnamoroll, pomppurin - Hello Kitty</v>
      </c>
      <c r="C160" s="3" t="s">
        <v>38</v>
      </c>
      <c r="D160" s="3" t="s">
        <v>236</v>
      </c>
      <c r="E160" s="15">
        <f>Compras!C160</f>
        <v>154.97999999999999</v>
      </c>
      <c r="F160" s="6">
        <f>Compras!D160</f>
        <v>0.73002968124919332</v>
      </c>
      <c r="G160" s="4">
        <f>Compras!B160</f>
        <v>1</v>
      </c>
      <c r="H160" s="15">
        <f>Compras!Q160</f>
        <v>35.610000000000007</v>
      </c>
      <c r="I160" s="4">
        <f>Compras!P160</f>
        <v>1</v>
      </c>
      <c r="J160" s="22" t="s">
        <v>29</v>
      </c>
      <c r="K160" s="16">
        <f t="shared" si="6"/>
        <v>121.64687500000002</v>
      </c>
      <c r="L160" s="17">
        <f t="shared" si="7"/>
        <v>95.57968750000002</v>
      </c>
      <c r="M160" s="18">
        <f t="shared" si="8"/>
        <v>69.512500000000017</v>
      </c>
    </row>
    <row r="161" spans="1:13" ht="31.2" x14ac:dyDescent="0.3">
      <c r="A161" s="20">
        <v>161</v>
      </c>
      <c r="B161" s="3" t="str">
        <f>Compras!A161</f>
        <v>Sanrio-llavero muñeco de peluche Kawaii, Kuromi, Hello Kitty - HK y Cinnamoroll</v>
      </c>
      <c r="C161" s="3" t="s">
        <v>38</v>
      </c>
      <c r="D161" s="3" t="s">
        <v>236</v>
      </c>
      <c r="E161" s="15">
        <f>Compras!C161</f>
        <v>131.28</v>
      </c>
      <c r="F161" s="6">
        <f>Compras!D161</f>
        <v>0.67999695307739205</v>
      </c>
      <c r="G161" s="4">
        <f>Compras!B161</f>
        <v>2</v>
      </c>
      <c r="H161" s="15">
        <f>Compras!Q161</f>
        <v>35.739999999999995</v>
      </c>
      <c r="I161" s="4">
        <f>Compras!P161</f>
        <v>1</v>
      </c>
      <c r="J161" s="22" t="s">
        <v>29</v>
      </c>
      <c r="K161" s="16">
        <f t="shared" si="6"/>
        <v>137.56749999999997</v>
      </c>
      <c r="L161" s="17">
        <f t="shared" si="7"/>
        <v>108.08874999999998</v>
      </c>
      <c r="M161" s="18">
        <f t="shared" si="8"/>
        <v>78.609999999999985</v>
      </c>
    </row>
    <row r="162" spans="1:13" ht="31.2" x14ac:dyDescent="0.3">
      <c r="A162" s="20">
        <v>162</v>
      </c>
      <c r="B162" s="3" t="str">
        <f>Compras!A162</f>
        <v>Sanrio-llavero muñeco de peluche Kawaii, Kuromi, Hello Kitty - Melody</v>
      </c>
      <c r="C162" s="3" t="s">
        <v>38</v>
      </c>
      <c r="D162" s="3" t="s">
        <v>236</v>
      </c>
      <c r="E162" s="15">
        <f>Compras!C162</f>
        <v>136.38</v>
      </c>
      <c r="F162" s="6">
        <f>Compras!D162</f>
        <v>0.68001173192550224</v>
      </c>
      <c r="G162" s="4">
        <f>Compras!B162</f>
        <v>1</v>
      </c>
      <c r="H162" s="15">
        <f>Compras!Q162</f>
        <v>37.14</v>
      </c>
      <c r="I162" s="4">
        <f>Compras!P162</f>
        <v>1</v>
      </c>
      <c r="J162" s="22" t="s">
        <v>29</v>
      </c>
      <c r="K162" s="16">
        <f t="shared" si="6"/>
        <v>141.24250000000001</v>
      </c>
      <c r="L162" s="17">
        <f t="shared" si="7"/>
        <v>110.97625000000001</v>
      </c>
      <c r="M162" s="18">
        <f t="shared" si="8"/>
        <v>80.710000000000008</v>
      </c>
    </row>
    <row r="163" spans="1:13" ht="31.2" x14ac:dyDescent="0.3">
      <c r="A163" s="20">
        <v>163</v>
      </c>
      <c r="B163" s="3" t="str">
        <f>Compras!A163</f>
        <v>Peluche de Stitch para bebé, Juguete Musical relajante con sonido</v>
      </c>
      <c r="C163" s="3" t="s">
        <v>41</v>
      </c>
      <c r="D163" s="3" t="s">
        <v>28</v>
      </c>
      <c r="E163" s="15">
        <f>Compras!C163</f>
        <v>556.46</v>
      </c>
      <c r="F163" s="6">
        <f>Compras!D163</f>
        <v>0.72998957696869493</v>
      </c>
      <c r="G163" s="4">
        <f>Compras!B163</f>
        <v>1</v>
      </c>
      <c r="H163" s="15">
        <f>Compras!Q163</f>
        <v>126.78</v>
      </c>
      <c r="I163" s="4">
        <f>Compras!P163</f>
        <v>1</v>
      </c>
      <c r="J163" s="22" t="s">
        <v>29</v>
      </c>
      <c r="K163" s="16">
        <f t="shared" si="6"/>
        <v>275.21249999999998</v>
      </c>
      <c r="L163" s="17">
        <f t="shared" si="7"/>
        <v>229.34375</v>
      </c>
      <c r="M163" s="18">
        <f t="shared" si="8"/>
        <v>183.47499999999999</v>
      </c>
    </row>
    <row r="164" spans="1:13" ht="31.2" x14ac:dyDescent="0.3">
      <c r="A164" s="20">
        <v>164</v>
      </c>
      <c r="B164" s="3" t="str">
        <f>Compras!A164</f>
        <v>Sanrio Peluche de Hello Kitty, muñeca de dibujos animados, almohada, HK helado</v>
      </c>
      <c r="C164" s="3" t="s">
        <v>234</v>
      </c>
      <c r="D164" s="3" t="s">
        <v>28</v>
      </c>
      <c r="E164" s="15">
        <f>Compras!C164</f>
        <v>512.14</v>
      </c>
      <c r="F164" s="6">
        <f>Compras!D164</f>
        <v>0.72177529581754996</v>
      </c>
      <c r="G164" s="4">
        <f>Compras!B164</f>
        <v>1</v>
      </c>
      <c r="H164" s="15">
        <f>Compras!Q164</f>
        <v>121.45000000000002</v>
      </c>
      <c r="I164" s="4">
        <f>Compras!P164</f>
        <v>1</v>
      </c>
      <c r="J164" s="22" t="s">
        <v>29</v>
      </c>
      <c r="K164" s="16">
        <f t="shared" si="6"/>
        <v>265.21875000000006</v>
      </c>
      <c r="L164" s="17">
        <f t="shared" si="7"/>
        <v>221.01562500000006</v>
      </c>
      <c r="M164" s="18">
        <f t="shared" si="8"/>
        <v>176.81250000000003</v>
      </c>
    </row>
    <row r="165" spans="1:13" ht="31.2" x14ac:dyDescent="0.3">
      <c r="A165" s="20">
        <v>165</v>
      </c>
      <c r="B165" s="3" t="str">
        <f>Compras!A165</f>
        <v>Hatsune-Diadema Miku de felpa para niña, bandana bonita para el pelo</v>
      </c>
      <c r="C165" s="3" t="s">
        <v>59</v>
      </c>
      <c r="D165" s="3" t="s">
        <v>270</v>
      </c>
      <c r="E165" s="15">
        <f>Compras!C165</f>
        <v>215.99</v>
      </c>
      <c r="F165" s="6">
        <f>Compras!D165</f>
        <v>0.69998611046807724</v>
      </c>
      <c r="G165" s="4">
        <f>Compras!B165</f>
        <v>1</v>
      </c>
      <c r="H165" s="15">
        <f>Compras!Q165</f>
        <v>54.69</v>
      </c>
      <c r="I165" s="4">
        <f>Compras!P165</f>
        <v>1</v>
      </c>
      <c r="J165" s="22" t="s">
        <v>29</v>
      </c>
      <c r="K165" s="16">
        <f t="shared" si="6"/>
        <v>163.38437500000001</v>
      </c>
      <c r="L165" s="17">
        <f t="shared" si="7"/>
        <v>128.37343749999999</v>
      </c>
      <c r="M165" s="18">
        <f t="shared" si="8"/>
        <v>93.362499999999997</v>
      </c>
    </row>
    <row r="166" spans="1:13" ht="31.2" x14ac:dyDescent="0.3">
      <c r="A166" s="20">
        <v>166</v>
      </c>
      <c r="B166" s="3" t="str">
        <f>Compras!A166</f>
        <v>Sombrero de felpa Kirby Kawaii para niñas, dibujos animados, Kirby</v>
      </c>
      <c r="C166" s="3" t="s">
        <v>40</v>
      </c>
      <c r="D166" s="3" t="s">
        <v>235</v>
      </c>
      <c r="E166" s="15">
        <f>Compras!C166</f>
        <v>344.26</v>
      </c>
      <c r="F166" s="6">
        <f>Compras!D166</f>
        <v>0.70998663800615813</v>
      </c>
      <c r="G166" s="4">
        <f>Compras!B166</f>
        <v>1</v>
      </c>
      <c r="H166" s="15">
        <f>Compras!Q166</f>
        <v>84.240000000000009</v>
      </c>
      <c r="I166" s="4">
        <f>Compras!P166</f>
        <v>1</v>
      </c>
      <c r="J166" s="22" t="s">
        <v>29</v>
      </c>
      <c r="K166" s="16">
        <f t="shared" si="6"/>
        <v>228.02500000000003</v>
      </c>
      <c r="L166" s="17">
        <f t="shared" si="7"/>
        <v>179.16250000000002</v>
      </c>
      <c r="M166" s="18">
        <f t="shared" si="8"/>
        <v>130.30000000000001</v>
      </c>
    </row>
    <row r="167" spans="1:13" ht="31.2" x14ac:dyDescent="0.3">
      <c r="A167" s="20">
        <v>167</v>
      </c>
      <c r="B167" s="3" t="str">
        <f>Compras!A167</f>
        <v>Hatsune-mochila de felpa suave con bordado de imagen de Anime</v>
      </c>
      <c r="C167" s="3" t="s">
        <v>59</v>
      </c>
      <c r="D167" s="3" t="s">
        <v>42</v>
      </c>
      <c r="E167" s="15">
        <f>Compras!C167</f>
        <v>407.04</v>
      </c>
      <c r="F167" s="6">
        <f>Compras!D167</f>
        <v>0.56173840408805031</v>
      </c>
      <c r="G167" s="4">
        <f>Compras!B167</f>
        <v>1</v>
      </c>
      <c r="H167" s="15">
        <f>Compras!Q167</f>
        <v>152.07</v>
      </c>
      <c r="I167" s="4">
        <f>Compras!P167</f>
        <v>1</v>
      </c>
      <c r="J167" s="22" t="s">
        <v>29</v>
      </c>
      <c r="K167" s="16">
        <f t="shared" si="6"/>
        <v>322.63124999999997</v>
      </c>
      <c r="L167" s="17">
        <f t="shared" si="7"/>
        <v>268.859375</v>
      </c>
      <c r="M167" s="18">
        <f t="shared" si="8"/>
        <v>215.08749999999998</v>
      </c>
    </row>
    <row r="168" spans="1:13" ht="31.2" x14ac:dyDescent="0.3">
      <c r="A168" s="20">
        <v>168</v>
      </c>
      <c r="B168" s="3" t="str">
        <f>Compras!A168</f>
        <v>Funda de tableta para Samsung Galaxy Tab S7 FE S8 S9 Plus A8 S6 Lite</v>
      </c>
      <c r="C168" s="3" t="s">
        <v>65</v>
      </c>
      <c r="D168" s="3" t="s">
        <v>288</v>
      </c>
      <c r="E168" s="15">
        <f>Compras!C168</f>
        <v>231.18</v>
      </c>
      <c r="F168" s="6">
        <f>Compras!D168</f>
        <v>0.51994117138160734</v>
      </c>
      <c r="G168" s="4">
        <f>Compras!B168</f>
        <v>1</v>
      </c>
      <c r="H168" s="15">
        <f>Compras!Q168</f>
        <v>93.65</v>
      </c>
      <c r="I168" s="4">
        <f>Compras!P168</f>
        <v>1</v>
      </c>
      <c r="J168" s="21" t="s">
        <v>29</v>
      </c>
      <c r="K168" s="16">
        <f t="shared" si="6"/>
        <v>248.609375</v>
      </c>
      <c r="L168" s="17">
        <f t="shared" si="7"/>
        <v>195.3359375</v>
      </c>
      <c r="M168" s="18">
        <f t="shared" si="8"/>
        <v>142.0625</v>
      </c>
    </row>
    <row r="169" spans="1:13" ht="31.2" x14ac:dyDescent="0.3">
      <c r="A169" s="20">
        <v>169</v>
      </c>
      <c r="B169" s="3" t="str">
        <f>Compras!A169</f>
        <v>Soporte Universal portátil para tableta, soporte Flexible para iPad</v>
      </c>
      <c r="C169" s="3" t="s">
        <v>65</v>
      </c>
      <c r="D169" s="3" t="s">
        <v>401</v>
      </c>
      <c r="E169" s="15">
        <f>Compras!C169</f>
        <v>106.64</v>
      </c>
      <c r="F169" s="6">
        <f>Compras!D169</f>
        <v>0.65997749437359343</v>
      </c>
      <c r="G169" s="4">
        <f>Compras!B169</f>
        <v>1</v>
      </c>
      <c r="H169" s="15">
        <f>Compras!Q169</f>
        <v>30.6</v>
      </c>
      <c r="I169" s="4">
        <f>Compras!P169</f>
        <v>1</v>
      </c>
      <c r="J169" s="21" t="s">
        <v>29</v>
      </c>
      <c r="K169" s="16">
        <f t="shared" si="6"/>
        <v>124.07500000000002</v>
      </c>
      <c r="L169" s="17">
        <f t="shared" si="7"/>
        <v>97.487500000000011</v>
      </c>
      <c r="M169" s="18">
        <f t="shared" si="8"/>
        <v>70.900000000000006</v>
      </c>
    </row>
    <row r="170" spans="1:13" ht="31.2" x14ac:dyDescent="0.3">
      <c r="A170" s="20">
        <v>170</v>
      </c>
      <c r="B170" s="3" t="str">
        <f>Compras!A170</f>
        <v>Soporte para teléfono plegable, ángulo y altura ajustables con almohadilla de silicona</v>
      </c>
      <c r="C170" s="3" t="s">
        <v>65</v>
      </c>
      <c r="D170" s="3" t="s">
        <v>401</v>
      </c>
      <c r="E170" s="15">
        <f>Compras!C170</f>
        <v>80.239999999999995</v>
      </c>
      <c r="F170" s="6">
        <f>Compras!D170</f>
        <v>0.58000997008973076</v>
      </c>
      <c r="G170" s="4">
        <f>Compras!B170</f>
        <v>1</v>
      </c>
      <c r="H170" s="15">
        <f>Compras!Q170</f>
        <v>28.430000000000003</v>
      </c>
      <c r="I170" s="4">
        <f>Compras!P170</f>
        <v>1</v>
      </c>
      <c r="J170" s="21" t="s">
        <v>29</v>
      </c>
      <c r="K170" s="16">
        <f t="shared" si="6"/>
        <v>118.37875000000003</v>
      </c>
      <c r="L170" s="17">
        <f t="shared" si="7"/>
        <v>93.011875000000018</v>
      </c>
      <c r="M170" s="18">
        <f t="shared" si="8"/>
        <v>67.64500000000001</v>
      </c>
    </row>
    <row r="171" spans="1:13" ht="31.2" x14ac:dyDescent="0.3">
      <c r="A171" s="20">
        <v>171</v>
      </c>
      <c r="B171" s="3" t="str">
        <f>Compras!A171</f>
        <v>Gabby's Dollhouse Gabby Fashionista Spin Master</v>
      </c>
      <c r="C171" s="3" t="s">
        <v>60</v>
      </c>
      <c r="D171" s="3" t="s">
        <v>242</v>
      </c>
      <c r="E171" s="15">
        <f>Compras!C171</f>
        <v>399</v>
      </c>
      <c r="F171" s="6">
        <f>Compras!D171</f>
        <v>0.26082706766917296</v>
      </c>
      <c r="G171" s="4">
        <f>Compras!B171</f>
        <v>1</v>
      </c>
      <c r="H171" s="15">
        <f>Compras!Q171</f>
        <v>294.93</v>
      </c>
      <c r="I171" s="4">
        <f>Compras!P171</f>
        <v>1</v>
      </c>
      <c r="J171" s="22" t="s">
        <v>29</v>
      </c>
      <c r="K171" s="16">
        <f t="shared" si="6"/>
        <v>492.078125</v>
      </c>
      <c r="L171" s="17">
        <f t="shared" si="7"/>
        <v>442.87031250000001</v>
      </c>
      <c r="M171" s="18">
        <f t="shared" si="8"/>
        <v>393.66250000000002</v>
      </c>
    </row>
    <row r="172" spans="1:13" ht="31.2" x14ac:dyDescent="0.3">
      <c r="A172" s="20">
        <v>172</v>
      </c>
      <c r="B172" s="3" t="str">
        <f>Compras!A172</f>
        <v>Bufanda cálida Harries estudiante Campus Cosplay Gryffindor</v>
      </c>
      <c r="C172" s="3" t="s">
        <v>419</v>
      </c>
      <c r="D172" s="3" t="s">
        <v>492</v>
      </c>
      <c r="E172" s="15">
        <f>Compras!C172</f>
        <v>332.03</v>
      </c>
      <c r="F172" s="6">
        <f>Compras!D172</f>
        <v>0.47760744511038156</v>
      </c>
      <c r="G172" s="4">
        <f>Compras!B172</f>
        <v>2</v>
      </c>
      <c r="H172" s="15">
        <f>Compras!Q172</f>
        <v>151.05666666666664</v>
      </c>
      <c r="I172" s="4">
        <f>Compras!P172</f>
        <v>1</v>
      </c>
      <c r="J172" s="22" t="s">
        <v>29</v>
      </c>
      <c r="K172" s="16">
        <f t="shared" si="6"/>
        <v>320.73124999999993</v>
      </c>
      <c r="L172" s="17">
        <f t="shared" si="7"/>
        <v>267.27604166666663</v>
      </c>
      <c r="M172" s="18">
        <f t="shared" si="8"/>
        <v>213.8208333333333</v>
      </c>
    </row>
    <row r="173" spans="1:13" ht="31.2" x14ac:dyDescent="0.3">
      <c r="A173" s="20">
        <v>173</v>
      </c>
      <c r="B173" s="3" t="str">
        <f>Compras!A173</f>
        <v>Bufanda cálida Harries estudiante Campus Cosplay Slytherin</v>
      </c>
      <c r="C173" s="3" t="s">
        <v>419</v>
      </c>
      <c r="D173" s="3" t="s">
        <v>401</v>
      </c>
      <c r="E173" s="15">
        <f>Compras!C173</f>
        <v>332.03</v>
      </c>
      <c r="F173" s="6">
        <f>Compras!D173</f>
        <v>0.45026051862783478</v>
      </c>
      <c r="G173" s="4">
        <f>Compras!B173</f>
        <v>1</v>
      </c>
      <c r="H173" s="15">
        <f>Compras!Q173</f>
        <v>160.13666666666666</v>
      </c>
      <c r="I173" s="4">
        <f>Compras!P173</f>
        <v>1</v>
      </c>
      <c r="J173" s="22" t="s">
        <v>29</v>
      </c>
      <c r="K173" s="16">
        <f t="shared" si="6"/>
        <v>337.75624999999997</v>
      </c>
      <c r="L173" s="17">
        <f t="shared" si="7"/>
        <v>281.46354166666663</v>
      </c>
      <c r="M173" s="18">
        <f t="shared" si="8"/>
        <v>225.17083333333332</v>
      </c>
    </row>
    <row r="174" spans="1:13" ht="46.8" x14ac:dyDescent="0.3">
      <c r="A174" s="20">
        <v>174</v>
      </c>
      <c r="B174" s="3" t="str">
        <f>Compras!A174</f>
        <v>Conjunto de 3 uds, gorro, bufanda, guante, Anime de Disney, conjunto cálido de otoño e invierno - Stich azul</v>
      </c>
      <c r="C174" s="3" t="s">
        <v>41</v>
      </c>
      <c r="D174" s="3" t="s">
        <v>425</v>
      </c>
      <c r="E174" s="15">
        <f>Compras!C174</f>
        <v>189.14</v>
      </c>
      <c r="F174" s="6">
        <f>Compras!D174</f>
        <v>0</v>
      </c>
      <c r="G174" s="4">
        <f>Compras!B174</f>
        <v>1</v>
      </c>
      <c r="H174" s="15">
        <f>Compras!Q174</f>
        <v>169.38</v>
      </c>
      <c r="I174" s="4">
        <f>Compras!P174</f>
        <v>1</v>
      </c>
      <c r="J174" s="22" t="s">
        <v>29</v>
      </c>
      <c r="K174" s="16">
        <f t="shared" si="6"/>
        <v>305.34424999999993</v>
      </c>
      <c r="L174" s="17">
        <f t="shared" si="7"/>
        <v>313.37962499999992</v>
      </c>
      <c r="M174" s="18">
        <f t="shared" si="8"/>
        <v>321.41499999999996</v>
      </c>
    </row>
    <row r="175" spans="1:13" ht="46.8" x14ac:dyDescent="0.3">
      <c r="A175" s="20">
        <v>175</v>
      </c>
      <c r="B175" s="3" t="str">
        <f>Compras!A175</f>
        <v>Conjunto de 3 uds, gorro, bufanda, guante, Anime de Disney, conjunto cálido de otoño e invierno - Stich lila</v>
      </c>
      <c r="C175" s="3" t="s">
        <v>41</v>
      </c>
      <c r="D175" s="3" t="s">
        <v>425</v>
      </c>
      <c r="E175" s="15">
        <f>Compras!C175</f>
        <v>188.11</v>
      </c>
      <c r="F175" s="6">
        <f>Compras!D175</f>
        <v>0</v>
      </c>
      <c r="G175" s="4">
        <f>Compras!B175</f>
        <v>1</v>
      </c>
      <c r="H175" s="15">
        <f>Compras!Q175</f>
        <v>168.40000000000003</v>
      </c>
      <c r="I175" s="4">
        <f>Compras!P175</f>
        <v>1</v>
      </c>
      <c r="J175" s="22" t="s">
        <v>29</v>
      </c>
      <c r="K175" s="16">
        <f t="shared" si="6"/>
        <v>303.71500000000003</v>
      </c>
      <c r="L175" s="17">
        <f t="shared" si="7"/>
        <v>311.70750000000004</v>
      </c>
      <c r="M175" s="18">
        <f t="shared" si="8"/>
        <v>319.70000000000005</v>
      </c>
    </row>
    <row r="176" spans="1:13" ht="31.2" x14ac:dyDescent="0.3">
      <c r="A176" s="20">
        <v>176</v>
      </c>
      <c r="B176" s="3" t="str">
        <f>Compras!A176</f>
        <v>Gorro Kirby de Anime Y2K, bonitos gorros de esquí con dibujos animados para invierno</v>
      </c>
      <c r="C176" s="3" t="s">
        <v>40</v>
      </c>
      <c r="D176" s="3" t="s">
        <v>235</v>
      </c>
      <c r="E176" s="15">
        <f>Compras!C176</f>
        <v>644.25</v>
      </c>
      <c r="F176" s="6">
        <f>Compras!D176</f>
        <v>0.54002328288707802</v>
      </c>
      <c r="G176" s="4">
        <f>Compras!B176</f>
        <v>1</v>
      </c>
      <c r="H176" s="15">
        <f>Compras!Q176</f>
        <v>265.26</v>
      </c>
      <c r="I176" s="4">
        <f>Compras!P176</f>
        <v>1</v>
      </c>
      <c r="J176" s="22" t="s">
        <v>29</v>
      </c>
      <c r="K176" s="16">
        <f t="shared" si="6"/>
        <v>445.71875</v>
      </c>
      <c r="L176" s="17">
        <f t="shared" si="7"/>
        <v>401.14687500000002</v>
      </c>
      <c r="M176" s="18">
        <f t="shared" si="8"/>
        <v>356.57499999999999</v>
      </c>
    </row>
    <row r="177" spans="1:13" ht="31.2" x14ac:dyDescent="0.3">
      <c r="A177" s="20">
        <v>177</v>
      </c>
      <c r="B177" s="3" t="str">
        <f>Compras!A177</f>
        <v>Disney-bufanda de dibujos animados de Minnie para niños, guante de tres piezas</v>
      </c>
      <c r="C177" s="3" t="s">
        <v>41</v>
      </c>
      <c r="D177" s="3" t="s">
        <v>425</v>
      </c>
      <c r="E177" s="15">
        <f>Compras!C177</f>
        <v>442.88</v>
      </c>
      <c r="F177" s="6">
        <f>Compras!D177</f>
        <v>0.67002348265895961</v>
      </c>
      <c r="G177" s="4">
        <f>Compras!B177</f>
        <v>1</v>
      </c>
      <c r="H177" s="15">
        <f>Compras!Q177</f>
        <v>129.57999999999998</v>
      </c>
      <c r="I177" s="4">
        <f>Compras!P177</f>
        <v>1</v>
      </c>
      <c r="J177" s="22" t="s">
        <v>29</v>
      </c>
      <c r="K177" s="16">
        <f t="shared" si="6"/>
        <v>280.46249999999998</v>
      </c>
      <c r="L177" s="17">
        <f t="shared" si="7"/>
        <v>233.71874999999997</v>
      </c>
      <c r="M177" s="18">
        <f t="shared" si="8"/>
        <v>186.97499999999997</v>
      </c>
    </row>
    <row r="178" spans="1:13" ht="31.2" x14ac:dyDescent="0.3">
      <c r="A178" s="20">
        <v>178</v>
      </c>
      <c r="B178" s="3" t="str">
        <f>Compras!A178</f>
        <v>Peluche de 20cm de la Universidad de monstruos, Mike Wazowski, Disney Pixar</v>
      </c>
      <c r="C178" s="3" t="s">
        <v>41</v>
      </c>
      <c r="D178" s="3" t="s">
        <v>28</v>
      </c>
      <c r="E178" s="15">
        <f>Compras!C178</f>
        <v>99.73</v>
      </c>
      <c r="F178" s="6">
        <f>Compras!D178</f>
        <v>5.7956482502757457E-2</v>
      </c>
      <c r="G178" s="4">
        <f>Compras!B178</f>
        <v>1</v>
      </c>
      <c r="H178" s="15">
        <f>Compras!Q178</f>
        <v>83.55</v>
      </c>
      <c r="I178" s="4">
        <f>Compras!P178</f>
        <v>1</v>
      </c>
      <c r="J178" s="22" t="s">
        <v>29</v>
      </c>
      <c r="K178" s="16">
        <f t="shared" si="6"/>
        <v>214.015625</v>
      </c>
      <c r="L178" s="17">
        <f t="shared" si="7"/>
        <v>192.61406249999999</v>
      </c>
      <c r="M178" s="18">
        <f t="shared" si="8"/>
        <v>171.21250000000001</v>
      </c>
    </row>
    <row r="179" spans="1:13" ht="31.2" x14ac:dyDescent="0.3">
      <c r="A179" s="20">
        <v>179</v>
      </c>
      <c r="B179" s="3" t="str">
        <f>Compras!A179</f>
        <v>Sombrero de bufanda de dibujos animados, otoño e invierno, conjunto de dos piezas</v>
      </c>
      <c r="C179" s="3" t="s">
        <v>65</v>
      </c>
      <c r="D179" s="3" t="s">
        <v>401</v>
      </c>
      <c r="E179" s="15">
        <f>Compras!C179</f>
        <v>117.25</v>
      </c>
      <c r="F179" s="6">
        <f>Compras!D179</f>
        <v>0.51991471215351814</v>
      </c>
      <c r="G179" s="4">
        <f>Compras!B179</f>
        <v>1</v>
      </c>
      <c r="H179" s="15">
        <f>Compras!Q179</f>
        <v>50.550000000000004</v>
      </c>
      <c r="I179" s="4">
        <f>Compras!P179</f>
        <v>1</v>
      </c>
      <c r="J179" s="22" t="s">
        <v>29</v>
      </c>
      <c r="K179" s="16">
        <f t="shared" si="6"/>
        <v>151.23750000000001</v>
      </c>
      <c r="L179" s="17">
        <f t="shared" si="7"/>
        <v>126.03125</v>
      </c>
      <c r="M179" s="18">
        <f t="shared" si="8"/>
        <v>100.825</v>
      </c>
    </row>
    <row r="180" spans="1:13" ht="31.2" x14ac:dyDescent="0.3">
      <c r="A180" s="20">
        <v>180</v>
      </c>
      <c r="B180" s="3" t="str">
        <f>Compras!A180</f>
        <v>Sanrio-guantes de algodón de Hello Kitty Kawaii para niñas, cálidos, Cinnamoroll</v>
      </c>
      <c r="C180" s="3" t="s">
        <v>38</v>
      </c>
      <c r="D180" s="3" t="s">
        <v>493</v>
      </c>
      <c r="E180" s="15">
        <f>Compras!C180</f>
        <v>177.31666666666669</v>
      </c>
      <c r="F180" s="6">
        <f>Compras!D180</f>
        <v>0.66996898204718491</v>
      </c>
      <c r="G180" s="4">
        <f>Compras!B180</f>
        <v>3</v>
      </c>
      <c r="H180" s="15">
        <f>Compras!Q180</f>
        <v>52.56666666666667</v>
      </c>
      <c r="I180" s="4">
        <f>Compras!P180</f>
        <v>1</v>
      </c>
      <c r="J180" s="22" t="s">
        <v>29</v>
      </c>
      <c r="K180" s="16">
        <f t="shared" si="6"/>
        <v>158.73958333333334</v>
      </c>
      <c r="L180" s="17">
        <f t="shared" si="7"/>
        <v>124.72395833333334</v>
      </c>
      <c r="M180" s="18">
        <f t="shared" si="8"/>
        <v>90.708333333333343</v>
      </c>
    </row>
    <row r="181" spans="1:13" ht="31.2" x14ac:dyDescent="0.3">
      <c r="A181" s="20">
        <v>181</v>
      </c>
      <c r="B181" s="3" t="str">
        <f>Compras!A181</f>
        <v>2024-Lindo tejido cereza corazón animales suaves cinco dedos guantes niños</v>
      </c>
      <c r="C181" s="3" t="s">
        <v>38</v>
      </c>
      <c r="D181" s="3" t="s">
        <v>493</v>
      </c>
      <c r="E181" s="15">
        <f>Compras!C181</f>
        <v>229.54999999999998</v>
      </c>
      <c r="F181" s="6">
        <f>Compras!D181</f>
        <v>0.68297393450954758</v>
      </c>
      <c r="G181" s="4">
        <f>Compras!B181</f>
        <v>3</v>
      </c>
      <c r="H181" s="15">
        <f>Compras!Q181</f>
        <v>65.37</v>
      </c>
      <c r="I181" s="4">
        <f>Compras!P181</f>
        <v>1</v>
      </c>
      <c r="J181" s="22" t="s">
        <v>29</v>
      </c>
      <c r="K181" s="16">
        <f t="shared" si="6"/>
        <v>186.74687500000002</v>
      </c>
      <c r="L181" s="17">
        <f t="shared" si="7"/>
        <v>146.72968750000001</v>
      </c>
      <c r="M181" s="18">
        <f t="shared" si="8"/>
        <v>106.71250000000001</v>
      </c>
    </row>
    <row r="182" spans="1:13" x14ac:dyDescent="0.3">
      <c r="A182" s="20">
        <v>182</v>
      </c>
      <c r="B182" s="3" t="str">
        <f>Compras!A182</f>
        <v xml:space="preserve">Paquete 60 Pilas 1.5v Baterías Larga duración (AAA) </v>
      </c>
      <c r="C182" s="3" t="s">
        <v>65</v>
      </c>
      <c r="D182" s="3" t="s">
        <v>278</v>
      </c>
      <c r="E182" s="15">
        <f>Compras!C182</f>
        <v>299</v>
      </c>
      <c r="F182" s="6">
        <f>Compras!D182</f>
        <v>0.33444816053511706</v>
      </c>
      <c r="G182" s="4">
        <f>Compras!B182</f>
        <v>1</v>
      </c>
      <c r="H182" s="15">
        <f>Compras!Q182</f>
        <v>199</v>
      </c>
      <c r="I182" s="4">
        <f>Compras!P182</f>
        <v>1</v>
      </c>
      <c r="J182" s="22" t="s">
        <v>29</v>
      </c>
      <c r="K182" s="16">
        <f t="shared" si="6"/>
        <v>323.5</v>
      </c>
      <c r="L182" s="17">
        <f t="shared" si="7"/>
        <v>323.5</v>
      </c>
      <c r="M182" s="18">
        <f t="shared" si="8"/>
        <v>323.5</v>
      </c>
    </row>
    <row r="183" spans="1:13" ht="31.2" x14ac:dyDescent="0.3">
      <c r="A183" s="20">
        <v>183</v>
      </c>
      <c r="B183" s="3" t="str">
        <f>Compras!A183</f>
        <v>Energizer CR2025 - Batería de Litio de 3 V (2 baterías)</v>
      </c>
      <c r="C183" s="3" t="s">
        <v>65</v>
      </c>
      <c r="D183" s="3" t="s">
        <v>278</v>
      </c>
      <c r="E183" s="15">
        <f>Compras!C183</f>
        <v>408</v>
      </c>
      <c r="F183" s="6">
        <f>Compras!D183</f>
        <v>0.57497549019607841</v>
      </c>
      <c r="G183" s="4">
        <f>Compras!B183</f>
        <v>1</v>
      </c>
      <c r="H183" s="15">
        <f>Compras!Q183</f>
        <v>173.41</v>
      </c>
      <c r="I183" s="4">
        <f>Compras!P183</f>
        <v>1</v>
      </c>
      <c r="J183" s="21" t="s">
        <v>29</v>
      </c>
      <c r="K183" s="16">
        <f t="shared" si="6"/>
        <v>362.64374999999995</v>
      </c>
      <c r="L183" s="17">
        <f t="shared" si="7"/>
        <v>302.203125</v>
      </c>
      <c r="M183" s="18">
        <f t="shared" si="8"/>
        <v>241.76249999999999</v>
      </c>
    </row>
    <row r="184" spans="1:13" ht="31.2" x14ac:dyDescent="0.3">
      <c r="A184" s="20">
        <v>184</v>
      </c>
      <c r="B184" s="3" t="str">
        <f>Compras!A184</f>
        <v>SUPER MARIO BROS. MOVIE SUPER MARIO Figura Luigi de 5in</v>
      </c>
      <c r="C184" s="3" t="s">
        <v>280</v>
      </c>
      <c r="D184" s="3" t="s">
        <v>232</v>
      </c>
      <c r="E184" s="15">
        <f>Compras!C184</f>
        <v>563.62</v>
      </c>
      <c r="F184" s="6">
        <f>Compras!D184</f>
        <v>0.47931230261523716</v>
      </c>
      <c r="G184" s="4">
        <f>Compras!B184</f>
        <v>1</v>
      </c>
      <c r="H184" s="15">
        <f>Compras!Q184</f>
        <v>394.86</v>
      </c>
      <c r="I184" s="4">
        <f>Compras!P184</f>
        <v>1</v>
      </c>
      <c r="J184" s="22" t="s">
        <v>29</v>
      </c>
      <c r="K184" s="16">
        <f t="shared" si="6"/>
        <v>518.57500000000005</v>
      </c>
      <c r="L184" s="17">
        <f t="shared" si="7"/>
        <v>518.57500000000005</v>
      </c>
      <c r="M184" s="18">
        <f t="shared" si="8"/>
        <v>518.57500000000005</v>
      </c>
    </row>
    <row r="185" spans="1:13" ht="31.2" x14ac:dyDescent="0.3">
      <c r="A185" s="20">
        <v>185</v>
      </c>
      <c r="B185" s="3" t="str">
        <f>Compras!A185</f>
        <v>Super Smash Bros. Ultimate - Standard Edition - Nintendo Switch</v>
      </c>
      <c r="C185" s="3" t="s">
        <v>456</v>
      </c>
      <c r="D185" s="3" t="s">
        <v>457</v>
      </c>
      <c r="E185" s="15">
        <f>Compras!C185</f>
        <v>1399</v>
      </c>
      <c r="F185" s="6">
        <f>Compras!D185</f>
        <v>0.46461758398856323</v>
      </c>
      <c r="G185" s="4">
        <f>Compras!B185</f>
        <v>1</v>
      </c>
      <c r="H185" s="15">
        <f>Compras!Q185</f>
        <v>749</v>
      </c>
      <c r="I185" s="4">
        <f>Compras!P185</f>
        <v>1</v>
      </c>
      <c r="J185" s="22" t="s">
        <v>29</v>
      </c>
      <c r="K185" s="16">
        <f t="shared" si="6"/>
        <v>913.1875</v>
      </c>
      <c r="L185" s="17">
        <f t="shared" si="7"/>
        <v>937.21875</v>
      </c>
      <c r="M185" s="18">
        <f t="shared" si="8"/>
        <v>961.25</v>
      </c>
    </row>
    <row r="186" spans="1:13" ht="31.2" x14ac:dyDescent="0.3">
      <c r="A186" s="20">
        <v>186</v>
      </c>
      <c r="B186" s="3" t="str">
        <f>Compras!A186</f>
        <v>Paw Patrol, Coche Patrulla RC de Chase con 2 direcciones</v>
      </c>
      <c r="C186" s="3" t="s">
        <v>458</v>
      </c>
      <c r="D186" s="3" t="s">
        <v>459</v>
      </c>
      <c r="E186" s="15">
        <f>Compras!C186</f>
        <v>752.84</v>
      </c>
      <c r="F186" s="6">
        <f>Compras!D186</f>
        <v>0.44577865150629614</v>
      </c>
      <c r="G186" s="4">
        <f>Compras!B186</f>
        <v>1</v>
      </c>
      <c r="H186" s="15">
        <f>Compras!Q186</f>
        <v>417.24</v>
      </c>
      <c r="I186" s="4">
        <f>Compras!P186</f>
        <v>1</v>
      </c>
      <c r="J186" s="22" t="s">
        <v>29</v>
      </c>
      <c r="K186" s="16">
        <f t="shared" si="6"/>
        <v>546.54999999999995</v>
      </c>
      <c r="L186" s="17">
        <f t="shared" si="7"/>
        <v>546.54999999999995</v>
      </c>
      <c r="M186" s="18">
        <f t="shared" si="8"/>
        <v>546.54999999999995</v>
      </c>
    </row>
    <row r="187" spans="1:13" ht="31.2" x14ac:dyDescent="0.3">
      <c r="A187" s="20">
        <v>187</v>
      </c>
      <c r="B187" s="3" t="str">
        <f>Compras!A187</f>
        <v>Super Mario - 2.5 Pulgadas 3D World Diorama, Gato Mario y Peach</v>
      </c>
      <c r="C187" s="3" t="s">
        <v>280</v>
      </c>
      <c r="D187" s="3" t="s">
        <v>251</v>
      </c>
      <c r="E187" s="15">
        <f>Compras!C187</f>
        <v>807.31</v>
      </c>
      <c r="F187" s="6">
        <f>Compras!D187</f>
        <v>0.24356195265759126</v>
      </c>
      <c r="G187" s="4">
        <f>Compras!B187</f>
        <v>1</v>
      </c>
      <c r="H187" s="15">
        <f>Compras!Q187</f>
        <v>828.44999999999993</v>
      </c>
      <c r="I187" s="4">
        <f>Compras!P187</f>
        <v>1</v>
      </c>
      <c r="J187" s="22" t="s">
        <v>29</v>
      </c>
      <c r="K187" s="16">
        <f t="shared" si="6"/>
        <v>1401.0481249999998</v>
      </c>
      <c r="L187" s="17">
        <f t="shared" si="7"/>
        <v>1437.9178124999999</v>
      </c>
      <c r="M187" s="18">
        <f t="shared" si="8"/>
        <v>1474.7874999999999</v>
      </c>
    </row>
    <row r="188" spans="1:13" ht="31.2" x14ac:dyDescent="0.3">
      <c r="A188" s="20">
        <v>188</v>
      </c>
      <c r="B188" s="3" t="str">
        <f>Compras!A188</f>
        <v>Scrabble, Juego de Mesa 2 en 1, Original Mattel, Colaborativo y Desafiante</v>
      </c>
      <c r="C188" s="3" t="s">
        <v>461</v>
      </c>
      <c r="D188" s="3" t="s">
        <v>250</v>
      </c>
      <c r="E188" s="15">
        <f>Compras!C188</f>
        <v>479</v>
      </c>
      <c r="F188" s="6">
        <f>Compras!D188</f>
        <v>0.40083507306889354</v>
      </c>
      <c r="G188" s="4">
        <f>Compras!B188</f>
        <v>1</v>
      </c>
      <c r="H188" s="15">
        <f>Compras!Q188</f>
        <v>297.53333333333336</v>
      </c>
      <c r="I188" s="4">
        <f>Compras!P188</f>
        <v>1</v>
      </c>
      <c r="J188" s="22" t="s">
        <v>29</v>
      </c>
      <c r="K188" s="16">
        <f t="shared" si="6"/>
        <v>496.14583333333337</v>
      </c>
      <c r="L188" s="17">
        <f t="shared" si="7"/>
        <v>446.53125</v>
      </c>
      <c r="M188" s="18">
        <f t="shared" si="8"/>
        <v>396.91666666666669</v>
      </c>
    </row>
    <row r="189" spans="1:13" ht="46.8" x14ac:dyDescent="0.3">
      <c r="A189" s="20">
        <v>189</v>
      </c>
      <c r="B189" s="3" t="str">
        <f>Compras!A189</f>
        <v>Spin Master Games Gabbys Dollhouse, 2 Rompecabezas de 48 Piezas en Tubos de Personajes</v>
      </c>
      <c r="C189" s="3" t="s">
        <v>60</v>
      </c>
      <c r="D189" s="3" t="s">
        <v>462</v>
      </c>
      <c r="E189" s="15">
        <f>Compras!C189</f>
        <v>346.84</v>
      </c>
      <c r="F189" s="6">
        <f>Compras!D189</f>
        <v>0.4550801522315765</v>
      </c>
      <c r="G189" s="4">
        <f>Compras!B189</f>
        <v>2</v>
      </c>
      <c r="H189" s="15">
        <f>Compras!Q189</f>
        <v>194.26666666666668</v>
      </c>
      <c r="I189" s="4">
        <f>Compras!P189</f>
        <v>1</v>
      </c>
      <c r="J189" s="22" t="s">
        <v>29</v>
      </c>
      <c r="K189" s="16">
        <f t="shared" si="6"/>
        <v>401.75000000000006</v>
      </c>
      <c r="L189" s="17">
        <f t="shared" si="7"/>
        <v>334.79166666666674</v>
      </c>
      <c r="M189" s="18">
        <f t="shared" si="8"/>
        <v>267.83333333333337</v>
      </c>
    </row>
    <row r="190" spans="1:13" ht="31.2" x14ac:dyDescent="0.3">
      <c r="A190" s="20">
        <v>190</v>
      </c>
      <c r="B190" s="3" t="str">
        <f>Compras!A190</f>
        <v>Spin Master Gabbys Dollhouse, 4 Rompecabezas de Madera, 12, 16, 20 y 24 Piezas</v>
      </c>
      <c r="C190" s="3" t="s">
        <v>60</v>
      </c>
      <c r="D190" s="3" t="s">
        <v>462</v>
      </c>
      <c r="E190" s="15">
        <f>Compras!C190</f>
        <v>219</v>
      </c>
      <c r="F190" s="6">
        <f>Compras!D190</f>
        <v>0.33789954337899547</v>
      </c>
      <c r="G190" s="4">
        <f>Compras!B190</f>
        <v>2</v>
      </c>
      <c r="H190" s="15">
        <f>Compras!Q190</f>
        <v>150.26666666666668</v>
      </c>
      <c r="I190" s="4">
        <f>Compras!P190</f>
        <v>1</v>
      </c>
      <c r="J190" s="22" t="s">
        <v>29</v>
      </c>
      <c r="K190" s="16">
        <f t="shared" si="6"/>
        <v>250.40000000000003</v>
      </c>
      <c r="L190" s="17">
        <f t="shared" si="7"/>
        <v>250.40000000000003</v>
      </c>
      <c r="M190" s="18">
        <f t="shared" si="8"/>
        <v>250.40000000000003</v>
      </c>
    </row>
    <row r="191" spans="1:13" x14ac:dyDescent="0.3">
      <c r="A191" s="20">
        <v>191</v>
      </c>
      <c r="B191" s="3" t="str">
        <f>Compras!A191</f>
        <v xml:space="preserve">Funko Pop - Batman &amp; Robin, Poison Ivy </v>
      </c>
      <c r="C191" s="3" t="s">
        <v>463</v>
      </c>
      <c r="D191" s="3" t="s">
        <v>247</v>
      </c>
      <c r="E191" s="15">
        <f>Compras!C191</f>
        <v>374.85</v>
      </c>
      <c r="F191" s="6">
        <f>Compras!D191</f>
        <v>0.31308523409363748</v>
      </c>
      <c r="G191" s="4">
        <f>Compras!B191</f>
        <v>1</v>
      </c>
      <c r="H191" s="15">
        <f>Compras!Q191</f>
        <v>268.02333333333337</v>
      </c>
      <c r="I191" s="4">
        <f>Compras!P191</f>
        <v>1</v>
      </c>
      <c r="J191" s="22" t="s">
        <v>29</v>
      </c>
      <c r="K191" s="16">
        <f t="shared" si="6"/>
        <v>450.03645833333337</v>
      </c>
      <c r="L191" s="17">
        <f t="shared" si="7"/>
        <v>405.03281250000003</v>
      </c>
      <c r="M191" s="18">
        <f t="shared" si="8"/>
        <v>360.0291666666667</v>
      </c>
    </row>
    <row r="192" spans="1:13" x14ac:dyDescent="0.3">
      <c r="A192" s="20">
        <v>192</v>
      </c>
      <c r="B192" s="3" t="str">
        <f>Compras!A192</f>
        <v>Amiibo - Cat Peach - Super Mario</v>
      </c>
      <c r="C192" s="3" t="s">
        <v>280</v>
      </c>
      <c r="D192" s="3" t="s">
        <v>232</v>
      </c>
      <c r="E192" s="15">
        <f>Compras!C192</f>
        <v>499</v>
      </c>
      <c r="F192" s="6">
        <f>Compras!D192</f>
        <v>0.27743486973947895</v>
      </c>
      <c r="G192" s="4">
        <f>Compras!B192</f>
        <v>1</v>
      </c>
      <c r="H192" s="15">
        <f>Compras!Q192</f>
        <v>371.09333333333336</v>
      </c>
      <c r="I192" s="4">
        <f>Compras!P192</f>
        <v>1</v>
      </c>
      <c r="J192" s="22" t="s">
        <v>29</v>
      </c>
      <c r="K192" s="16">
        <f t="shared" si="6"/>
        <v>488.86666666666667</v>
      </c>
      <c r="L192" s="17">
        <f t="shared" si="7"/>
        <v>488.86666666666667</v>
      </c>
      <c r="M192" s="18">
        <f t="shared" si="8"/>
        <v>488.86666666666667</v>
      </c>
    </row>
    <row r="193" spans="1:13" x14ac:dyDescent="0.3">
      <c r="A193" s="20">
        <v>193</v>
      </c>
      <c r="B193" s="3" t="str">
        <f>Compras!A193</f>
        <v>Ammibo: Super Mario - Wedding Peach</v>
      </c>
      <c r="C193" s="3" t="s">
        <v>280</v>
      </c>
      <c r="D193" s="3" t="s">
        <v>232</v>
      </c>
      <c r="E193" s="15">
        <f>Compras!C193</f>
        <v>499</v>
      </c>
      <c r="F193" s="6">
        <f>Compras!D193</f>
        <v>0.27743486973947895</v>
      </c>
      <c r="G193" s="4">
        <f>Compras!B193</f>
        <v>1</v>
      </c>
      <c r="H193" s="15">
        <f>Compras!Q193</f>
        <v>371.09333333333336</v>
      </c>
      <c r="I193" s="4">
        <f>Compras!P193</f>
        <v>1</v>
      </c>
      <c r="J193" s="22" t="s">
        <v>29</v>
      </c>
      <c r="K193" s="16">
        <f t="shared" si="6"/>
        <v>488.86666666666667</v>
      </c>
      <c r="L193" s="17">
        <f t="shared" si="7"/>
        <v>488.86666666666667</v>
      </c>
      <c r="M193" s="18">
        <f t="shared" si="8"/>
        <v>488.86666666666667</v>
      </c>
    </row>
    <row r="194" spans="1:13" x14ac:dyDescent="0.3">
      <c r="A194" s="20">
        <v>194</v>
      </c>
      <c r="B194" s="3" t="str">
        <f>Compras!A194</f>
        <v>Funko Pop: Demon Slayer - Nezuko Kamado</v>
      </c>
      <c r="C194" s="3" t="s">
        <v>315</v>
      </c>
      <c r="D194" s="3" t="s">
        <v>247</v>
      </c>
      <c r="E194" s="15">
        <f>Compras!C194</f>
        <v>349</v>
      </c>
      <c r="F194" s="6">
        <f>Compras!D194</f>
        <v>0.31518624641833809</v>
      </c>
      <c r="G194" s="4">
        <f>Compras!B194</f>
        <v>1</v>
      </c>
      <c r="H194" s="15">
        <f>Compras!Q194</f>
        <v>249.53333333333333</v>
      </c>
      <c r="I194" s="4">
        <f>Compras!P194</f>
        <v>1</v>
      </c>
      <c r="J194" s="22" t="s">
        <v>29</v>
      </c>
      <c r="K194" s="16">
        <f t="shared" ref="K194:K205" si="9">M194* (IF(M194-H194&lt;100, IF(M194-H194&gt;80, 1.25, IF(M194-H194&gt;50, 1.5, 1.75)), IF(M194-H194&gt;150, 0.95, IF(M194-H194&gt;170, 0.9, 1))))</f>
        <v>399.3</v>
      </c>
      <c r="L194" s="17">
        <f t="shared" ref="L194:L205" si="10">(K194+M194)/2</f>
        <v>399.3</v>
      </c>
      <c r="M194" s="18">
        <f t="shared" ref="M194:M205" si="11">(H194/I194) * ( IF(E194&gt;H194, IF(E194-H194&gt;100, 1.25, IF(E194-H194&gt;50, 1.5, 1.75)), IF(H194-E194&gt;100, 1.25, IF(H194-E194&gt;50, 1.5, 1.75))) ) + 25</f>
        <v>399.3</v>
      </c>
    </row>
    <row r="195" spans="1:13" ht="31.2" x14ac:dyDescent="0.3">
      <c r="A195" s="20">
        <v>195</v>
      </c>
      <c r="B195" s="3" t="str">
        <f>Compras!A195</f>
        <v>Funko Pop Star Wars: Mandalorian - The Mandalorian</v>
      </c>
      <c r="C195" s="3" t="s">
        <v>464</v>
      </c>
      <c r="D195" s="3" t="s">
        <v>247</v>
      </c>
      <c r="E195" s="15">
        <f>Compras!C195</f>
        <v>349</v>
      </c>
      <c r="F195" s="6">
        <f>Compras!D195</f>
        <v>0.2560171919770774</v>
      </c>
      <c r="G195" s="4">
        <f>Compras!B195</f>
        <v>1</v>
      </c>
      <c r="H195" s="15">
        <f>Compras!Q195</f>
        <v>270.18333333333334</v>
      </c>
      <c r="I195" s="4">
        <f>Compras!P195</f>
        <v>1</v>
      </c>
      <c r="J195" s="22" t="s">
        <v>29</v>
      </c>
      <c r="K195" s="16">
        <f t="shared" si="9"/>
        <v>408.76124999999996</v>
      </c>
      <c r="L195" s="17">
        <f t="shared" si="10"/>
        <v>419.51812499999994</v>
      </c>
      <c r="M195" s="18">
        <f t="shared" si="11"/>
        <v>430.27499999999998</v>
      </c>
    </row>
    <row r="196" spans="1:13" ht="31.2" x14ac:dyDescent="0.3">
      <c r="A196" s="20">
        <v>196</v>
      </c>
      <c r="B196" s="3" t="str">
        <f>Compras!A196</f>
        <v>Barbie Cutie Reveal Muñeca Chelsea Ositos Cariñositos</v>
      </c>
      <c r="C196" s="3" t="s">
        <v>276</v>
      </c>
      <c r="D196" s="3" t="s">
        <v>242</v>
      </c>
      <c r="E196" s="15">
        <f>Compras!C196</f>
        <v>399</v>
      </c>
      <c r="F196" s="6">
        <f>Compras!D196</f>
        <v>0.25062656641604009</v>
      </c>
      <c r="G196" s="4">
        <f>Compras!B196</f>
        <v>2</v>
      </c>
      <c r="H196" s="15">
        <f>Compras!Q196</f>
        <v>304.26666666666665</v>
      </c>
      <c r="I196" s="4">
        <f>Compras!P196</f>
        <v>1</v>
      </c>
      <c r="J196" s="22" t="s">
        <v>29</v>
      </c>
      <c r="K196" s="16">
        <f t="shared" si="9"/>
        <v>457.33</v>
      </c>
      <c r="L196" s="17">
        <f t="shared" si="10"/>
        <v>469.36500000000001</v>
      </c>
      <c r="M196" s="18">
        <f t="shared" si="11"/>
        <v>481.4</v>
      </c>
    </row>
    <row r="197" spans="1:13" ht="31.2" x14ac:dyDescent="0.3">
      <c r="A197" s="20">
        <v>197</v>
      </c>
      <c r="B197" s="3" t="str">
        <f>Compras!A197</f>
        <v>Mattel, Disney Frozen Muñeca Mini Elsa 9cm, Frozen II</v>
      </c>
      <c r="C197" s="3" t="s">
        <v>41</v>
      </c>
      <c r="D197" s="3" t="s">
        <v>242</v>
      </c>
      <c r="E197" s="15">
        <f>Compras!C197</f>
        <v>169</v>
      </c>
      <c r="F197" s="6">
        <f>Compras!D197</f>
        <v>0.4023668639053255</v>
      </c>
      <c r="G197" s="4">
        <f>Compras!B197</f>
        <v>1</v>
      </c>
      <c r="H197" s="15">
        <f>Compras!Q197</f>
        <v>111.53333333333333</v>
      </c>
      <c r="I197" s="4">
        <f>Compras!P197</f>
        <v>1</v>
      </c>
      <c r="J197" s="22" t="s">
        <v>29</v>
      </c>
      <c r="K197" s="16">
        <f t="shared" si="9"/>
        <v>240.375</v>
      </c>
      <c r="L197" s="17">
        <f t="shared" si="10"/>
        <v>216.33750000000001</v>
      </c>
      <c r="M197" s="18">
        <f t="shared" si="11"/>
        <v>192.3</v>
      </c>
    </row>
    <row r="198" spans="1:13" ht="31.2" x14ac:dyDescent="0.3">
      <c r="A198" s="20">
        <v>198</v>
      </c>
      <c r="B198" s="3" t="str">
        <f>Compras!A198</f>
        <v>Funko Pop! Animation: Demon Slayer - Tanjiro with Noodles</v>
      </c>
      <c r="C198" s="3" t="s">
        <v>315</v>
      </c>
      <c r="D198" s="3" t="s">
        <v>247</v>
      </c>
      <c r="E198" s="15">
        <f>Compras!C198</f>
        <v>414.9</v>
      </c>
      <c r="F198" s="6">
        <f>Compras!D198</f>
        <v>0.42540371173776803</v>
      </c>
      <c r="G198" s="4">
        <f>Compras!B198</f>
        <v>2</v>
      </c>
      <c r="H198" s="15">
        <f>Compras!Q198</f>
        <v>243.66666666666669</v>
      </c>
      <c r="I198" s="4">
        <f>Compras!P198</f>
        <v>1</v>
      </c>
      <c r="J198" s="22" t="s">
        <v>29</v>
      </c>
      <c r="K198" s="16">
        <f t="shared" si="9"/>
        <v>411.97916666666674</v>
      </c>
      <c r="L198" s="17">
        <f t="shared" si="10"/>
        <v>370.78125000000006</v>
      </c>
      <c r="M198" s="18">
        <f t="shared" si="11"/>
        <v>329.58333333333337</v>
      </c>
    </row>
    <row r="199" spans="1:13" x14ac:dyDescent="0.3">
      <c r="A199" s="20">
        <v>199</v>
      </c>
      <c r="B199" s="3" t="str">
        <f>Compras!A199</f>
        <v>Set Hasbro Peppa Pig y su familia</v>
      </c>
      <c r="C199" s="3" t="s">
        <v>465</v>
      </c>
      <c r="D199" s="3" t="s">
        <v>460</v>
      </c>
      <c r="E199" s="15">
        <f>Compras!C199</f>
        <v>449</v>
      </c>
      <c r="F199" s="6">
        <f>Compras!D199</f>
        <v>0.40089086859688194</v>
      </c>
      <c r="G199" s="4">
        <f>Compras!B199</f>
        <v>1</v>
      </c>
      <c r="H199" s="15">
        <f>Compras!Q199</f>
        <v>269</v>
      </c>
      <c r="I199" s="4">
        <f>Compras!P199</f>
        <v>1</v>
      </c>
      <c r="J199" s="22" t="s">
        <v>29</v>
      </c>
      <c r="K199" s="16">
        <f t="shared" si="9"/>
        <v>451.5625</v>
      </c>
      <c r="L199" s="17">
        <f t="shared" si="10"/>
        <v>406.40625</v>
      </c>
      <c r="M199" s="18">
        <f t="shared" si="11"/>
        <v>361.25</v>
      </c>
    </row>
    <row r="200" spans="1:13" x14ac:dyDescent="0.3">
      <c r="A200" s="20">
        <v>200</v>
      </c>
      <c r="B200" s="3" t="str">
        <f>Compras!A200</f>
        <v>Muñeca Anna Jakks Disney Frozen, 35cm</v>
      </c>
      <c r="C200" s="3" t="s">
        <v>41</v>
      </c>
      <c r="D200" s="3" t="s">
        <v>242</v>
      </c>
      <c r="E200" s="15">
        <f>Compras!C200</f>
        <v>469</v>
      </c>
      <c r="F200" s="6">
        <f>Compras!D200</f>
        <v>0.36247334754797444</v>
      </c>
      <c r="G200" s="4">
        <f>Compras!B200</f>
        <v>1</v>
      </c>
      <c r="H200" s="15">
        <f>Compras!Q200</f>
        <v>299</v>
      </c>
      <c r="I200" s="4">
        <f>Compras!P200</f>
        <v>1</v>
      </c>
      <c r="J200" s="22" t="s">
        <v>29</v>
      </c>
      <c r="K200" s="16">
        <f t="shared" si="9"/>
        <v>498.4375</v>
      </c>
      <c r="L200" s="17">
        <f t="shared" si="10"/>
        <v>448.59375</v>
      </c>
      <c r="M200" s="18">
        <f t="shared" si="11"/>
        <v>398.75</v>
      </c>
    </row>
    <row r="201" spans="1:13" x14ac:dyDescent="0.3">
      <c r="A201" s="20">
        <v>201</v>
      </c>
      <c r="B201" s="3" t="str">
        <f>Compras!A201</f>
        <v>Disney Princesa Muñeca Mini Cenicienta 9cm</v>
      </c>
      <c r="C201" s="3" t="s">
        <v>41</v>
      </c>
      <c r="D201" s="3" t="s">
        <v>242</v>
      </c>
      <c r="E201" s="15">
        <f>Compras!C201</f>
        <v>149</v>
      </c>
      <c r="F201" s="6">
        <f>Compras!D201</f>
        <v>0.32214765100671144</v>
      </c>
      <c r="G201" s="4">
        <f>Compras!B201</f>
        <v>1</v>
      </c>
      <c r="H201" s="15">
        <f>Compras!Q201</f>
        <v>101</v>
      </c>
      <c r="I201" s="4">
        <f>Compras!P201</f>
        <v>1</v>
      </c>
      <c r="J201" s="22" t="s">
        <v>29</v>
      </c>
      <c r="K201" s="16">
        <f t="shared" si="9"/>
        <v>201.75</v>
      </c>
      <c r="L201" s="17">
        <f t="shared" si="10"/>
        <v>201.75</v>
      </c>
      <c r="M201" s="18">
        <f t="shared" si="11"/>
        <v>201.75</v>
      </c>
    </row>
    <row r="202" spans="1:13" x14ac:dyDescent="0.3">
      <c r="A202" s="20">
        <v>202</v>
      </c>
      <c r="B202" s="3" t="str">
        <f>Compras!A202</f>
        <v>Funko Pop Luffy Gear Five #1607 One Piece</v>
      </c>
      <c r="C202" s="3" t="s">
        <v>257</v>
      </c>
      <c r="D202" s="3" t="s">
        <v>247</v>
      </c>
      <c r="E202" s="15">
        <f>Compras!C202</f>
        <v>996</v>
      </c>
      <c r="F202" s="6">
        <f>Compras!D202</f>
        <v>0.7</v>
      </c>
      <c r="G202" s="4">
        <f>Compras!B202</f>
        <v>1</v>
      </c>
      <c r="H202" s="15">
        <f>Compras!Q202</f>
        <v>298.8</v>
      </c>
      <c r="I202" s="4">
        <f>Compras!P202</f>
        <v>1</v>
      </c>
      <c r="J202" s="22" t="s">
        <v>29</v>
      </c>
      <c r="K202" s="16">
        <f t="shared" si="9"/>
        <v>498.125</v>
      </c>
      <c r="L202" s="17">
        <f t="shared" si="10"/>
        <v>448.3125</v>
      </c>
      <c r="M202" s="18">
        <f t="shared" si="11"/>
        <v>398.5</v>
      </c>
    </row>
    <row r="203" spans="1:13" x14ac:dyDescent="0.3">
      <c r="A203" s="20">
        <v>203</v>
      </c>
      <c r="B203" s="3" t="str">
        <f>Compras!A203</f>
        <v>Disney Frozen Muñeca Reina Anna Frozen I, 30cm</v>
      </c>
      <c r="C203" s="3" t="s">
        <v>41</v>
      </c>
      <c r="D203" s="3" t="s">
        <v>242</v>
      </c>
      <c r="E203" s="15">
        <f>Compras!C203</f>
        <v>329</v>
      </c>
      <c r="F203" s="6">
        <f>Compras!D203</f>
        <v>0.48632218844984804</v>
      </c>
      <c r="G203" s="4">
        <f>Compras!B203</f>
        <v>1</v>
      </c>
      <c r="H203" s="15">
        <f>Compras!Q203</f>
        <v>169</v>
      </c>
      <c r="I203" s="4">
        <f>Compras!P203</f>
        <v>1</v>
      </c>
      <c r="J203" s="22" t="s">
        <v>29</v>
      </c>
      <c r="K203" s="16">
        <f t="shared" si="9"/>
        <v>354.375</v>
      </c>
      <c r="L203" s="17">
        <f t="shared" si="10"/>
        <v>295.3125</v>
      </c>
      <c r="M203" s="18">
        <f t="shared" si="11"/>
        <v>236.25</v>
      </c>
    </row>
    <row r="204" spans="1:13" x14ac:dyDescent="0.3">
      <c r="A204" s="20">
        <v>204</v>
      </c>
      <c r="B204" s="3" t="str">
        <f>Compras!A204</f>
        <v>Disney Princesa Muñeca Mini Rapunzel 9cm</v>
      </c>
      <c r="C204" s="3" t="s">
        <v>41</v>
      </c>
      <c r="D204" s="3" t="s">
        <v>242</v>
      </c>
      <c r="E204" s="15">
        <f>Compras!C204</f>
        <v>169</v>
      </c>
      <c r="F204" s="6">
        <f>Compras!D204</f>
        <v>0.4023668639053255</v>
      </c>
      <c r="G204" s="4">
        <f>Compras!B204</f>
        <v>1</v>
      </c>
      <c r="H204" s="15">
        <f>Compras!Q204</f>
        <v>101</v>
      </c>
      <c r="I204" s="4">
        <f>Compras!P204</f>
        <v>1</v>
      </c>
      <c r="J204" s="22" t="s">
        <v>29</v>
      </c>
      <c r="K204" s="16">
        <f t="shared" si="9"/>
        <v>264.75</v>
      </c>
      <c r="L204" s="17">
        <f t="shared" si="10"/>
        <v>220.625</v>
      </c>
      <c r="M204" s="18">
        <f t="shared" si="11"/>
        <v>176.5</v>
      </c>
    </row>
    <row r="205" spans="1:13" x14ac:dyDescent="0.3">
      <c r="A205" s="20">
        <v>205</v>
      </c>
      <c r="B205" s="3" t="str">
        <f>Compras!A205</f>
        <v>Amiibo Wedding Mario Super Mario Odyssey</v>
      </c>
      <c r="C205" s="3" t="s">
        <v>280</v>
      </c>
      <c r="D205" s="3" t="s">
        <v>474</v>
      </c>
      <c r="E205" s="15">
        <f>Compras!C205</f>
        <v>499</v>
      </c>
      <c r="F205" s="6">
        <f>Compras!D205</f>
        <v>0.60120240480961928</v>
      </c>
      <c r="G205" s="4">
        <f>Compras!B205</f>
        <v>1</v>
      </c>
      <c r="H205" s="15">
        <f>Compras!Q205</f>
        <v>199</v>
      </c>
      <c r="I205" s="4">
        <f>Compras!P205</f>
        <v>1</v>
      </c>
      <c r="J205" s="22" t="s">
        <v>29</v>
      </c>
      <c r="K205" s="16">
        <f t="shared" si="9"/>
        <v>410.625</v>
      </c>
      <c r="L205" s="17">
        <f t="shared" si="10"/>
        <v>342.1875</v>
      </c>
      <c r="M205" s="18">
        <f t="shared" si="11"/>
        <v>273.75</v>
      </c>
    </row>
  </sheetData>
  <autoFilter ref="A1:M2" xr:uid="{00000000-0009-0000-0000-000001000000}">
    <sortState xmlns:xlrd2="http://schemas.microsoft.com/office/spreadsheetml/2017/richdata2" ref="A2:M207">
      <sortCondition ref="A1:A2"/>
    </sortState>
  </autoFilter>
  <hyperlinks>
    <hyperlink ref="J2" r:id="rId1" xr:uid="{BA97F0BF-FB49-494E-B2A7-7CC4E6536AA7}"/>
    <hyperlink ref="J6" r:id="rId2" xr:uid="{B091F72A-591A-4F53-B31F-A7268BFD44AD}"/>
    <hyperlink ref="J7" r:id="rId3" xr:uid="{DDC4FDB5-DD43-4D4D-966F-EB0D52C71A90}"/>
    <hyperlink ref="J9" r:id="rId4" xr:uid="{97DA3EE8-39F2-402E-A8FA-1A4F69F77C1C}"/>
    <hyperlink ref="J8" r:id="rId5" xr:uid="{96C79FC5-CF96-4867-822A-1CBC3453EB83}"/>
    <hyperlink ref="J10" r:id="rId6" xr:uid="{ABD3B514-AC7A-4945-A048-E5646FAD7A16}"/>
    <hyperlink ref="J11" r:id="rId7" xr:uid="{9030FF00-46C6-4031-ABF2-E6656B21A6D9}"/>
    <hyperlink ref="J12" r:id="rId8" xr:uid="{B6EC7B92-6163-472B-BDA6-E86214305121}"/>
    <hyperlink ref="J13" r:id="rId9" xr:uid="{BBB35AE5-0535-42EE-B2E9-B9024BC433B6}"/>
    <hyperlink ref="J15" r:id="rId10" xr:uid="{5002003F-11E7-46F8-B182-45137C1EEC4F}"/>
    <hyperlink ref="J16" r:id="rId11" xr:uid="{C898F761-B5C1-430E-95F6-31CB3F45DAC5}"/>
    <hyperlink ref="J14" r:id="rId12" xr:uid="{A8D95C62-6F5C-4C3A-BDA7-C9BFC4E3ABBC}"/>
    <hyperlink ref="J17" r:id="rId13" xr:uid="{4B9B5B27-7867-4111-B577-454316235200}"/>
    <hyperlink ref="J18" r:id="rId14" xr:uid="{90520C1A-6C02-45E1-98C3-0F0DB12C285A}"/>
    <hyperlink ref="J19" r:id="rId15" xr:uid="{FFD4D494-61F5-4886-9C37-3D99CF9826A4}"/>
    <hyperlink ref="J20" r:id="rId16" xr:uid="{8B822D5F-1C6B-48E0-A327-04111B775403}"/>
    <hyperlink ref="J21" r:id="rId17" xr:uid="{455250F1-088F-4B44-8D6E-E12A0954D47E}"/>
    <hyperlink ref="J22" r:id="rId18" xr:uid="{C7316174-13AC-4B4B-BCEB-20BEBFAB8A58}"/>
    <hyperlink ref="J23" r:id="rId19" xr:uid="{2555EC19-774C-4011-A937-47D6564C8752}"/>
    <hyperlink ref="J24" r:id="rId20" xr:uid="{35B73679-6011-4AF1-ACF9-7303A3D10F95}"/>
    <hyperlink ref="J25" r:id="rId21" xr:uid="{86945688-6E2F-4183-BC28-BA4CD723D1BA}"/>
    <hyperlink ref="J3" r:id="rId22" xr:uid="{9B8FD0BB-20B1-4BE9-927F-96004CD74FF9}"/>
    <hyperlink ref="J26" r:id="rId23" xr:uid="{E0F9723C-A86F-4315-8EAE-6E6FB86DC03C}"/>
    <hyperlink ref="J27" r:id="rId24" xr:uid="{6F932BFA-A0AA-46CB-AF20-8347AB96B6FC}"/>
    <hyperlink ref="J28" r:id="rId25" xr:uid="{C5A6C075-99C3-40EC-90CE-57B3047C5BF1}"/>
    <hyperlink ref="J29" r:id="rId26" xr:uid="{21950F34-16F0-4938-AA6A-F1F60C0078CB}"/>
    <hyperlink ref="J30" r:id="rId27" xr:uid="{2B7936E0-C9B3-4325-BFDD-EE57CBAC1B5F}"/>
    <hyperlink ref="J31" r:id="rId28" xr:uid="{E9BD7EDA-0940-4717-AEC4-9453B60914F0}"/>
    <hyperlink ref="J32" r:id="rId29" xr:uid="{3E2A89F2-C338-43D5-AF5D-F3F9587ACBD9}"/>
    <hyperlink ref="J33" r:id="rId30" xr:uid="{314308A5-BE6B-422D-88AC-7B0A0BBC4E8A}"/>
    <hyperlink ref="J34" r:id="rId31" xr:uid="{C3DD4B9E-9461-4016-B0C8-01E284C62119}"/>
    <hyperlink ref="J35" r:id="rId32" xr:uid="{7F622741-B17F-4D6D-BF0F-FFC4ACF34D53}"/>
    <hyperlink ref="J36" r:id="rId33" xr:uid="{BFB65021-2056-4B1E-BBBA-05C1CAD588BB}"/>
    <hyperlink ref="J37" r:id="rId34" xr:uid="{4010BAD3-F076-4DB4-B33A-3F4B7A668F36}"/>
    <hyperlink ref="J38" r:id="rId35" xr:uid="{6D47CA39-1BA7-47FD-81D5-1F662AD32679}"/>
    <hyperlink ref="J39" r:id="rId36" xr:uid="{29743402-69A7-406D-9830-FA9919202AA1}"/>
    <hyperlink ref="J40" r:id="rId37" xr:uid="{4859D32D-83D6-424D-B0F9-3E396D3E4FD7}"/>
    <hyperlink ref="J41" r:id="rId38" xr:uid="{F6394482-3ADA-4084-AA57-C848E9736EAB}"/>
    <hyperlink ref="J42" r:id="rId39" xr:uid="{68ED5593-3E93-4AF9-BC7B-DA8BBBD30D5E}"/>
    <hyperlink ref="J43" r:id="rId40" xr:uid="{C9533AEB-656F-4358-B338-E73A84341A32}"/>
    <hyperlink ref="J44" r:id="rId41" xr:uid="{CDE6F5A7-A9E6-4E16-B14B-5FEAA0759DAC}"/>
    <hyperlink ref="J45" r:id="rId42" xr:uid="{B381C5E1-5307-42DB-9F33-36833D89DC0A}"/>
    <hyperlink ref="J47" r:id="rId43" xr:uid="{B68A2797-6835-4B81-90A1-FF17E43127AA}"/>
    <hyperlink ref="J46" r:id="rId44" xr:uid="{CFFDFF76-DE4B-4364-BE4B-40CD28DC2102}"/>
    <hyperlink ref="J48" r:id="rId45" xr:uid="{2D882716-964E-40EE-9E37-F18FC61AE262}"/>
    <hyperlink ref="J49" r:id="rId46" xr:uid="{10B94924-A7D5-4BD8-B849-2C468DA9B19D}"/>
    <hyperlink ref="J50" r:id="rId47" xr:uid="{80EBEDB5-D2F0-4B25-A08B-EBF4FB51A2F5}"/>
    <hyperlink ref="J51" r:id="rId48" xr:uid="{A7EF79A6-6552-4214-B294-E7A4413C3615}"/>
    <hyperlink ref="J52" r:id="rId49" xr:uid="{014A143E-A59E-4878-975B-47B6016EDC5C}"/>
    <hyperlink ref="J53" r:id="rId50" xr:uid="{065ED467-519F-4D8F-803B-3A7E67B9C9C7}"/>
    <hyperlink ref="J54" r:id="rId51" xr:uid="{97A89523-4D67-4801-8D6C-1F6AF6954D26}"/>
    <hyperlink ref="J55" r:id="rId52" xr:uid="{26876F12-8850-4F07-933A-C5A4A35CE136}"/>
    <hyperlink ref="J56" r:id="rId53" xr:uid="{D04152E6-037A-4001-A305-D8E13E7F1BCE}"/>
    <hyperlink ref="J57" r:id="rId54" xr:uid="{8D308288-5700-484F-9B36-49BF202381B7}"/>
    <hyperlink ref="J58" r:id="rId55" xr:uid="{CAABAC8B-2F14-4213-BA2E-FEB382E9F600}"/>
    <hyperlink ref="J59" r:id="rId56" xr:uid="{7EE9BFE3-6B6A-4AA2-9000-2157B3C3A6EE}"/>
    <hyperlink ref="J60" r:id="rId57" xr:uid="{9B205906-FA6A-4509-A046-1CFD2EF8BFA0}"/>
    <hyperlink ref="J61" r:id="rId58" xr:uid="{526AA464-D7D3-4786-ADFE-221A1587841C}"/>
    <hyperlink ref="J62" r:id="rId59" xr:uid="{7A2764D2-5633-4F74-9673-EE45BC3CA336}"/>
    <hyperlink ref="J63" r:id="rId60" xr:uid="{8EAE97C5-4284-4096-921D-861A3FE2FEBB}"/>
    <hyperlink ref="J64" r:id="rId61" xr:uid="{BF3FD42F-0BD5-4DAB-B1A1-B688CA04AB47}"/>
    <hyperlink ref="J67" r:id="rId62" xr:uid="{74B3630B-EAAA-429D-A93C-A0FDD9F578A9}"/>
    <hyperlink ref="J68" r:id="rId63" xr:uid="{2F4C5C9D-C5C9-4437-9862-2B311ABFD4AD}"/>
    <hyperlink ref="J65" r:id="rId64" xr:uid="{71C8840D-0895-4ABA-8989-51C126AB19AA}"/>
    <hyperlink ref="J66" r:id="rId65" xr:uid="{FDD61B64-9F25-449F-BB3E-B111E3E53B24}"/>
    <hyperlink ref="J69" r:id="rId66" xr:uid="{DC574775-E82F-45E5-B555-2237B1305BD8}"/>
    <hyperlink ref="J70" r:id="rId67" xr:uid="{96D977EF-6AAF-405C-A0C3-86A4448F794F}"/>
    <hyperlink ref="J71" r:id="rId68" xr:uid="{5D437FCB-67DC-4B60-B450-F8BCC7F65ECF}"/>
    <hyperlink ref="J72" r:id="rId69" xr:uid="{6B30A67C-4C31-4BC2-B3B0-D9980751720B}"/>
    <hyperlink ref="J73" r:id="rId70" xr:uid="{A468301D-BFCA-41CB-A47B-D89755036002}"/>
    <hyperlink ref="J74" r:id="rId71" xr:uid="{8526E0CE-7B79-4662-88AF-3B909063913B}"/>
    <hyperlink ref="J75" r:id="rId72" xr:uid="{39F3CE21-C066-454D-81AC-2B2B5515A06F}"/>
    <hyperlink ref="J76" r:id="rId73" xr:uid="{33583379-41CE-415A-B2E8-8A4FD599AAAE}"/>
    <hyperlink ref="J79" r:id="rId74" xr:uid="{D1376DD2-8813-4969-8753-05652AAD5CA7}"/>
    <hyperlink ref="J80" r:id="rId75" xr:uid="{3ACF79C4-C54D-42D8-8E2A-1062E4A94495}"/>
    <hyperlink ref="J82" r:id="rId76" xr:uid="{737CE39B-97B5-46DE-AE2E-B4C603B24232}"/>
    <hyperlink ref="J83" r:id="rId77" xr:uid="{441D45F6-C6C9-45AC-8C41-8E8404B5A2D3}"/>
    <hyperlink ref="J84" r:id="rId78" xr:uid="{9680D7D3-2A40-4DB2-AFAE-B6DFF4A23CE9}"/>
    <hyperlink ref="J85" r:id="rId79" xr:uid="{6CC7E811-6CDB-4918-B522-CDC43E1233C9}"/>
    <hyperlink ref="J86" r:id="rId80" xr:uid="{240FF25F-35FB-4292-9988-A0595ED7B3ED}"/>
    <hyperlink ref="J87" r:id="rId81" xr:uid="{55411C2B-711B-45F6-9203-EEEB2D78DFA3}"/>
    <hyperlink ref="J88" r:id="rId82" xr:uid="{EE68B293-0E5A-4375-A18E-9FC34EC0D342}"/>
    <hyperlink ref="J89" r:id="rId83" xr:uid="{0A60EECE-258C-41A4-8122-02B92DF809C9}"/>
    <hyperlink ref="J90" r:id="rId84" xr:uid="{FD18B2A0-75C5-4581-952C-6DE82D528940}"/>
    <hyperlink ref="J91" r:id="rId85" xr:uid="{A2A9C47E-FF2D-43C7-AD86-BA6C6F85DE24}"/>
    <hyperlink ref="J92" r:id="rId86" xr:uid="{DA5DAFBA-D9E8-4564-9C23-4D30F47FCA02}"/>
    <hyperlink ref="J93" r:id="rId87" xr:uid="{759A4629-E2A5-4317-B1E3-F100DEB22F5F}"/>
    <hyperlink ref="J94" r:id="rId88" xr:uid="{0A9238B0-9ED1-45C1-8FC6-85FD864E5F28}"/>
    <hyperlink ref="J95" r:id="rId89" xr:uid="{7B1E4D97-BA4F-4B77-A07A-0177D266F94A}"/>
    <hyperlink ref="J96" r:id="rId90" xr:uid="{3887B54C-4C72-45AD-94E8-C5EAA9F3BDAE}"/>
    <hyperlink ref="J97" r:id="rId91" xr:uid="{14B92F42-EB08-4895-B7C6-A6CB27017AB5}"/>
    <hyperlink ref="J98" r:id="rId92" xr:uid="{F6122C2A-171E-4E9F-8347-B831469BCF98}"/>
    <hyperlink ref="J99" r:id="rId93" xr:uid="{AA5DBED5-AB27-4141-8463-FC8A9A30C296}"/>
    <hyperlink ref="J100" r:id="rId94" xr:uid="{30AF111F-E591-419E-8EB5-5CFD45C9587C}"/>
    <hyperlink ref="J101" r:id="rId95" xr:uid="{09878A81-FA35-45FB-A0B2-3712FEA08CEA}"/>
    <hyperlink ref="J102" r:id="rId96" xr:uid="{D8720D8A-B517-4AE8-844B-DEF9270BE90E}"/>
    <hyperlink ref="J103" r:id="rId97" xr:uid="{3C961795-2DB9-4D66-A1E8-E0F08A68820A}"/>
    <hyperlink ref="J104" r:id="rId98" xr:uid="{F71673E1-0856-400B-9E25-E7D19BF4FDC0}"/>
    <hyperlink ref="J105" r:id="rId99" xr:uid="{688CED96-98E9-4246-9309-8869EB5F428D}"/>
    <hyperlink ref="J106" r:id="rId100" xr:uid="{6F16FFA0-1E75-4D9F-AA71-24102FB183F5}"/>
    <hyperlink ref="J107" r:id="rId101" xr:uid="{E769F8C4-6486-4619-946F-04F4F59E958E}"/>
    <hyperlink ref="J108" r:id="rId102" xr:uid="{B46100CF-D2A7-4CF4-BA4E-DC5C38D2EBBB}"/>
    <hyperlink ref="J109" r:id="rId103" xr:uid="{2D734148-898B-4403-B5B5-B4CC8A7E542C}"/>
    <hyperlink ref="J110" r:id="rId104" xr:uid="{33CDD133-B35E-45C8-9804-835CF8FB4DE5}"/>
    <hyperlink ref="J111" r:id="rId105" xr:uid="{A8301000-FDA3-4F90-AC22-D1A927C738D4}"/>
    <hyperlink ref="J112" r:id="rId106" xr:uid="{4C738576-4BF7-404B-A13B-D33728774779}"/>
    <hyperlink ref="J113" r:id="rId107" xr:uid="{FDD900CD-AA34-4723-9837-6ECDD016151C}"/>
    <hyperlink ref="J114" r:id="rId108" xr:uid="{703DBCB9-BD1E-4AAB-9081-D69322378A73}"/>
    <hyperlink ref="J115" r:id="rId109" xr:uid="{F704F163-BE82-42A8-8992-2A11D6F03482}"/>
    <hyperlink ref="J116" r:id="rId110" xr:uid="{CAF21965-4AB4-4841-B678-E60587FF9758}"/>
    <hyperlink ref="J118" r:id="rId111" xr:uid="{8787351A-E4B8-4231-BE69-D7F606659D08}"/>
    <hyperlink ref="J117" r:id="rId112" xr:uid="{F2085084-8464-40FC-80FC-8AED7F927945}"/>
    <hyperlink ref="J119" r:id="rId113" xr:uid="{A94FA4BC-3470-485A-982A-6061EA100457}"/>
    <hyperlink ref="J120" r:id="rId114" xr:uid="{BE814436-A3E5-40DA-AD42-09D61F9E537B}"/>
    <hyperlink ref="J121" r:id="rId115" xr:uid="{829A08AF-9075-4179-A95B-D876FFF4DAEE}"/>
    <hyperlink ref="J122" r:id="rId116" xr:uid="{A7E94BF7-8992-4C07-93FF-D9D6B826CCEB}"/>
    <hyperlink ref="J123" r:id="rId117" xr:uid="{5266D110-CF03-46B9-BF94-3C3AFBB69DD5}"/>
    <hyperlink ref="J124" r:id="rId118" xr:uid="{903D5410-8899-47F4-8450-22890CB27047}"/>
    <hyperlink ref="J125" r:id="rId119" xr:uid="{966C12B8-70D2-4E27-908D-AE3E56C2A1E3}"/>
    <hyperlink ref="J126" r:id="rId120" xr:uid="{38612CD2-86D3-4EE1-A86B-909AC12A88F3}"/>
    <hyperlink ref="J127" r:id="rId121" xr:uid="{7648C3E6-53CE-4B54-91DA-E87202FCD4DA}"/>
    <hyperlink ref="J5" r:id="rId122" xr:uid="{15E7FF48-8C93-47D2-B242-02A4D6150123}"/>
    <hyperlink ref="J147" r:id="rId123" xr:uid="{10340CE6-BE0A-4E2E-A225-E3F13B907BE5}"/>
    <hyperlink ref="J148" r:id="rId124" xr:uid="{D45FE24A-E3F0-4A94-B56B-67C41C2B3976}"/>
    <hyperlink ref="J150" r:id="rId125" xr:uid="{FC87A543-CDF8-4485-94D7-C83DDC1351FF}"/>
    <hyperlink ref="J149" r:id="rId126" xr:uid="{48EE4A99-0B66-48DF-879A-B023086B2E49}"/>
    <hyperlink ref="J151" r:id="rId127" xr:uid="{3ED54D01-610F-4861-841A-0295AAF6F5AC}"/>
    <hyperlink ref="J152" r:id="rId128" xr:uid="{66241F38-1287-4C59-BF53-18538F1A54B5}"/>
    <hyperlink ref="J153" r:id="rId129" xr:uid="{759FD9AC-3081-46B9-8A1D-C46DE7A53E4F}"/>
    <hyperlink ref="J155" r:id="rId130" xr:uid="{F2A9ECA5-4CBF-43F2-AD20-652D175688B5}"/>
    <hyperlink ref="J154" r:id="rId131" xr:uid="{87A92CD0-4266-405E-8F57-2EAF0E8D0929}"/>
    <hyperlink ref="J156" r:id="rId132" xr:uid="{B8209412-31E4-403F-8CF5-7C47CAD9B5D4}"/>
    <hyperlink ref="J157" r:id="rId133" xr:uid="{5A32B00E-1BDD-49CE-995E-39C3A5EF4A6A}"/>
    <hyperlink ref="J158" r:id="rId134" xr:uid="{741F06AA-863A-4595-A075-3EE052B652CB}"/>
    <hyperlink ref="J159" r:id="rId135" xr:uid="{42BF54FB-0B46-40B3-ABFC-1D52CCC07495}"/>
    <hyperlink ref="J160" r:id="rId136" xr:uid="{F0CED496-1D6C-41AC-A533-81A8761E23DF}"/>
    <hyperlink ref="J161" r:id="rId137" xr:uid="{3A757A21-EE89-4051-A8D2-272DEF20C14B}"/>
    <hyperlink ref="J162" r:id="rId138" xr:uid="{4B6BBD56-99DC-4CCF-9636-23F3DE81AA0E}"/>
    <hyperlink ref="J164" r:id="rId139" xr:uid="{59FAF828-8347-443B-9968-D79C41B4324C}"/>
    <hyperlink ref="J166" r:id="rId140" xr:uid="{F6EBB136-AC65-4B1B-8E5E-40FA76AD4235}"/>
    <hyperlink ref="J167" r:id="rId141" xr:uid="{F47FF7AB-6B13-48C7-93AA-BD057A8BEAC7}"/>
    <hyperlink ref="J165" r:id="rId142" xr:uid="{33BEF380-BA13-49A1-866A-70FD6D4315F1}"/>
    <hyperlink ref="J163" r:id="rId143" xr:uid="{64E86399-BF65-42D3-AFA2-811B7A6C559F}"/>
    <hyperlink ref="J128" r:id="rId144" xr:uid="{33CD8BD3-3A9B-473F-BFD2-3F1DA1AB4AD3}"/>
    <hyperlink ref="J129" r:id="rId145" xr:uid="{F365A1B1-0480-482B-B632-E660FF0FB0EA}"/>
    <hyperlink ref="J130" r:id="rId146" xr:uid="{C8F882B0-EF29-4FA1-8D99-FCA30521A2A8}"/>
    <hyperlink ref="J131" r:id="rId147" xr:uid="{D70FACA8-0D48-4EE4-8197-FE7325DEE3AF}"/>
    <hyperlink ref="J132" r:id="rId148" xr:uid="{0111E323-93C2-4EB7-A290-01A9EFE644E2}"/>
    <hyperlink ref="J133" r:id="rId149" xr:uid="{0402C0C2-EF83-475C-B89D-0ED1BBE3FD68}"/>
    <hyperlink ref="J134" r:id="rId150" xr:uid="{5B251937-4D0F-4D25-9E50-A4360150800D}"/>
    <hyperlink ref="J135" r:id="rId151" xr:uid="{B2AE376A-7674-4D18-A52B-4F1EDDAB4802}"/>
    <hyperlink ref="J138" r:id="rId152" xr:uid="{854E54FC-367B-41F5-90DB-55DDEE2CDBC2}"/>
    <hyperlink ref="J137" r:id="rId153" xr:uid="{F4C9A8E6-08FA-415D-BEF7-CF7E36A693B9}"/>
    <hyperlink ref="J136" r:id="rId154" xr:uid="{DC402C0D-11D4-4CA5-8535-0EF094355C01}"/>
    <hyperlink ref="J139" r:id="rId155" xr:uid="{F87488BB-5542-49D2-B3DD-0A4C1397C76E}"/>
    <hyperlink ref="J140" r:id="rId156" xr:uid="{3914B528-210E-4176-9B64-6A40E25327BF}"/>
    <hyperlink ref="J141" r:id="rId157" xr:uid="{9D9027C5-DF67-4FB3-992A-9EEC9D62C1A4}"/>
    <hyperlink ref="J142" r:id="rId158" xr:uid="{6257C3AA-60FF-4A04-85C3-A97C69280925}"/>
    <hyperlink ref="J143" r:id="rId159" xr:uid="{94D49BE9-97F8-4141-80A4-F06BCE4768EA}"/>
    <hyperlink ref="J144" r:id="rId160" xr:uid="{6341AEA5-6577-4BE2-9EE9-CEB2A926749A}"/>
    <hyperlink ref="J145" r:id="rId161" xr:uid="{40F70210-8B1E-4F4E-AE1E-DE3D13E09A6A}"/>
    <hyperlink ref="J146" r:id="rId162" xr:uid="{4938BA06-1857-4E79-8251-D8DE8D80CCA2}"/>
    <hyperlink ref="J77" r:id="rId163" xr:uid="{35D8575F-8AE5-49C6-BB7D-5D61F154ABB6}"/>
    <hyperlink ref="J78" r:id="rId164" xr:uid="{17C62556-BC89-437C-A765-CC8CF59D3D8D}"/>
    <hyperlink ref="J81" r:id="rId165" xr:uid="{FE0BF3B9-9533-467C-8647-E53FF7E7335B}"/>
    <hyperlink ref="J172" r:id="rId166" xr:uid="{AB58A743-17A7-4155-9EE9-8B6E1C8E7266}"/>
    <hyperlink ref="J173" r:id="rId167" xr:uid="{D7B80835-ED85-4B33-84FF-EC24B0A2EC7D}"/>
    <hyperlink ref="J174" r:id="rId168" xr:uid="{1551ED90-B62C-4778-BA2E-B3C618F8B4C7}"/>
    <hyperlink ref="J175" r:id="rId169" xr:uid="{23550E11-AA04-48E1-9A58-0A076A5F4B6E}"/>
    <hyperlink ref="J177" r:id="rId170" xr:uid="{50A64F34-EDA5-41D3-BEC5-F54AB60C12FA}"/>
    <hyperlink ref="J176" r:id="rId171" xr:uid="{03F17751-21E9-49ED-A8B6-D37DF472589F}"/>
    <hyperlink ref="J178" r:id="rId172" xr:uid="{02E466A4-8B73-4745-A089-FB0ED3FA9EAF}"/>
    <hyperlink ref="J179" r:id="rId173" xr:uid="{25FA8992-9D81-4F74-898A-D01667A15BBE}"/>
    <hyperlink ref="J180" r:id="rId174" xr:uid="{38F255CF-5851-45A9-9551-1EF27E308515}"/>
    <hyperlink ref="J181" r:id="rId175" xr:uid="{7F6FBA01-2B97-41EF-9037-F82BDA18A187}"/>
    <hyperlink ref="J171" r:id="rId176" xr:uid="{AA57F7F2-7BC8-B546-A7FD-405B05DD857F}"/>
    <hyperlink ref="J197" r:id="rId177" xr:uid="{F089D73A-1C91-4CB0-87AE-CD1B3AAF54DE}"/>
    <hyperlink ref="J200" r:id="rId178" xr:uid="{48BB3EE2-7D2D-44B0-9415-34948F330F24}"/>
    <hyperlink ref="J203" r:id="rId179" xr:uid="{A85BC45B-B10C-45CC-B78C-54C32F072B69}"/>
    <hyperlink ref="J204" r:id="rId180" xr:uid="{D9C5139E-8492-4A04-A938-ACC345D18609}"/>
    <hyperlink ref="J199" r:id="rId181" xr:uid="{45CCB996-7249-47E9-9388-296431D3F841}"/>
    <hyperlink ref="J202" r:id="rId182" xr:uid="{4193D94B-FF55-4D1A-BEE2-69FC36880BBE}"/>
    <hyperlink ref="J205" r:id="rId183" xr:uid="{01240DC4-A5C8-4D5F-8420-1D73E2C7FA2C}"/>
    <hyperlink ref="J184" r:id="rId184" xr:uid="{647FD060-0002-45F1-AA12-5E83C3126247}"/>
    <hyperlink ref="J185" r:id="rId185" xr:uid="{60AD33A3-9032-4906-A21E-03C59D3D23D9}"/>
    <hyperlink ref="J182" r:id="rId186" xr:uid="{63157CEA-2EEC-4787-887A-60C454B015F3}"/>
    <hyperlink ref="J187" r:id="rId187" xr:uid="{7CD9AAFE-53A7-4C22-AFA4-061157C56080}"/>
    <hyperlink ref="J186" r:id="rId188" xr:uid="{4A2205BA-5DF9-4AE8-A5B5-436A6D2DD280}"/>
    <hyperlink ref="J188" r:id="rId189" xr:uid="{B2889AD5-AE9D-4A40-9F01-14391ABAF1D4}"/>
    <hyperlink ref="J189" r:id="rId190" xr:uid="{3D256508-43CE-44ED-87A2-4E4CE78AFE52}"/>
    <hyperlink ref="J190" r:id="rId191" xr:uid="{DF250F68-8374-4735-9A7D-2B12AD3240EA}"/>
    <hyperlink ref="J191" r:id="rId192" xr:uid="{55F17CE8-63D7-4546-814E-338CBD6C52B4}"/>
    <hyperlink ref="J192" r:id="rId193" xr:uid="{E799BC44-DF5D-4F80-8580-63AD4FF38FA2}"/>
    <hyperlink ref="J193" r:id="rId194" xr:uid="{D7F98F01-AF7C-44EA-9152-2BD07C33CF36}"/>
    <hyperlink ref="J194" r:id="rId195" xr:uid="{85241A9C-2EEA-4034-B049-ACB072981580}"/>
    <hyperlink ref="J195" r:id="rId196" xr:uid="{EE85A21E-FF96-4C42-A7F5-796DB63B4B6B}"/>
    <hyperlink ref="J196" r:id="rId197" xr:uid="{937DF34D-FE39-4661-9CF5-8368EC178452}"/>
    <hyperlink ref="J198" r:id="rId198" xr:uid="{01543FE7-F8F1-41D5-B615-4BC7A176DC17}"/>
    <hyperlink ref="J201" r:id="rId199" xr:uid="{433AD87A-951F-4B59-92E5-E8683A25D746}"/>
  </hyperlinks>
  <pageMargins left="0.7" right="0.7" top="0.75" bottom="0.75" header="0.3" footer="0.3"/>
  <picture r:id="rId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2025-08-22T22:52:17Z</dcterms:modified>
</cp:coreProperties>
</file>