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ures\LOVELY TOYS\DOCS\"/>
    </mc:Choice>
  </mc:AlternateContent>
  <xr:revisionPtr revIDLastSave="0" documentId="13_ncr:1_{FC23CBA5-90E2-4AA8-877E-8A33FF58E1C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ras" sheetId="2" r:id="rId1"/>
    <sheet name="Precios" sheetId="3" r:id="rId2"/>
  </sheets>
  <definedNames>
    <definedName name="_xlnm._FilterDatabase" localSheetId="1" hidden="1">Precios!$A$1:$M$2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0" i="3" l="1"/>
  <c r="M70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1" i="3"/>
  <c r="L72" i="3"/>
  <c r="L81" i="3"/>
  <c r="L82" i="3"/>
  <c r="L83" i="3"/>
  <c r="L84" i="3"/>
  <c r="L85" i="3"/>
  <c r="L86" i="3"/>
  <c r="L87" i="3"/>
  <c r="L88" i="3"/>
  <c r="L89" i="3"/>
  <c r="L3" i="3"/>
  <c r="L2" i="3"/>
  <c r="K38" i="3"/>
  <c r="K37" i="3"/>
  <c r="O68" i="2" l="1"/>
  <c r="I68" i="2"/>
  <c r="O67" i="2"/>
  <c r="I67" i="2"/>
  <c r="O66" i="2"/>
  <c r="I66" i="2"/>
  <c r="O65" i="2"/>
  <c r="I65" i="2"/>
  <c r="O64" i="2"/>
  <c r="I64" i="2"/>
  <c r="O63" i="2"/>
  <c r="I63" i="2"/>
  <c r="O62" i="2"/>
  <c r="I62" i="2"/>
  <c r="O61" i="2"/>
  <c r="I61" i="2"/>
  <c r="O60" i="2"/>
  <c r="I60" i="2"/>
  <c r="Q77" i="2"/>
  <c r="T77" i="2" s="1"/>
  <c r="G77" i="2"/>
  <c r="D77" i="2"/>
  <c r="Q76" i="2"/>
  <c r="T76" i="2" s="1"/>
  <c r="G76" i="2"/>
  <c r="D76" i="2"/>
  <c r="Q75" i="2"/>
  <c r="T75" i="2" s="1"/>
  <c r="G75" i="2"/>
  <c r="D75" i="2"/>
  <c r="Q74" i="2"/>
  <c r="T74" i="2" s="1"/>
  <c r="G74" i="2"/>
  <c r="D74" i="2"/>
  <c r="Q73" i="2"/>
  <c r="T73" i="2" s="1"/>
  <c r="G73" i="2"/>
  <c r="D73" i="2"/>
  <c r="Q72" i="2"/>
  <c r="T72" i="2" s="1"/>
  <c r="G72" i="2"/>
  <c r="D72" i="2"/>
  <c r="Q71" i="2"/>
  <c r="T71" i="2" s="1"/>
  <c r="G71" i="2"/>
  <c r="D71" i="2"/>
  <c r="Q70" i="2"/>
  <c r="T70" i="2" s="1"/>
  <c r="G70" i="2"/>
  <c r="D70" i="2"/>
  <c r="Q69" i="2"/>
  <c r="T69" i="2" s="1"/>
  <c r="G69" i="2"/>
  <c r="D69" i="2"/>
  <c r="Q68" i="2"/>
  <c r="T68" i="2" s="1"/>
  <c r="G68" i="2"/>
  <c r="D68" i="2"/>
  <c r="Q67" i="2"/>
  <c r="T67" i="2" s="1"/>
  <c r="G67" i="2"/>
  <c r="D67" i="2"/>
  <c r="Q66" i="2"/>
  <c r="T66" i="2" s="1"/>
  <c r="G66" i="2"/>
  <c r="D66" i="2"/>
  <c r="O59" i="2"/>
  <c r="I59" i="2"/>
  <c r="O58" i="2"/>
  <c r="I58" i="2"/>
  <c r="O57" i="2"/>
  <c r="I57" i="2"/>
  <c r="O56" i="2"/>
  <c r="I56" i="2"/>
  <c r="O55" i="2"/>
  <c r="I55" i="2"/>
  <c r="O54" i="2"/>
  <c r="I54" i="2"/>
  <c r="O53" i="2"/>
  <c r="I53" i="2"/>
  <c r="O52" i="2"/>
  <c r="I52" i="2"/>
  <c r="O51" i="2"/>
  <c r="I51" i="2"/>
  <c r="O50" i="2"/>
  <c r="I50" i="2"/>
  <c r="O49" i="2"/>
  <c r="I49" i="2"/>
  <c r="O48" i="2"/>
  <c r="I48" i="2"/>
  <c r="O47" i="2"/>
  <c r="I47" i="2"/>
  <c r="O39" i="2" l="1"/>
  <c r="I39" i="2"/>
  <c r="B25" i="3"/>
  <c r="E25" i="3"/>
  <c r="G25" i="3"/>
  <c r="I25" i="3"/>
  <c r="O25" i="2"/>
  <c r="I25" i="2"/>
  <c r="Q25" i="2" s="1"/>
  <c r="G25" i="2"/>
  <c r="D25" i="2"/>
  <c r="F25" i="3" s="1"/>
  <c r="O20" i="2"/>
  <c r="Q20" i="2" s="1"/>
  <c r="B17" i="3"/>
  <c r="E17" i="3"/>
  <c r="G17" i="3"/>
  <c r="I17" i="3"/>
  <c r="O17" i="2"/>
  <c r="Q17" i="2" s="1"/>
  <c r="H17" i="3" s="1"/>
  <c r="G17" i="2"/>
  <c r="D17" i="2"/>
  <c r="F17" i="3" s="1"/>
  <c r="B18" i="3"/>
  <c r="E18" i="3"/>
  <c r="G18" i="3"/>
  <c r="I18" i="3"/>
  <c r="B19" i="3"/>
  <c r="E19" i="3"/>
  <c r="G19" i="3"/>
  <c r="I19" i="3"/>
  <c r="B20" i="3"/>
  <c r="E20" i="3"/>
  <c r="G20" i="3"/>
  <c r="I20" i="3"/>
  <c r="O19" i="2"/>
  <c r="Q19" i="2" s="1"/>
  <c r="T19" i="2" s="1"/>
  <c r="O18" i="2"/>
  <c r="Q18" i="2" s="1"/>
  <c r="T18" i="2" s="1"/>
  <c r="G20" i="2"/>
  <c r="D20" i="2"/>
  <c r="F20" i="3" s="1"/>
  <c r="G19" i="2"/>
  <c r="D19" i="2"/>
  <c r="F19" i="3" s="1"/>
  <c r="G18" i="2"/>
  <c r="D18" i="2"/>
  <c r="F18" i="3" s="1"/>
  <c r="B11" i="3"/>
  <c r="E11" i="3"/>
  <c r="G11" i="3"/>
  <c r="I11" i="3"/>
  <c r="B12" i="3"/>
  <c r="E12" i="3"/>
  <c r="G12" i="3"/>
  <c r="I12" i="3"/>
  <c r="B3" i="3"/>
  <c r="E3" i="3"/>
  <c r="G3" i="3"/>
  <c r="I3" i="3"/>
  <c r="B4" i="3"/>
  <c r="E4" i="3"/>
  <c r="G4" i="3"/>
  <c r="I4" i="3"/>
  <c r="B5" i="3"/>
  <c r="E5" i="3"/>
  <c r="G5" i="3"/>
  <c r="I5" i="3"/>
  <c r="B6" i="3"/>
  <c r="E6" i="3"/>
  <c r="G6" i="3"/>
  <c r="I6" i="3"/>
  <c r="B7" i="3"/>
  <c r="E7" i="3"/>
  <c r="G7" i="3"/>
  <c r="I7" i="3"/>
  <c r="B8" i="3"/>
  <c r="E8" i="3"/>
  <c r="G8" i="3"/>
  <c r="I8" i="3"/>
  <c r="B9" i="3"/>
  <c r="E9" i="3"/>
  <c r="G9" i="3"/>
  <c r="I9" i="3"/>
  <c r="B10" i="3"/>
  <c r="E10" i="3"/>
  <c r="G10" i="3"/>
  <c r="I10" i="3"/>
  <c r="O11" i="2"/>
  <c r="O10" i="2"/>
  <c r="Q10" i="2" s="1"/>
  <c r="O9" i="2"/>
  <c r="Q9" i="2" s="1"/>
  <c r="T9" i="2" s="1"/>
  <c r="O8" i="2"/>
  <c r="Q8" i="2" s="1"/>
  <c r="T8" i="2" s="1"/>
  <c r="O7" i="2"/>
  <c r="Q7" i="2" s="1"/>
  <c r="O6" i="2"/>
  <c r="Q6" i="2" s="1"/>
  <c r="T6" i="2" s="1"/>
  <c r="O5" i="2"/>
  <c r="Q5" i="2" s="1"/>
  <c r="O4" i="2"/>
  <c r="Q4" i="2" s="1"/>
  <c r="T4" i="2" s="1"/>
  <c r="O3" i="2"/>
  <c r="O2" i="2"/>
  <c r="G10" i="2"/>
  <c r="D10" i="2"/>
  <c r="F10" i="3" s="1"/>
  <c r="G9" i="2"/>
  <c r="D9" i="2"/>
  <c r="F9" i="3" s="1"/>
  <c r="G8" i="2"/>
  <c r="D8" i="2"/>
  <c r="F8" i="3" s="1"/>
  <c r="G7" i="2"/>
  <c r="D7" i="2"/>
  <c r="F7" i="3" s="1"/>
  <c r="G6" i="2"/>
  <c r="D6" i="2"/>
  <c r="F6" i="3" s="1"/>
  <c r="G5" i="2"/>
  <c r="D5" i="2"/>
  <c r="F5" i="3" s="1"/>
  <c r="G4" i="2"/>
  <c r="D4" i="2"/>
  <c r="F4" i="3" s="1"/>
  <c r="Q3" i="2"/>
  <c r="T3" i="2" s="1"/>
  <c r="G3" i="2"/>
  <c r="D3" i="2"/>
  <c r="F3" i="3" s="1"/>
  <c r="B13" i="3"/>
  <c r="E13" i="3"/>
  <c r="G13" i="3"/>
  <c r="I13" i="3"/>
  <c r="B14" i="3"/>
  <c r="E14" i="3"/>
  <c r="G14" i="3"/>
  <c r="I14" i="3"/>
  <c r="B15" i="3"/>
  <c r="E15" i="3"/>
  <c r="G15" i="3"/>
  <c r="I15" i="3"/>
  <c r="B16" i="3"/>
  <c r="E16" i="3"/>
  <c r="G16" i="3"/>
  <c r="I16" i="3"/>
  <c r="B21" i="3"/>
  <c r="E21" i="3"/>
  <c r="G21" i="3"/>
  <c r="I21" i="3"/>
  <c r="B22" i="3"/>
  <c r="E22" i="3"/>
  <c r="G22" i="3"/>
  <c r="I22" i="3"/>
  <c r="B23" i="3"/>
  <c r="E23" i="3"/>
  <c r="G23" i="3"/>
  <c r="I23" i="3"/>
  <c r="B24" i="3"/>
  <c r="E24" i="3"/>
  <c r="G24" i="3"/>
  <c r="I24" i="3"/>
  <c r="B26" i="3"/>
  <c r="E26" i="3"/>
  <c r="G26" i="3"/>
  <c r="I26" i="3"/>
  <c r="B27" i="3"/>
  <c r="E27" i="3"/>
  <c r="G27" i="3"/>
  <c r="I27" i="3"/>
  <c r="B28" i="3"/>
  <c r="E28" i="3"/>
  <c r="G28" i="3"/>
  <c r="I28" i="3"/>
  <c r="B29" i="3"/>
  <c r="E29" i="3"/>
  <c r="G29" i="3"/>
  <c r="I29" i="3"/>
  <c r="B30" i="3"/>
  <c r="E30" i="3"/>
  <c r="G30" i="3"/>
  <c r="I30" i="3"/>
  <c r="B31" i="3"/>
  <c r="E31" i="3"/>
  <c r="G31" i="3"/>
  <c r="I31" i="3"/>
  <c r="B32" i="3"/>
  <c r="E32" i="3"/>
  <c r="G32" i="3"/>
  <c r="I32" i="3"/>
  <c r="B33" i="3"/>
  <c r="E33" i="3"/>
  <c r="G33" i="3"/>
  <c r="I33" i="3"/>
  <c r="B34" i="3"/>
  <c r="E34" i="3"/>
  <c r="G34" i="3"/>
  <c r="I34" i="3"/>
  <c r="B35" i="3"/>
  <c r="E35" i="3"/>
  <c r="G35" i="3"/>
  <c r="I35" i="3"/>
  <c r="B36" i="3"/>
  <c r="E36" i="3"/>
  <c r="G36" i="3"/>
  <c r="I36" i="3"/>
  <c r="B37" i="3"/>
  <c r="E37" i="3"/>
  <c r="G37" i="3"/>
  <c r="I37" i="3"/>
  <c r="B38" i="3"/>
  <c r="E38" i="3"/>
  <c r="G38" i="3"/>
  <c r="I38" i="3"/>
  <c r="B39" i="3"/>
  <c r="E39" i="3"/>
  <c r="G39" i="3"/>
  <c r="I39" i="3"/>
  <c r="B40" i="3"/>
  <c r="E40" i="3"/>
  <c r="G40" i="3"/>
  <c r="I40" i="3"/>
  <c r="B41" i="3"/>
  <c r="E41" i="3"/>
  <c r="G41" i="3"/>
  <c r="I41" i="3"/>
  <c r="B42" i="3"/>
  <c r="E42" i="3"/>
  <c r="G42" i="3"/>
  <c r="I42" i="3"/>
  <c r="B43" i="3"/>
  <c r="E43" i="3"/>
  <c r="G43" i="3"/>
  <c r="I43" i="3"/>
  <c r="B44" i="3"/>
  <c r="E44" i="3"/>
  <c r="G44" i="3"/>
  <c r="I44" i="3"/>
  <c r="B45" i="3"/>
  <c r="E45" i="3"/>
  <c r="G45" i="3"/>
  <c r="I45" i="3"/>
  <c r="B46" i="3"/>
  <c r="E46" i="3"/>
  <c r="G46" i="3"/>
  <c r="I46" i="3"/>
  <c r="B47" i="3"/>
  <c r="E47" i="3"/>
  <c r="G47" i="3"/>
  <c r="I47" i="3"/>
  <c r="B48" i="3"/>
  <c r="E48" i="3"/>
  <c r="G48" i="3"/>
  <c r="I48" i="3"/>
  <c r="B49" i="3"/>
  <c r="E49" i="3"/>
  <c r="G49" i="3"/>
  <c r="I49" i="3"/>
  <c r="B50" i="3"/>
  <c r="E50" i="3"/>
  <c r="G50" i="3"/>
  <c r="I50" i="3"/>
  <c r="B51" i="3"/>
  <c r="E51" i="3"/>
  <c r="G51" i="3"/>
  <c r="I51" i="3"/>
  <c r="B52" i="3"/>
  <c r="E52" i="3"/>
  <c r="G52" i="3"/>
  <c r="I52" i="3"/>
  <c r="B53" i="3"/>
  <c r="E53" i="3"/>
  <c r="G53" i="3"/>
  <c r="I53" i="3"/>
  <c r="B54" i="3"/>
  <c r="E54" i="3"/>
  <c r="G54" i="3"/>
  <c r="I54" i="3"/>
  <c r="B55" i="3"/>
  <c r="E55" i="3"/>
  <c r="G55" i="3"/>
  <c r="I55" i="3"/>
  <c r="B56" i="3"/>
  <c r="E56" i="3"/>
  <c r="G56" i="3"/>
  <c r="I56" i="3"/>
  <c r="B57" i="3"/>
  <c r="E57" i="3"/>
  <c r="G57" i="3"/>
  <c r="I57" i="3"/>
  <c r="B58" i="3"/>
  <c r="E58" i="3"/>
  <c r="G58" i="3"/>
  <c r="I58" i="3"/>
  <c r="B59" i="3"/>
  <c r="E59" i="3"/>
  <c r="G59" i="3"/>
  <c r="I59" i="3"/>
  <c r="B60" i="3"/>
  <c r="E60" i="3"/>
  <c r="G60" i="3"/>
  <c r="I60" i="3"/>
  <c r="B61" i="3"/>
  <c r="E61" i="3"/>
  <c r="G61" i="3"/>
  <c r="I61" i="3"/>
  <c r="B62" i="3"/>
  <c r="E62" i="3"/>
  <c r="G62" i="3"/>
  <c r="I62" i="3"/>
  <c r="B63" i="3"/>
  <c r="E63" i="3"/>
  <c r="G63" i="3"/>
  <c r="I63" i="3"/>
  <c r="B64" i="3"/>
  <c r="E64" i="3"/>
  <c r="G64" i="3"/>
  <c r="I64" i="3"/>
  <c r="B65" i="3"/>
  <c r="E65" i="3"/>
  <c r="G65" i="3"/>
  <c r="I65" i="3"/>
  <c r="B66" i="3"/>
  <c r="E66" i="3"/>
  <c r="F66" i="3"/>
  <c r="G66" i="3"/>
  <c r="H66" i="3"/>
  <c r="I66" i="3"/>
  <c r="B67" i="3"/>
  <c r="E67" i="3"/>
  <c r="F67" i="3"/>
  <c r="G67" i="3"/>
  <c r="H67" i="3"/>
  <c r="I67" i="3"/>
  <c r="B68" i="3"/>
  <c r="E68" i="3"/>
  <c r="F68" i="3"/>
  <c r="G68" i="3"/>
  <c r="H68" i="3"/>
  <c r="I68" i="3"/>
  <c r="B69" i="3"/>
  <c r="E69" i="3"/>
  <c r="F69" i="3"/>
  <c r="G69" i="3"/>
  <c r="H69" i="3"/>
  <c r="I69" i="3"/>
  <c r="B70" i="3"/>
  <c r="E70" i="3"/>
  <c r="F70" i="3"/>
  <c r="G70" i="3"/>
  <c r="H70" i="3"/>
  <c r="I70" i="3"/>
  <c r="B71" i="3"/>
  <c r="E71" i="3"/>
  <c r="F71" i="3"/>
  <c r="G71" i="3"/>
  <c r="H71" i="3"/>
  <c r="I71" i="3"/>
  <c r="B72" i="3"/>
  <c r="E72" i="3"/>
  <c r="F72" i="3"/>
  <c r="G72" i="3"/>
  <c r="H72" i="3"/>
  <c r="I72" i="3"/>
  <c r="G73" i="3"/>
  <c r="I73" i="3"/>
  <c r="G74" i="3"/>
  <c r="I74" i="3"/>
  <c r="G75" i="3"/>
  <c r="I75" i="3"/>
  <c r="I76" i="3"/>
  <c r="G77" i="3"/>
  <c r="I77" i="3"/>
  <c r="F78" i="3"/>
  <c r="F79" i="3"/>
  <c r="F80" i="3"/>
  <c r="B81" i="3"/>
  <c r="E81" i="3"/>
  <c r="F81" i="3"/>
  <c r="G81" i="3"/>
  <c r="H81" i="3"/>
  <c r="I81" i="3"/>
  <c r="B82" i="3"/>
  <c r="E82" i="3"/>
  <c r="F82" i="3"/>
  <c r="G82" i="3"/>
  <c r="H82" i="3"/>
  <c r="I82" i="3"/>
  <c r="B83" i="3"/>
  <c r="E83" i="3"/>
  <c r="F83" i="3"/>
  <c r="G83" i="3"/>
  <c r="H83" i="3"/>
  <c r="I83" i="3"/>
  <c r="B84" i="3"/>
  <c r="E84" i="3"/>
  <c r="F84" i="3"/>
  <c r="G84" i="3"/>
  <c r="H84" i="3"/>
  <c r="I84" i="3"/>
  <c r="B85" i="3"/>
  <c r="E85" i="3"/>
  <c r="F85" i="3"/>
  <c r="G85" i="3"/>
  <c r="H85" i="3"/>
  <c r="I85" i="3"/>
  <c r="B86" i="3"/>
  <c r="E86" i="3"/>
  <c r="F86" i="3"/>
  <c r="G86" i="3"/>
  <c r="H86" i="3"/>
  <c r="I86" i="3"/>
  <c r="B87" i="3"/>
  <c r="E87" i="3"/>
  <c r="F87" i="3"/>
  <c r="G87" i="3"/>
  <c r="H87" i="3"/>
  <c r="I87" i="3"/>
  <c r="B88" i="3"/>
  <c r="E88" i="3"/>
  <c r="F88" i="3"/>
  <c r="G88" i="3"/>
  <c r="H88" i="3"/>
  <c r="I88" i="3"/>
  <c r="B89" i="3"/>
  <c r="E89" i="3"/>
  <c r="F89" i="3"/>
  <c r="G89" i="3"/>
  <c r="H89" i="3"/>
  <c r="I89" i="3"/>
  <c r="O46" i="2"/>
  <c r="I46" i="2"/>
  <c r="O45" i="2"/>
  <c r="I45" i="2"/>
  <c r="O44" i="2"/>
  <c r="I44" i="2"/>
  <c r="O43" i="2"/>
  <c r="I43" i="2"/>
  <c r="O42" i="2"/>
  <c r="I42" i="2"/>
  <c r="Q65" i="2"/>
  <c r="T65" i="2" s="1"/>
  <c r="G65" i="2"/>
  <c r="D65" i="2"/>
  <c r="F65" i="3" s="1"/>
  <c r="Q64" i="2"/>
  <c r="H64" i="3" s="1"/>
  <c r="G64" i="2"/>
  <c r="D64" i="2"/>
  <c r="F64" i="3" s="1"/>
  <c r="Q63" i="2"/>
  <c r="T63" i="2" s="1"/>
  <c r="G63" i="2"/>
  <c r="D63" i="2"/>
  <c r="F63" i="3" s="1"/>
  <c r="Q62" i="2"/>
  <c r="T62" i="2" s="1"/>
  <c r="G62" i="2"/>
  <c r="D62" i="2"/>
  <c r="F62" i="3" s="1"/>
  <c r="Q61" i="2"/>
  <c r="T61" i="2" s="1"/>
  <c r="G61" i="2"/>
  <c r="D61" i="2"/>
  <c r="F61" i="3" s="1"/>
  <c r="Q60" i="2"/>
  <c r="H60" i="3" s="1"/>
  <c r="G60" i="2"/>
  <c r="D60" i="2"/>
  <c r="F60" i="3" s="1"/>
  <c r="Q59" i="2"/>
  <c r="T59" i="2" s="1"/>
  <c r="G59" i="2"/>
  <c r="D59" i="2"/>
  <c r="F59" i="3" s="1"/>
  <c r="Q58" i="2"/>
  <c r="T58" i="2" s="1"/>
  <c r="G58" i="2"/>
  <c r="D58" i="2"/>
  <c r="F58" i="3" s="1"/>
  <c r="Q57" i="2"/>
  <c r="T57" i="2" s="1"/>
  <c r="G57" i="2"/>
  <c r="D57" i="2"/>
  <c r="F57" i="3" s="1"/>
  <c r="Q56" i="2"/>
  <c r="T56" i="2" s="1"/>
  <c r="G56" i="2"/>
  <c r="D56" i="2"/>
  <c r="F56" i="3" s="1"/>
  <c r="Q55" i="2"/>
  <c r="H55" i="3" s="1"/>
  <c r="G55" i="2"/>
  <c r="D55" i="2"/>
  <c r="F55" i="3" s="1"/>
  <c r="Q54" i="2"/>
  <c r="T54" i="2" s="1"/>
  <c r="G54" i="2"/>
  <c r="D54" i="2"/>
  <c r="F54" i="3" s="1"/>
  <c r="Q53" i="2"/>
  <c r="T53" i="2" s="1"/>
  <c r="G53" i="2"/>
  <c r="D53" i="2"/>
  <c r="F53" i="3" s="1"/>
  <c r="Q52" i="2"/>
  <c r="T52" i="2" s="1"/>
  <c r="G52" i="2"/>
  <c r="D52" i="2"/>
  <c r="F52" i="3" s="1"/>
  <c r="Q51" i="2"/>
  <c r="T51" i="2" s="1"/>
  <c r="G51" i="2"/>
  <c r="D51" i="2"/>
  <c r="F51" i="3" s="1"/>
  <c r="Q50" i="2"/>
  <c r="T50" i="2" s="1"/>
  <c r="G50" i="2"/>
  <c r="D50" i="2"/>
  <c r="F50" i="3" s="1"/>
  <c r="O40" i="2"/>
  <c r="I40" i="2"/>
  <c r="Q39" i="2"/>
  <c r="O38" i="2"/>
  <c r="I38" i="2"/>
  <c r="O37" i="2"/>
  <c r="I37" i="2"/>
  <c r="O36" i="2"/>
  <c r="I36" i="2"/>
  <c r="O35" i="2"/>
  <c r="Q35" i="2" s="1"/>
  <c r="T35" i="2" s="1"/>
  <c r="O34" i="2"/>
  <c r="Q34" i="2" s="1"/>
  <c r="T34" i="2" s="1"/>
  <c r="O33" i="2"/>
  <c r="Q33" i="2" s="1"/>
  <c r="T33" i="2" s="1"/>
  <c r="O32" i="2"/>
  <c r="Q32" i="2" s="1"/>
  <c r="T32" i="2" s="1"/>
  <c r="O31" i="2"/>
  <c r="O30" i="2"/>
  <c r="I31" i="2"/>
  <c r="I30" i="2"/>
  <c r="O29" i="2"/>
  <c r="Q29" i="2" s="1"/>
  <c r="O28" i="2"/>
  <c r="O27" i="2"/>
  <c r="I28" i="2"/>
  <c r="I27" i="2"/>
  <c r="O26" i="2"/>
  <c r="Q26" i="2" s="1"/>
  <c r="T26" i="2" s="1"/>
  <c r="I22" i="2"/>
  <c r="O24" i="2"/>
  <c r="I24" i="2"/>
  <c r="O23" i="2"/>
  <c r="I23" i="2"/>
  <c r="O21" i="2"/>
  <c r="O22" i="2"/>
  <c r="G22" i="2"/>
  <c r="D22" i="2"/>
  <c r="F22" i="3" s="1"/>
  <c r="O16" i="2"/>
  <c r="Q16" i="2" s="1"/>
  <c r="O15" i="2"/>
  <c r="Q15" i="2" s="1"/>
  <c r="T15" i="2" s="1"/>
  <c r="O14" i="2"/>
  <c r="Q14" i="2" s="1"/>
  <c r="T14" i="2" s="1"/>
  <c r="O13" i="2"/>
  <c r="Q13" i="2" s="1"/>
  <c r="T13" i="2" s="1"/>
  <c r="O12" i="2"/>
  <c r="Q12" i="2" s="1"/>
  <c r="H12" i="3" s="1"/>
  <c r="Q49" i="2"/>
  <c r="T49" i="2" s="1"/>
  <c r="G49" i="2"/>
  <c r="D49" i="2"/>
  <c r="F49" i="3" s="1"/>
  <c r="Q48" i="2"/>
  <c r="T48" i="2" s="1"/>
  <c r="G48" i="2"/>
  <c r="D48" i="2"/>
  <c r="F48" i="3" s="1"/>
  <c r="Q47" i="2"/>
  <c r="T47" i="2" s="1"/>
  <c r="G47" i="2"/>
  <c r="D47" i="2"/>
  <c r="F47" i="3" s="1"/>
  <c r="G46" i="2"/>
  <c r="D46" i="2"/>
  <c r="F46" i="3" s="1"/>
  <c r="G45" i="2"/>
  <c r="D45" i="2"/>
  <c r="F45" i="3" s="1"/>
  <c r="G44" i="2"/>
  <c r="D44" i="2"/>
  <c r="F44" i="3" s="1"/>
  <c r="G43" i="2"/>
  <c r="D43" i="2"/>
  <c r="F43" i="3" s="1"/>
  <c r="G42" i="2"/>
  <c r="D42" i="2"/>
  <c r="F42" i="3" s="1"/>
  <c r="Q41" i="2"/>
  <c r="T41" i="2" s="1"/>
  <c r="G41" i="2"/>
  <c r="D41" i="2"/>
  <c r="F41" i="3" s="1"/>
  <c r="G40" i="2"/>
  <c r="D40" i="2"/>
  <c r="F40" i="3" s="1"/>
  <c r="G39" i="2"/>
  <c r="D39" i="2"/>
  <c r="F39" i="3" s="1"/>
  <c r="G38" i="2"/>
  <c r="D38" i="2"/>
  <c r="F38" i="3" s="1"/>
  <c r="G37" i="2"/>
  <c r="D37" i="2"/>
  <c r="F37" i="3" s="1"/>
  <c r="G36" i="2"/>
  <c r="D36" i="2"/>
  <c r="F36" i="3" s="1"/>
  <c r="G35" i="2"/>
  <c r="D35" i="2"/>
  <c r="F35" i="3" s="1"/>
  <c r="G34" i="2"/>
  <c r="D34" i="2"/>
  <c r="F34" i="3" s="1"/>
  <c r="G33" i="2"/>
  <c r="D33" i="2"/>
  <c r="F33" i="3" s="1"/>
  <c r="G32" i="2"/>
  <c r="D32" i="2"/>
  <c r="F32" i="3" s="1"/>
  <c r="G31" i="2"/>
  <c r="D31" i="2"/>
  <c r="F31" i="3" s="1"/>
  <c r="G30" i="2"/>
  <c r="D30" i="2"/>
  <c r="F30" i="3" s="1"/>
  <c r="G29" i="2"/>
  <c r="D29" i="2"/>
  <c r="F29" i="3" s="1"/>
  <c r="G28" i="2"/>
  <c r="D28" i="2"/>
  <c r="F28" i="3" s="1"/>
  <c r="G27" i="2"/>
  <c r="D27" i="2"/>
  <c r="F27" i="3" s="1"/>
  <c r="G26" i="2"/>
  <c r="D26" i="2"/>
  <c r="F26" i="3" s="1"/>
  <c r="G24" i="2"/>
  <c r="D24" i="2"/>
  <c r="F24" i="3" s="1"/>
  <c r="G23" i="2"/>
  <c r="D23" i="2"/>
  <c r="F23" i="3" s="1"/>
  <c r="G21" i="2"/>
  <c r="D21" i="2"/>
  <c r="F21" i="3" s="1"/>
  <c r="G16" i="2"/>
  <c r="D16" i="2"/>
  <c r="F16" i="3" s="1"/>
  <c r="G15" i="2"/>
  <c r="D15" i="2"/>
  <c r="F15" i="3" s="1"/>
  <c r="G14" i="2"/>
  <c r="D14" i="2"/>
  <c r="F14" i="3" s="1"/>
  <c r="G13" i="2"/>
  <c r="D13" i="2"/>
  <c r="F13" i="3" s="1"/>
  <c r="G12" i="2"/>
  <c r="D12" i="2"/>
  <c r="F12" i="3" s="1"/>
  <c r="I2" i="3"/>
  <c r="G2" i="3"/>
  <c r="E2" i="3"/>
  <c r="B2" i="3"/>
  <c r="T25" i="2" l="1"/>
  <c r="H25" i="3"/>
  <c r="M25" i="3" s="1"/>
  <c r="K25" i="3" s="1"/>
  <c r="M17" i="3"/>
  <c r="K17" i="3" s="1"/>
  <c r="H20" i="3"/>
  <c r="M20" i="3" s="1"/>
  <c r="K20" i="3" s="1"/>
  <c r="T20" i="2"/>
  <c r="H19" i="3"/>
  <c r="M19" i="3" s="1"/>
  <c r="K19" i="3" s="1"/>
  <c r="H18" i="3"/>
  <c r="M18" i="3" s="1"/>
  <c r="K18" i="3" s="1"/>
  <c r="M12" i="3"/>
  <c r="K12" i="3" s="1"/>
  <c r="T7" i="2"/>
  <c r="H7" i="3"/>
  <c r="M7" i="3" s="1"/>
  <c r="K7" i="3" s="1"/>
  <c r="T10" i="2"/>
  <c r="H10" i="3"/>
  <c r="M10" i="3" s="1"/>
  <c r="K10" i="3" s="1"/>
  <c r="T5" i="2"/>
  <c r="H5" i="3"/>
  <c r="M5" i="3" s="1"/>
  <c r="K5" i="3" s="1"/>
  <c r="Q44" i="2"/>
  <c r="T44" i="2" s="1"/>
  <c r="H8" i="3"/>
  <c r="M8" i="3" s="1"/>
  <c r="K8" i="3" s="1"/>
  <c r="H4" i="3"/>
  <c r="M4" i="3" s="1"/>
  <c r="K4" i="3" s="1"/>
  <c r="H9" i="3"/>
  <c r="M9" i="3" s="1"/>
  <c r="K9" i="3" s="1"/>
  <c r="H6" i="3"/>
  <c r="M6" i="3" s="1"/>
  <c r="K6" i="3" s="1"/>
  <c r="H3" i="3"/>
  <c r="M3" i="3" s="1"/>
  <c r="K3" i="3" s="1"/>
  <c r="M55" i="3"/>
  <c r="K55" i="3" s="1"/>
  <c r="Q31" i="2"/>
  <c r="T31" i="2" s="1"/>
  <c r="Q24" i="2"/>
  <c r="T24" i="2" s="1"/>
  <c r="Q42" i="2"/>
  <c r="T42" i="2" s="1"/>
  <c r="M76" i="3"/>
  <c r="K76" i="3" s="1"/>
  <c r="L76" i="3" s="1"/>
  <c r="M78" i="3"/>
  <c r="K78" i="3" s="1"/>
  <c r="L78" i="3" s="1"/>
  <c r="Q40" i="2"/>
  <c r="H40" i="3" s="1"/>
  <c r="M40" i="3" s="1"/>
  <c r="K40" i="3" s="1"/>
  <c r="M67" i="3"/>
  <c r="K67" i="3" s="1"/>
  <c r="M72" i="3"/>
  <c r="K72" i="3" s="1"/>
  <c r="Q23" i="2"/>
  <c r="T23" i="2" s="1"/>
  <c r="Q43" i="2"/>
  <c r="T43" i="2" s="1"/>
  <c r="M69" i="3"/>
  <c r="K69" i="3" s="1"/>
  <c r="Q36" i="2"/>
  <c r="T36" i="2" s="1"/>
  <c r="M83" i="3"/>
  <c r="K83" i="3" s="1"/>
  <c r="M85" i="3"/>
  <c r="K85" i="3" s="1"/>
  <c r="Q45" i="2"/>
  <c r="T45" i="2" s="1"/>
  <c r="Q37" i="2"/>
  <c r="T37" i="2" s="1"/>
  <c r="Q28" i="2"/>
  <c r="T28" i="2" s="1"/>
  <c r="T39" i="2"/>
  <c r="H39" i="3"/>
  <c r="M39" i="3" s="1"/>
  <c r="K39" i="3" s="1"/>
  <c r="T16" i="2"/>
  <c r="H16" i="3"/>
  <c r="M16" i="3" s="1"/>
  <c r="K16" i="3" s="1"/>
  <c r="H48" i="3"/>
  <c r="M48" i="3" s="1"/>
  <c r="K48" i="3" s="1"/>
  <c r="H63" i="3"/>
  <c r="M63" i="3" s="1"/>
  <c r="K63" i="3" s="1"/>
  <c r="H57" i="3"/>
  <c r="M57" i="3" s="1"/>
  <c r="K57" i="3" s="1"/>
  <c r="H51" i="3"/>
  <c r="M51" i="3" s="1"/>
  <c r="K51" i="3" s="1"/>
  <c r="Q46" i="2"/>
  <c r="T46" i="2" s="1"/>
  <c r="M79" i="3"/>
  <c r="K79" i="3" s="1"/>
  <c r="L79" i="3" s="1"/>
  <c r="H13" i="3"/>
  <c r="M13" i="3" s="1"/>
  <c r="K13" i="3" s="1"/>
  <c r="Q27" i="2"/>
  <c r="T27" i="2" s="1"/>
  <c r="M64" i="3"/>
  <c r="K64" i="3" s="1"/>
  <c r="M68" i="3"/>
  <c r="K68" i="3" s="1"/>
  <c r="H53" i="3"/>
  <c r="M53" i="3" s="1"/>
  <c r="K53" i="3" s="1"/>
  <c r="H33" i="3"/>
  <c r="M33" i="3" s="1"/>
  <c r="K33" i="3" s="1"/>
  <c r="Q30" i="2"/>
  <c r="T30" i="2" s="1"/>
  <c r="H62" i="3"/>
  <c r="M62" i="3" s="1"/>
  <c r="K62" i="3" s="1"/>
  <c r="H56" i="3"/>
  <c r="M56" i="3" s="1"/>
  <c r="K56" i="3" s="1"/>
  <c r="Q22" i="2"/>
  <c r="T22" i="2" s="1"/>
  <c r="M60" i="3"/>
  <c r="K60" i="3" s="1"/>
  <c r="M88" i="3"/>
  <c r="K88" i="3" s="1"/>
  <c r="S2" i="2"/>
  <c r="H58" i="3"/>
  <c r="M58" i="3" s="1"/>
  <c r="K58" i="3" s="1"/>
  <c r="H52" i="3"/>
  <c r="M52" i="3" s="1"/>
  <c r="K52" i="3" s="1"/>
  <c r="H61" i="3"/>
  <c r="M61" i="3" s="1"/>
  <c r="K61" i="3" s="1"/>
  <c r="T12" i="2"/>
  <c r="T29" i="2"/>
  <c r="H29" i="3"/>
  <c r="M29" i="3" s="1"/>
  <c r="K29" i="3" s="1"/>
  <c r="M84" i="3"/>
  <c r="K84" i="3" s="1"/>
  <c r="M74" i="3"/>
  <c r="K74" i="3" s="1"/>
  <c r="L74" i="3" s="1"/>
  <c r="T60" i="2"/>
  <c r="H24" i="3"/>
  <c r="M24" i="3" s="1"/>
  <c r="K24" i="3" s="1"/>
  <c r="H34" i="3"/>
  <c r="M34" i="3" s="1"/>
  <c r="K34" i="3" s="1"/>
  <c r="H54" i="3"/>
  <c r="M54" i="3" s="1"/>
  <c r="K54" i="3" s="1"/>
  <c r="H49" i="3"/>
  <c r="M49" i="3" s="1"/>
  <c r="K49" i="3" s="1"/>
  <c r="M89" i="3"/>
  <c r="K89" i="3" s="1"/>
  <c r="M71" i="3"/>
  <c r="K71" i="3" s="1"/>
  <c r="T55" i="2"/>
  <c r="M73" i="3"/>
  <c r="K73" i="3" s="1"/>
  <c r="L73" i="3" s="1"/>
  <c r="H65" i="3"/>
  <c r="M65" i="3" s="1"/>
  <c r="K65" i="3" s="1"/>
  <c r="H15" i="3"/>
  <c r="M15" i="3" s="1"/>
  <c r="K15" i="3" s="1"/>
  <c r="Q21" i="2"/>
  <c r="Q38" i="2"/>
  <c r="M77" i="3"/>
  <c r="K77" i="3" s="1"/>
  <c r="L77" i="3" s="1"/>
  <c r="M75" i="3"/>
  <c r="K75" i="3" s="1"/>
  <c r="L75" i="3" s="1"/>
  <c r="H26" i="3"/>
  <c r="M26" i="3" s="1"/>
  <c r="K26" i="3" s="1"/>
  <c r="M66" i="3"/>
  <c r="K66" i="3" s="1"/>
  <c r="T64" i="2"/>
  <c r="M86" i="3"/>
  <c r="K86" i="3" s="1"/>
  <c r="H35" i="3"/>
  <c r="M35" i="3" s="1"/>
  <c r="K35" i="3" s="1"/>
  <c r="L70" i="3"/>
  <c r="H47" i="3"/>
  <c r="M47" i="3" s="1"/>
  <c r="K47" i="3" s="1"/>
  <c r="H42" i="3"/>
  <c r="M42" i="3" s="1"/>
  <c r="K42" i="3" s="1"/>
  <c r="M87" i="3"/>
  <c r="K87" i="3" s="1"/>
  <c r="H59" i="3"/>
  <c r="M59" i="3" s="1"/>
  <c r="K59" i="3" s="1"/>
  <c r="H50" i="3"/>
  <c r="M50" i="3" s="1"/>
  <c r="K50" i="3" s="1"/>
  <c r="H32" i="3"/>
  <c r="M32" i="3" s="1"/>
  <c r="K32" i="3" s="1"/>
  <c r="M81" i="3"/>
  <c r="K81" i="3" s="1"/>
  <c r="M80" i="3"/>
  <c r="K80" i="3" s="1"/>
  <c r="L80" i="3" s="1"/>
  <c r="M82" i="3"/>
  <c r="K82" i="3" s="1"/>
  <c r="H41" i="3"/>
  <c r="M41" i="3" s="1"/>
  <c r="K41" i="3" s="1"/>
  <c r="H14" i="3"/>
  <c r="M14" i="3" s="1"/>
  <c r="K14" i="3" s="1"/>
  <c r="Q11" i="2"/>
  <c r="H11" i="3" s="1"/>
  <c r="M11" i="3" s="1"/>
  <c r="K11" i="3" s="1"/>
  <c r="G11" i="2"/>
  <c r="D11" i="2"/>
  <c r="F11" i="3" s="1"/>
  <c r="Q2" i="2"/>
  <c r="G2" i="2"/>
  <c r="D2" i="2"/>
  <c r="F2" i="3" s="1"/>
  <c r="H44" i="3" l="1"/>
  <c r="M44" i="3" s="1"/>
  <c r="K44" i="3" s="1"/>
  <c r="H31" i="3"/>
  <c r="M31" i="3" s="1"/>
  <c r="K31" i="3" s="1"/>
  <c r="H27" i="3"/>
  <c r="M27" i="3" s="1"/>
  <c r="K27" i="3" s="1"/>
  <c r="H23" i="3"/>
  <c r="M23" i="3" s="1"/>
  <c r="K23" i="3" s="1"/>
  <c r="T40" i="2"/>
  <c r="H36" i="3"/>
  <c r="M36" i="3" s="1"/>
  <c r="K36" i="3" s="1"/>
  <c r="H43" i="3"/>
  <c r="M43" i="3" s="1"/>
  <c r="K43" i="3" s="1"/>
  <c r="H28" i="3"/>
  <c r="M28" i="3" s="1"/>
  <c r="K28" i="3" s="1"/>
  <c r="H45" i="3"/>
  <c r="M45" i="3" s="1"/>
  <c r="K45" i="3" s="1"/>
  <c r="H37" i="3"/>
  <c r="M37" i="3" s="1"/>
  <c r="H30" i="3"/>
  <c r="M30" i="3" s="1"/>
  <c r="K30" i="3" s="1"/>
  <c r="H46" i="3"/>
  <c r="M46" i="3" s="1"/>
  <c r="K46" i="3" s="1"/>
  <c r="H22" i="3"/>
  <c r="M22" i="3" s="1"/>
  <c r="K22" i="3" s="1"/>
  <c r="T21" i="2"/>
  <c r="H21" i="3"/>
  <c r="M21" i="3" s="1"/>
  <c r="K21" i="3" s="1"/>
  <c r="T11" i="2"/>
  <c r="T38" i="2"/>
  <c r="H38" i="3"/>
  <c r="M38" i="3" s="1"/>
  <c r="H2" i="3"/>
  <c r="M2" i="3" s="1"/>
  <c r="K2" i="3" s="1"/>
  <c r="T2" i="2"/>
  <c r="U2" i="2" l="1"/>
</calcChain>
</file>

<file path=xl/sharedStrings.xml><?xml version="1.0" encoding="utf-8"?>
<sst xmlns="http://schemas.openxmlformats.org/spreadsheetml/2006/main" count="447" uniqueCount="187">
  <si>
    <t>Descripción</t>
  </si>
  <si>
    <t>Cant</t>
  </si>
  <si>
    <t>Precio</t>
  </si>
  <si>
    <t>% Desc</t>
  </si>
  <si>
    <t>C. Unit US</t>
  </si>
  <si>
    <t>C. Unit</t>
  </si>
  <si>
    <t>Total Cmpr</t>
  </si>
  <si>
    <t>Env US</t>
  </si>
  <si>
    <t>Envio</t>
  </si>
  <si>
    <t>Fch Cmpr</t>
  </si>
  <si>
    <t>Fch Entrga</t>
  </si>
  <si>
    <t>Euro</t>
  </si>
  <si>
    <t>Dólar</t>
  </si>
  <si>
    <t>Dsc US</t>
  </si>
  <si>
    <t>Desct</t>
  </si>
  <si>
    <t>Pzs</t>
  </si>
  <si>
    <t>Costo Final</t>
  </si>
  <si>
    <t>Liga</t>
  </si>
  <si>
    <t>TOTAL DESC</t>
  </si>
  <si>
    <t>TOTAL CMPRS</t>
  </si>
  <si>
    <t>No</t>
  </si>
  <si>
    <t>Marca</t>
  </si>
  <si>
    <t>Categoria</t>
  </si>
  <si>
    <t>P. Tienda</t>
  </si>
  <si>
    <t>% Desc Cmpr</t>
  </si>
  <si>
    <t>P. Venta</t>
  </si>
  <si>
    <t>P. Oferta</t>
  </si>
  <si>
    <t>Calc</t>
  </si>
  <si>
    <t>Peluche</t>
  </si>
  <si>
    <t>NINTENDO</t>
  </si>
  <si>
    <t>Preview</t>
  </si>
  <si>
    <t>Cmpr Final</t>
  </si>
  <si>
    <t>https://es.aliexpress.com/item/1005007168825755.html?spm=a2g0o.order_detail.order_detail_item.3.21d839d3x0iiw8&amp;gatewayAdapt=glo2esp</t>
  </si>
  <si>
    <t>Disney Grande James P. Sullivan Peluche Monsters University Inc, peluche almohada, 85 cm</t>
  </si>
  <si>
    <t>https://es.aliexpress.com/item/1005007104224281.html?spm=a2g0o.order_detail.order_detail_item.3.534039d3SikXuV&amp;gatewayAdapt=glo2esp</t>
  </si>
  <si>
    <t>Cinnamoroll-muñeco de peluche de 70cm, almohada de dibujos animados Kawaii</t>
  </si>
  <si>
    <t>https://es.aliexpress.com/item/1005007869416185.html?spm=a2g0o.order_detail.order_detail_item.3.4b1839d3c4LkNm&amp;gatewayAdapt=glo2esp</t>
  </si>
  <si>
    <t>Juguete de peluche de capibara, animales de peluche, pulsera de animales</t>
  </si>
  <si>
    <t>https://es.aliexpress.com/item/1005007466045367.html?spm=a2g0o.order_detail.order_detail_item.3.721b39d3p2k5lm&amp;gatewayAdapt=glo2esp</t>
  </si>
  <si>
    <t>Disney-muñeco de peluche de Stitch Lilo para niños, juguete de peluche de pato, 30cm</t>
  </si>
  <si>
    <t>https://es.aliexpress.com/item/1005007701280812.html?spm=a2g0o.order_detail.order_detail_item.3.52a139d3TjaK4x&amp;gatewayAdapt=glo2esp</t>
  </si>
  <si>
    <t>Snoopys de 10cm, juguete de peluche, figuras de Anime, bolsa suave</t>
  </si>
  <si>
    <t>https://es.aliexpress.com/item/1005008270402917.html?spm=a2g0o.order_detail.order_detail_item.2.755a39d3O2xfcK&amp;gatewayAdapt=glo2esp</t>
  </si>
  <si>
    <t>Sanrio-Personaje de dibujos animados de 35cm, peluche Cinnamoroll, con orejas grandes</t>
  </si>
  <si>
    <t>https://es.aliexpress.com/item/1005007205794900.html?spm=a2g0o.order_detail.order_detail_item.3.3ab239d37zDYN6&amp;gatewayAdapt=glo2esp</t>
  </si>
  <si>
    <t>https://es.aliexpress.com/item/1005007626906935.html?spm=a2g0o.order_detail.order_detail_item.3.551839d3VkPs8K&amp;gatewayAdapt=glo2esp</t>
  </si>
  <si>
    <t>Sanrio Kuromi Melody Hello Kitty, peluche kawaii suave, 30 cm - Hello Kitty</t>
  </si>
  <si>
    <t>https://es.aliexpress.com/item/1005008149664520.html?spm=a2g0o.order_detail.order_detail_item.3.4d0139d3Cp8ElH&amp;gatewayAdapt=glo2esp</t>
  </si>
  <si>
    <t>Sanrio Kuromi peluche Cinnamoroll Melody, suave juguete Día de San Valentín - HK 25-30cm</t>
  </si>
  <si>
    <t>https://es.aliexpress.com/item/1005007205794900.html?spm=a2g0o.order_detail.order_detail_item.3.4ead39d30FOzEJ&amp;gatewayAdapt=glo2esp</t>
  </si>
  <si>
    <t>Sanrio-juguetes de peluche de Hello Kitty para niñas, almohada suave de Anime, Kawaii - HK 25cm</t>
  </si>
  <si>
    <t>Yugui-juguete de peluche para perro, muñeco de Pacha, máquina Kulomi, venta al por mayor 25cm - HK</t>
  </si>
  <si>
    <t>Yugui-juguete de peluche para perro, muñeco de Pacha, máquina Kulomi, venta al por mayor 25cm - Cinnamoroll</t>
  </si>
  <si>
    <t>https://es.aliexpress.com/item/1005007180525135.html?spm=a2g0o.order_detail.order_detail_item.3.1e1c39d3RmeeiN&amp;gatewayAdapt=glo2esp</t>
  </si>
  <si>
    <t>Sanrio-vestido transparente, peluche de Hello Kitty, 40cm</t>
  </si>
  <si>
    <t>https://es.aliexpress.com/item/1005007205794900.html?spm=a2g0o.order_detail.order_detail_item.3.162039d3qr6eZW&amp;gatewayAdapt=glo2esp</t>
  </si>
  <si>
    <t>https://es.aliexpress.com/item/1005007296047999.html?spm=a2g0o.order_detail.order_detail_item.6.162039d3qr6eZW&amp;gatewayAdapt=glo2esp</t>
  </si>
  <si>
    <t>Pokemon Kawaii Pikachu, muñecos de peluche de 30cm</t>
  </si>
  <si>
    <t>https://es.aliexpress.com/item/1005006793014667.html?spm=a2g0o.order_detail.order_detail_item.3.207739d3kYdWCp&amp;gatewayAdapt=glo2esp</t>
  </si>
  <si>
    <t>Peluche grande Kawaii Disney Lilo y Stitch, peluche almohada, 45cm</t>
  </si>
  <si>
    <t>https://es.aliexpress.com/item/1005007451872252.html?spm=a2g0o.order_detail.order_detail_item.3.794839d33lgbAU&amp;gatewayAdapt=glo2esp</t>
  </si>
  <si>
    <t>Mochila de Marvel, Spiderman, mochila bonita afelpada</t>
  </si>
  <si>
    <t>https://es.aliexpress.com/item/1005007077236884.html?spm=a2g0o.order_detail.order_detail_item.3.3ba439d3et0XZf&amp;gatewayAdapt=glo2esp</t>
  </si>
  <si>
    <t>Sonic, peluche suave, erizo, Amy Rose, cola de nudillo,30cm</t>
  </si>
  <si>
    <t>https://es.aliexpress.com/item/1005007255322278.html?spm=a2g0o.order_detail.order_detail_item.3.3d0239d3wF23Cz&amp;gatewayAdapt=glo2esp</t>
  </si>
  <si>
    <t>Disney-Lilo &amp; Stitch, peluche Kawaii, 20-25CM</t>
  </si>
  <si>
    <t>https://es.aliexpress.com/item/1005007476769059.html?spm=a2g0o.order_detail.order_detail_item.3.a7e039d3zbmBw4&amp;gatewayAdapt=glo2esp</t>
  </si>
  <si>
    <t>MINISO-oso de peluche de arcoíris para niña, juguete de peluche de 40 Cm, Multicolor</t>
  </si>
  <si>
    <t>MINISO-oso de peluche de arcoíris para niña, juguete de peluche de 40 Cm, Morado</t>
  </si>
  <si>
    <t>}https://es.aliexpress.com/item/1005007483803308.html?spm=a2g0o.order_detail.order_detail_item.3.303a39d3FLUoqW&amp;gatewayAdapt=glo2esp</t>
  </si>
  <si>
    <t>Sanrio-peluches Kawaii de Hello Kitty, pijama osito cariñosito, Cinnamoroll</t>
  </si>
  <si>
    <t>Sanrio-peluches Kawaii de Hello Kitty, pijama osito cariñosito, HK</t>
  </si>
  <si>
    <t>https://es.aliexpress.com/item/1005008149664520.html?spm=a2g0o.order_detail.order_detail_item.3.5e2c39d3a2hu22&amp;gatewayAdapt=glo2esp</t>
  </si>
  <si>
    <t>Sanrio Kuromi Cinnamoroll Melody, peluche suave Día de San Valentín, 30cm, HK corazon</t>
  </si>
  <si>
    <t>https://es.aliexpress.com/item/1005008011489111.html?spm=a2g0o.order_detail.order_detail_item.3.657a39d3gepFwO&amp;gatewayAdapt=glo2esp</t>
  </si>
  <si>
    <t>https://es.aliexpress.com/item/1005007292459485.html?spm=a2g0o.order_detail.order_detail_item.3.6fd239d3OEObkf&amp;gatewayAdapt=glo2esp</t>
  </si>
  <si>
    <t>Miniso-Lilo &amp; Stitch de Disney, peluche Kawaii, suave, Azul, 30cm</t>
  </si>
  <si>
    <t>https://es.aliexpress.com/item/1005007550314179.html?spm=a2g0o.order_detail.order_detail_item.3.9c6039d3ZNf5Nf&amp;gatewayAdapt=glo2esp</t>
  </si>
  <si>
    <t>Bob Esponja Squarepants, peluche Patricio, Estrella rosa, Kawaii, Bob esponja, 40cm</t>
  </si>
  <si>
    <t>https://es.aliexpress.com/item/1005007799447721.html?spm=a2g0o.order_detail.order_detail_item.3.10fb39d3SMJ3xG&amp;gatewayAdapt=glo2esp</t>
  </si>
  <si>
    <t>Peluche de Lilo Stitch, Ángel, Anime, suave, 30cm, azul corazon</t>
  </si>
  <si>
    <t>https://es.aliexpress.com/item/1005007862756052.html?spm=a2g0o.order_detail.order_detail_item.3.224d39d3kfcwS8&amp;gatewayAdapt=glo2esp</t>
  </si>
  <si>
    <t>Disney Stitch, lindo conejo de peluche, 40cm</t>
  </si>
  <si>
    <t>https://es.aliexpress.com/item/1005006906829756.html?spm=a2g0o.order_detail.order_detail_item.3.419a39d3C1vk48&amp;gatewayAdapt=glo2esp</t>
  </si>
  <si>
    <t xml:space="preserve">Sanrio Kawaii Cinnamoroll sombrero, peluche almohada suave </t>
  </si>
  <si>
    <t>Disney</t>
  </si>
  <si>
    <t>SANRIO</t>
  </si>
  <si>
    <t>Kawaii</t>
  </si>
  <si>
    <t>Snoopy</t>
  </si>
  <si>
    <t>Hello Kitty</t>
  </si>
  <si>
    <t>Pokemon</t>
  </si>
  <si>
    <t>MARVEL</t>
  </si>
  <si>
    <t>Sonic</t>
  </si>
  <si>
    <t>Ositos Cariñositos</t>
  </si>
  <si>
    <t>Bob Esponja</t>
  </si>
  <si>
    <t>https://es.aliexpress.com/item/1005007550314179.html?spm=a2g0o.order_detail.order_detail_item.3.65f739d3uMbOvt&amp;gatewayAdapt=glo2esp</t>
  </si>
  <si>
    <t>Bob Esponja Squarepants, peluche Patricio Estrella rosa, Kawaii, 40cm</t>
  </si>
  <si>
    <t>https://es.aliexpress.com/item/1005006026183954.html?spm=a2g0o.order_detail.order_detail_item.3.1c5439d3Ijk0Mq&amp;gatewayAdapt=glo2esp</t>
  </si>
  <si>
    <t>Peluche de Los Vengadores, Marvel , Spiderman 27-32cm</t>
  </si>
  <si>
    <t>https://es.aliexpress.com/item/1005006723673633.html?spm=a2g0o.order_detail.order_detail_item.3.614f39d3ZFgTsB&amp;gatewayAdapt=glo2esp</t>
  </si>
  <si>
    <t>Disney Toy Story Lotso-oso de fresa, almohada de felpa, 90cm</t>
  </si>
  <si>
    <t>https://es.aliexpress.com/item/1005005833928048.html?spm=a2g0o.order_detail.order_detail_item.3.19e339d3NFYKhr&amp;gatewayAdapt=glo2esp</t>
  </si>
  <si>
    <t>Peluche Original de Pokémon Gengar de 24cm, Pikachu</t>
  </si>
  <si>
    <t>https://es.aliexpress.com/item/1005007205794900.html?spm=a2g0o.order_detail.order_detail_item.3.731b39d3hfa0JD&amp;gatewayAdapt=glo2esp</t>
  </si>
  <si>
    <t>Sanrio-juguetes de peluche de Hello Kitty para niñas, almohada suave de Anime, Kawaii  - HK 25cm</t>
  </si>
  <si>
    <t>https://es.aliexpress.com/item/1005007425031187.html?spm=a2g0o.order_detail.order_detail_item.3.112d39d3rqqHdS&amp;gatewayAdapt=glo2esp</t>
  </si>
  <si>
    <t>Muñeco de peluche de Anime Sanrio Kawaii, muñeco de peluche suave de Cinnamoroll, almohada de 25cm</t>
  </si>
  <si>
    <t>https://es.aliexpress.com/item/1005007104224281.html?spm=a2g0o.order_detail.order_detail_item.3.d1e639d3bSmKP1&amp;gatewayAdapt=glo2esp</t>
  </si>
  <si>
    <t>https://es.aliexpress.com/item/1005006967924430.html?spm=a2g0o.order_detail.order_detail_item.3.47b739d347eZzD&amp;gatewayAdapt=glo2esp</t>
  </si>
  <si>
    <t>Monkey · D · Luffy Trafalgar D Water Law, Tony Chopper Luffy, muñeco de Peluche, 25cm</t>
  </si>
  <si>
    <t>https://es.aliexpress.com/item/1005007798501324.html?spm=a2g0o.order_detail.order_detail_item.3.680c39d3ZaHQeH&amp;gatewayAdapt=glo2esp</t>
  </si>
  <si>
    <t>Cinnamoroll Cosplasy Stitch-juguetes bonitos de 20cm, muñecos de peluche de Disney</t>
  </si>
  <si>
    <t>https://es.aliexpress.com/item/1005007972360636.html?spm=a2g0o.order_detail.order_detail_item.3.453739d38QiUpS&amp;gatewayAdapt=glo2esp</t>
  </si>
  <si>
    <t>One Piece</t>
  </si>
  <si>
    <t>Sanrio Anime Kawaii, súper suave felpa, Cinnamoroll corazoncitos</t>
  </si>
  <si>
    <t>Peluche de Sullivan, Disney, 9 pulgadas, película de relleno suave</t>
  </si>
  <si>
    <t>https://es.aliexpress.com/item/1005005936635904.html?spm=a2g0o.order_detail.order_detail_item.3.7e8039d3OsVMgj&amp;gatewayAdapt=glo2esp</t>
  </si>
  <si>
    <t>Película de Disney, cerdo Waddles, 18cm</t>
  </si>
  <si>
    <t>https://es.aliexpress.com/item/1005007153165459.html?spm=a2g0o.order_detail.order_detail_item.3.755d39d3p7FY9S&amp;gatewayAdapt=glo2esp</t>
  </si>
  <si>
    <t>Sanrio Kuromi muñecos de peluche 40/50cm kawaii My Melody Cinnamoroll - Kuromi</t>
  </si>
  <si>
    <t>https://es.aliexpress.com/item/1005007144700734.html?spm=a2g0o.order_detail.order_detail_item.3.27d739d3ppyZlC&amp;gatewayAdapt=glo2esp</t>
  </si>
  <si>
    <t>Peluche de Frozen, felpa, reina Elsa, princesa Anna, 30-50 CM</t>
  </si>
  <si>
    <t>https://es.aliexpress.com/item/1005006768969643.html?spm=a2g0o.order_detail.order_detail_item.3.1fd939d3arqXUz&amp;gatewayAdapt=glo2esp</t>
  </si>
  <si>
    <t>Sanrio-peluche Kawaii, Kuromi Melody Cinnamorol, 22CM</t>
  </si>
  <si>
    <t>Disney's Anime grande, púrpura, San Valentín, Stich, 30cm</t>
  </si>
  <si>
    <t>https://es.aliexpress.com/item/1005007302134948.html?spm=a2g0o.order_detail.order_detail_item.3.34b439d3Aqnzo7&amp;gatewayAdapt=glo2esp</t>
  </si>
  <si>
    <t>Sanrio Ice Cream Hello Kitty Kuromi Melody Cinnamoroll, peluche almohada, 30cm</t>
  </si>
  <si>
    <t>MINISO-oso de peluche de arcoíris, peluche de 40 Cm, rosa</t>
  </si>
  <si>
    <t>https://es.aliexpress.com/item/1005007476769059.html?spm=a2g0o.order_detail.order_detail_item.3.18f239d3mCxSIb&amp;gatewayAdapt=glo2esp</t>
  </si>
  <si>
    <t>https://es.aliexpress.com/item/1005008300880893.html?spm=a2g0o.order_detail.order_detail_item.2.573639d3khwPIa&amp;gatewayAdapt=glo2esp</t>
  </si>
  <si>
    <t>Sanrio Yugui se transforma en un juguete de peluche de fresa, almohada, Cinnamoroll</t>
  </si>
  <si>
    <t>https://es.aliexpress.com/item/1005007169033457.html?spm=a2g0o.order_detail.order_detail_item.2.652739d32x0xqv&amp;gatewayAdapt=glo2esp</t>
  </si>
  <si>
    <t>Sanrio-almohada de felpa de Hello Kitty, cojín de cabecera</t>
  </si>
  <si>
    <t>https://es.aliexpress.com/item/1005006628444371.html?spm=a2g0o.order_detail.order_detail_item.3.23da39d3WPGRyV&amp;gatewayAdapt=glo2esp</t>
  </si>
  <si>
    <t>Peluche de cerdo, corazón de retención, almohadas, suaves, 20cm</t>
  </si>
  <si>
    <t>https://es.aliexpress.com/item/1005006263181072.html?spm=a2g0o.order_detail.order_detail_item.3.495e39d3JkiFa7&amp;gatewayAdapt=glo2esp</t>
  </si>
  <si>
    <t>Sanrio-muñeco de peluche Kuromi Melody, muñeco de peluche cómodo y suave, Cinnamoroll, 20cm</t>
  </si>
  <si>
    <t>https://es.aliexpress.com/item/1005007255301825.html?spm=a2g0o.order_detail.order_detail_item.3.9a5939d3Hr54ou&amp;gatewayAdapt=glo2esp</t>
  </si>
  <si>
    <t>Disney-figuras originales Stitch, peluche, 25cm, corazon, azul</t>
  </si>
  <si>
    <t>Disney-figuras originales Stitch, peluche, 25cm, corazon, rosa</t>
  </si>
  <si>
    <t>https://es.aliexpress.com/item/1005006906829756.html?spm=a2g0o.order_detail.order_detail_item.3.2d4739d3aXEhNH&amp;gatewayAdapt=glo2esp</t>
  </si>
  <si>
    <t>Sanrio Kawaii Cinnamoroll sombrero, peluche almohada suave, 25cm, Cinnamoroll</t>
  </si>
  <si>
    <t>https://es.aliexpress.com/item/1005007383966420.html?spm=a2g0o.order_detail.order_detail_item.3.42c339d3XlB4CG&amp;gatewayAdapt=glo2esp</t>
  </si>
  <si>
    <t>Peluche de Snoopy , almohada de juguete, 35-65cm</t>
  </si>
  <si>
    <t>https://es.aliexpress.com/item/1005008058353450.html?spm=a2g0o.order_detail.order_detail_item.3.5e3939d3P51l74&amp;gatewayAdapt=glo2esp</t>
  </si>
  <si>
    <t>Peluche The Legend of Zelda Link Boy Goblin, peluche suaves, 21-27 cm</t>
  </si>
  <si>
    <t>https://es.aliexpress.com/item/1005007908754231.html?spm=a2g0o.order_detail.order_detail_item.3.5b4439d38zEW3n&amp;gatewayAdapt=glo2esp</t>
  </si>
  <si>
    <t>Disney Stitch Lilo, lindo pato Stitch peluche Kawaii, 30 cm</t>
  </si>
  <si>
    <t>https://es.aliexpress.com/item/1005005565217881.html?spm=a2g0o.order_detail.order_detail_item.2.7b3a39d3SVJT0D&amp;gatewayAdapt=glo2esp</t>
  </si>
  <si>
    <t>Sanrio KT Kuromi Melody Love Series peluche suaves, San Valentin - Cinamorroll</t>
  </si>
  <si>
    <t>https://es.aliexpress.com/item/1005006707704602.html?spm=a2g0o.order_detail.order_detail_item.3.38d439d3ZIxn9o&amp;gatewayAdapt=glo2esp</t>
  </si>
  <si>
    <t>Capybara-muñeco de peluche con suéter, relleno suave, 23cm</t>
  </si>
  <si>
    <t>https://es.aliexpress.com/item/1005007329669578.html?spm=a2g0o.order_detail.order_detail_item.3.2c8539d3tTw9EW&amp;gatewayAdapt=glo2esp</t>
  </si>
  <si>
    <t>Capybara-juguete de peluche de simulación, flor rosa</t>
  </si>
  <si>
    <t>https://es.aliexpress.com/item/1005007153165459.html?spm=a2g0o.order_detail.order_detail_item.3.73a539d3XLnrfQ&amp;gatewayAdapt=glo2esp</t>
  </si>
  <si>
    <t>Sanrio Kuromi muñecos de peluche kawaii My Melody Cinnamoroll 40cm</t>
  </si>
  <si>
    <t>https://es.aliexpress.com/item/1005007574845359.html?spm=a2g0o.order_detail.order_detail_item.2.633c39d3LcadEu&amp;gatewayAdapt=glo2esp</t>
  </si>
  <si>
    <t>https://es.aliexpress.com/item/1005008395888159.html?spm=a2g0o.order_detail.order_detail_item.2.157639d3j6XGmd&amp;gatewayAdapt=glo2esp</t>
  </si>
  <si>
    <t>Sanrio Kawaii Cinnamoroll peluche almohada, flor nice 35 cm</t>
  </si>
  <si>
    <t>https://es.aliexpress.com/item/1005007759869068.html?spm=a2g0o.order_detail.order_detail_item.3.311f39d3MSV8oU&amp;gatewayAdapt=glo2esp</t>
  </si>
  <si>
    <t>Muñeco de peluche de 25-55cm, MINISO Garfield, 35 cm</t>
  </si>
  <si>
    <t>https://es.aliexpress.com/item/1005006796881423.html?spm=a2g0o.order_detail.order_detail_item.3.1f1539d3wcS4fE&amp;gatewayAdapt=glo2esp</t>
  </si>
  <si>
    <t>Snoopy Kawaii, peluche suave, 40 cm</t>
  </si>
  <si>
    <t>https://es.aliexpress.com/item/1005007937126138.html?spm=a2g0o.order_detail.order_detail_item.3.5e5b39d3saDFWB&amp;gatewayAdapt=glo2esp</t>
  </si>
  <si>
    <t>MINISO peluche Snoopy almohada 40cm</t>
  </si>
  <si>
    <t>Capybara</t>
  </si>
  <si>
    <t>Garfield</t>
  </si>
  <si>
    <t>Capybara llavero rosa 15 cm</t>
  </si>
  <si>
    <t>Peluche Sullivan, Monsters University Inc, playera OK, 25 cm</t>
  </si>
  <si>
    <t>Peluche Sullivan, Monsters University Inc, playera OK, 35 cm</t>
  </si>
  <si>
    <t>Correo Mayor #109, Centro CDMX</t>
  </si>
  <si>
    <t>Toys World, Izazaga #151, Centro CDMX</t>
  </si>
  <si>
    <t>Peluche Kawaii Stitch, peluche almohada lila, 45cm</t>
  </si>
  <si>
    <t>MINISO Sanrio-Kuromi, peluche suave, cojín de almohada, 35 cm</t>
  </si>
  <si>
    <t>Gabby</t>
  </si>
  <si>
    <t>Peluche gatisirena 25cm</t>
  </si>
  <si>
    <t>Peluche Escurrigato 28 cm</t>
  </si>
  <si>
    <t>Peluche Octonautas Kwazii</t>
  </si>
  <si>
    <t>Octonautas</t>
  </si>
  <si>
    <t>Colgante sombrero Harry Potter</t>
  </si>
  <si>
    <t>Harry Potter</t>
  </si>
  <si>
    <t>Colgante</t>
  </si>
  <si>
    <t>Toy Story</t>
  </si>
  <si>
    <t>Colgante Buzz peluche 15 cm</t>
  </si>
  <si>
    <t>Colgante Woody peluche 15 cm</t>
  </si>
  <si>
    <t>Colgante dinosaurio 11 cm</t>
  </si>
  <si>
    <t>Peluche Pandy 30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</si>
</sst>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left" vertical="center"/>
    </xf>
    <xf numFmtId="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0" fontId="2" fillId="0" borderId="0" xfId="2" applyAlignment="1">
      <alignment horizontal="left" vertical="center"/>
    </xf>
    <xf numFmtId="44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/>
    </xf>
    <xf numFmtId="6" fontId="6" fillId="0" borderId="0" xfId="0" applyNumberFormat="1" applyFont="1" applyAlignment="1">
      <alignment horizontal="left" vertical="center"/>
    </xf>
    <xf numFmtId="6" fontId="7" fillId="0" borderId="0" xfId="0" applyNumberFormat="1" applyFont="1" applyAlignment="1">
      <alignment horizontal="center" vertical="center"/>
    </xf>
    <xf numFmtId="6" fontId="8" fillId="0" borderId="0" xfId="0" applyNumberFormat="1" applyFont="1" applyAlignment="1">
      <alignment horizontal="right" vertical="center"/>
    </xf>
    <xf numFmtId="0" fontId="9" fillId="0" borderId="0" xfId="0" applyFont="1"/>
    <xf numFmtId="1" fontId="0" fillId="0" borderId="0" xfId="0" applyNumberFormat="1" applyAlignment="1">
      <alignment horizontal="center" vertical="center"/>
    </xf>
    <xf numFmtId="6" fontId="2" fillId="0" borderId="0" xfId="2" applyNumberFormat="1" applyAlignment="1">
      <alignment horizontal="center" vertical="center"/>
    </xf>
    <xf numFmtId="6" fontId="2" fillId="2" borderId="0" xfId="2" applyNumberFormat="1" applyFill="1" applyAlignment="1">
      <alignment horizontal="center" vertical="center"/>
    </xf>
    <xf numFmtId="0" fontId="9" fillId="0" borderId="0" xfId="0" applyFont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aliexpress.com/item/1005007296047999.html?spm=a2g0o.order_detail.order_detail_item.6.162039d3qr6eZW&amp;gatewayAdapt=glo2esp" TargetMode="External"/><Relationship Id="rId18" Type="http://schemas.openxmlformats.org/officeDocument/2006/relationships/hyperlink" Target="https://es.aliexpress.com/item/1005007476769059.html?spm=a2g0o.order_detail.order_detail_item.3.a7e039d3zbmBw4&amp;gatewayAdapt=glo2esp" TargetMode="External"/><Relationship Id="rId26" Type="http://schemas.openxmlformats.org/officeDocument/2006/relationships/hyperlink" Target="https://es.aliexpress.com/item/1005006026183954.html?spm=a2g0o.order_detail.order_detail_item.3.1c5439d3Ijk0Mq&amp;gatewayAdapt=glo2esp" TargetMode="External"/><Relationship Id="rId39" Type="http://schemas.openxmlformats.org/officeDocument/2006/relationships/hyperlink" Target="https://es.aliexpress.com/item/1005007302134948.html?spm=a2g0o.order_detail.order_detail_item.3.34b439d3Aqnzo7&amp;gatewayAdapt=glo2esp" TargetMode="External"/><Relationship Id="rId21" Type="http://schemas.openxmlformats.org/officeDocument/2006/relationships/hyperlink" Target="https://es.aliexpress.com/item/1005007292459485.html?spm=a2g0o.order_detail.order_detail_item.3.6fd239d3OEObkf&amp;gatewayAdapt=glo2esp" TargetMode="External"/><Relationship Id="rId34" Type="http://schemas.openxmlformats.org/officeDocument/2006/relationships/hyperlink" Target="https://es.aliexpress.com/item/1005007972360636.html?spm=a2g0o.order_detail.order_detail_item.3.453739d38QiUpS&amp;gatewayAdapt=glo2esp" TargetMode="External"/><Relationship Id="rId42" Type="http://schemas.openxmlformats.org/officeDocument/2006/relationships/hyperlink" Target="https://es.aliexpress.com/item/1005007169033457.html?spm=a2g0o.order_detail.order_detail_item.2.652739d32x0xqv&amp;gatewayAdapt=glo2esp" TargetMode="External"/><Relationship Id="rId47" Type="http://schemas.openxmlformats.org/officeDocument/2006/relationships/hyperlink" Target="https://es.aliexpress.com/item/1005007383966420.html?spm=a2g0o.order_detail.order_detail_item.3.42c339d3XlB4CG&amp;gatewayAdapt=glo2esp" TargetMode="External"/><Relationship Id="rId50" Type="http://schemas.openxmlformats.org/officeDocument/2006/relationships/hyperlink" Target="https://es.aliexpress.com/item/1005005565217881.html?spm=a2g0o.order_detail.order_detail_item.2.7b3a39d3SVJT0D&amp;gatewayAdapt=glo2esp" TargetMode="External"/><Relationship Id="rId55" Type="http://schemas.openxmlformats.org/officeDocument/2006/relationships/hyperlink" Target="https://es.aliexpress.com/item/1005008395888159.html?spm=a2g0o.order_detail.order_detail_item.2.157639d3j6XGmd&amp;gatewayAdapt=glo2esp" TargetMode="External"/><Relationship Id="rId7" Type="http://schemas.openxmlformats.org/officeDocument/2006/relationships/hyperlink" Target="https://es.aliexpress.com/item/1005008270402917.html?spm=a2g0o.order_detail.order_detail_item.2.755a39d3O2xfcK&amp;gatewayAdapt=glo2esp" TargetMode="External"/><Relationship Id="rId2" Type="http://schemas.openxmlformats.org/officeDocument/2006/relationships/hyperlink" Target="https://es.aliexpress.com/item/1005007104224281.html?spm=a2g0o.order_detail.order_detail_item.3.534039d3SikXuV&amp;gatewayAdapt=glo2esp" TargetMode="External"/><Relationship Id="rId16" Type="http://schemas.openxmlformats.org/officeDocument/2006/relationships/hyperlink" Target="https://es.aliexpress.com/item/1005007077236884.html?spm=a2g0o.order_detail.order_detail_item.3.3ba439d3et0XZf&amp;gatewayAdapt=glo2esp" TargetMode="External"/><Relationship Id="rId29" Type="http://schemas.openxmlformats.org/officeDocument/2006/relationships/hyperlink" Target="https://es.aliexpress.com/item/1005007205794900.html?spm=a2g0o.order_detail.order_detail_item.3.731b39d3hfa0JD&amp;gatewayAdapt=glo2esp" TargetMode="External"/><Relationship Id="rId11" Type="http://schemas.openxmlformats.org/officeDocument/2006/relationships/hyperlink" Target="https://es.aliexpress.com/item/1005007180525135.html?spm=a2g0o.order_detail.order_detail_item.3.1e1c39d3RmeeiN&amp;gatewayAdapt=glo2esp" TargetMode="External"/><Relationship Id="rId24" Type="http://schemas.openxmlformats.org/officeDocument/2006/relationships/hyperlink" Target="https://es.aliexpress.com/item/1005006906829756.html?spm=a2g0o.order_detail.order_detail_item.3.419a39d3C1vk48&amp;gatewayAdapt=glo2esp" TargetMode="External"/><Relationship Id="rId32" Type="http://schemas.openxmlformats.org/officeDocument/2006/relationships/hyperlink" Target="https://es.aliexpress.com/item/1005006967924430.html?spm=a2g0o.order_detail.order_detail_item.3.47b739d347eZzD&amp;gatewayAdapt=glo2esp" TargetMode="External"/><Relationship Id="rId37" Type="http://schemas.openxmlformats.org/officeDocument/2006/relationships/hyperlink" Target="https://es.aliexpress.com/item/1005007144700734.html?spm=a2g0o.order_detail.order_detail_item.3.27d739d3ppyZlC&amp;gatewayAdapt=glo2esp" TargetMode="External"/><Relationship Id="rId40" Type="http://schemas.openxmlformats.org/officeDocument/2006/relationships/hyperlink" Target="https://es.aliexpress.com/item/1005007476769059.html?spm=a2g0o.order_detail.order_detail_item.3.18f239d3mCxSIb&amp;gatewayAdapt=glo2esp" TargetMode="External"/><Relationship Id="rId45" Type="http://schemas.openxmlformats.org/officeDocument/2006/relationships/hyperlink" Target="https://es.aliexpress.com/item/1005007255301825.html?spm=a2g0o.order_detail.order_detail_item.3.9a5939d3Hr54ou&amp;gatewayAdapt=glo2esp" TargetMode="External"/><Relationship Id="rId53" Type="http://schemas.openxmlformats.org/officeDocument/2006/relationships/hyperlink" Target="https://es.aliexpress.com/item/1005007153165459.html?spm=a2g0o.order_detail.order_detail_item.3.73a539d3XLnrfQ&amp;gatewayAdapt=glo2esp" TargetMode="External"/><Relationship Id="rId58" Type="http://schemas.openxmlformats.org/officeDocument/2006/relationships/hyperlink" Target="https://es.aliexpress.com/item/1005007937126138.html?spm=a2g0o.order_detail.order_detail_item.3.5e5b39d3saDFWB&amp;gatewayAdapt=glo2esp" TargetMode="External"/><Relationship Id="rId5" Type="http://schemas.openxmlformats.org/officeDocument/2006/relationships/hyperlink" Target="https://es.aliexpress.com/item/1005007701280812.html?spm=a2g0o.order_detail.order_detail_item.3.52a139d3TjaK4x&amp;gatewayAdapt=glo2esp" TargetMode="External"/><Relationship Id="rId19" Type="http://schemas.openxmlformats.org/officeDocument/2006/relationships/hyperlink" Target="https://es.aliexpress.com/item/1005008149664520.html?spm=a2g0o.order_detail.order_detail_item.3.5e2c39d3a2hu22&amp;gatewayAdapt=glo2esp" TargetMode="External"/><Relationship Id="rId4" Type="http://schemas.openxmlformats.org/officeDocument/2006/relationships/hyperlink" Target="https://es.aliexpress.com/item/1005007466045367.html?spm=a2g0o.order_detail.order_detail_item.3.721b39d3p2k5lm&amp;gatewayAdapt=glo2esp" TargetMode="External"/><Relationship Id="rId9" Type="http://schemas.openxmlformats.org/officeDocument/2006/relationships/hyperlink" Target="https://es.aliexpress.com/item/1005008149664520.html?spm=a2g0o.order_detail.order_detail_item.3.4d0139d3Cp8ElH&amp;gatewayAdapt=glo2esp" TargetMode="External"/><Relationship Id="rId14" Type="http://schemas.openxmlformats.org/officeDocument/2006/relationships/hyperlink" Target="https://es.aliexpress.com/item/1005006793014667.html?spm=a2g0o.order_detail.order_detail_item.3.207739d3kYdWCp&amp;gatewayAdapt=glo2esp" TargetMode="External"/><Relationship Id="rId22" Type="http://schemas.openxmlformats.org/officeDocument/2006/relationships/hyperlink" Target="https://es.aliexpress.com/item/1005007550314179.html?spm=a2g0o.order_detail.order_detail_item.3.9c6039d3ZNf5Nf&amp;gatewayAdapt=glo2esp" TargetMode="External"/><Relationship Id="rId27" Type="http://schemas.openxmlformats.org/officeDocument/2006/relationships/hyperlink" Target="https://es.aliexpress.com/item/1005006723673633.html?spm=a2g0o.order_detail.order_detail_item.3.614f39d3ZFgTsB&amp;gatewayAdapt=glo2esp" TargetMode="External"/><Relationship Id="rId30" Type="http://schemas.openxmlformats.org/officeDocument/2006/relationships/hyperlink" Target="https://es.aliexpress.com/item/1005007425031187.html?spm=a2g0o.order_detail.order_detail_item.3.112d39d3rqqHdS&amp;gatewayAdapt=glo2esp" TargetMode="External"/><Relationship Id="rId35" Type="http://schemas.openxmlformats.org/officeDocument/2006/relationships/hyperlink" Target="https://es.aliexpress.com/item/1005005936635904.html?spm=a2g0o.order_detail.order_detail_item.3.7e8039d3OsVMgj&amp;gatewayAdapt=glo2esp" TargetMode="External"/><Relationship Id="rId43" Type="http://schemas.openxmlformats.org/officeDocument/2006/relationships/hyperlink" Target="https://es.aliexpress.com/item/1005006628444371.html?spm=a2g0o.order_detail.order_detail_item.3.23da39d3WPGRyV&amp;gatewayAdapt=glo2esp" TargetMode="External"/><Relationship Id="rId48" Type="http://schemas.openxmlformats.org/officeDocument/2006/relationships/hyperlink" Target="https://es.aliexpress.com/item/1005008058353450.html?spm=a2g0o.order_detail.order_detail_item.3.5e3939d3P51l74&amp;gatewayAdapt=glo2esp" TargetMode="External"/><Relationship Id="rId56" Type="http://schemas.openxmlformats.org/officeDocument/2006/relationships/hyperlink" Target="https://es.aliexpress.com/item/1005007759869068.html?spm=a2g0o.order_detail.order_detail_item.3.311f39d3MSV8oU&amp;gatewayAdapt=glo2esp" TargetMode="External"/><Relationship Id="rId8" Type="http://schemas.openxmlformats.org/officeDocument/2006/relationships/hyperlink" Target="https://es.aliexpress.com/item/1005007626906935.html?spm=a2g0o.order_detail.order_detail_item.3.551839d3VkPs8K&amp;gatewayAdapt=glo2esp" TargetMode="External"/><Relationship Id="rId51" Type="http://schemas.openxmlformats.org/officeDocument/2006/relationships/hyperlink" Target="https://es.aliexpress.com/item/1005006707704602.html?spm=a2g0o.order_detail.order_detail_item.3.38d439d3ZIxn9o&amp;gatewayAdapt=glo2esp" TargetMode="External"/><Relationship Id="rId3" Type="http://schemas.openxmlformats.org/officeDocument/2006/relationships/hyperlink" Target="https://es.aliexpress.com/item/1005007869416185.html?spm=a2g0o.order_detail.order_detail_item.3.4b1839d3c4LkNm&amp;gatewayAdapt=glo2esp" TargetMode="External"/><Relationship Id="rId12" Type="http://schemas.openxmlformats.org/officeDocument/2006/relationships/hyperlink" Target="https://es.aliexpress.com/item/1005007205794900.html?spm=a2g0o.order_detail.order_detail_item.3.162039d3qr6eZW&amp;gatewayAdapt=glo2esp" TargetMode="External"/><Relationship Id="rId17" Type="http://schemas.openxmlformats.org/officeDocument/2006/relationships/hyperlink" Target="https://es.aliexpress.com/item/1005007255322278.html?spm=a2g0o.order_detail.order_detail_item.3.3d0239d3wF23Cz&amp;gatewayAdapt=glo2esp" TargetMode="External"/><Relationship Id="rId25" Type="http://schemas.openxmlformats.org/officeDocument/2006/relationships/hyperlink" Target="https://es.aliexpress.com/item/1005007550314179.html?spm=a2g0o.order_detail.order_detail_item.3.65f739d3uMbOvt&amp;gatewayAdapt=glo2esp" TargetMode="External"/><Relationship Id="rId33" Type="http://schemas.openxmlformats.org/officeDocument/2006/relationships/hyperlink" Target="https://es.aliexpress.com/item/1005007798501324.html?spm=a2g0o.order_detail.order_detail_item.3.680c39d3ZaHQeH&amp;gatewayAdapt=glo2esp" TargetMode="External"/><Relationship Id="rId38" Type="http://schemas.openxmlformats.org/officeDocument/2006/relationships/hyperlink" Target="https://es.aliexpress.com/item/1005006768969643.html?spm=a2g0o.order_detail.order_detail_item.3.1fd939d3arqXUz&amp;gatewayAdapt=glo2esp" TargetMode="External"/><Relationship Id="rId46" Type="http://schemas.openxmlformats.org/officeDocument/2006/relationships/hyperlink" Target="https://es.aliexpress.com/item/1005006906829756.html?spm=a2g0o.order_detail.order_detail_item.3.2d4739d3aXEhNH&amp;gatewayAdapt=glo2esp" TargetMode="External"/><Relationship Id="rId59" Type="http://schemas.openxmlformats.org/officeDocument/2006/relationships/image" Target="../media/image1.png"/><Relationship Id="rId20" Type="http://schemas.openxmlformats.org/officeDocument/2006/relationships/hyperlink" Target="https://es.aliexpress.com/item/1005008011489111.html?spm=a2g0o.order_detail.order_detail_item.3.657a39d3gepFwO&amp;gatewayAdapt=glo2esp" TargetMode="External"/><Relationship Id="rId41" Type="http://schemas.openxmlformats.org/officeDocument/2006/relationships/hyperlink" Target="https://es.aliexpress.com/item/1005008300880893.html?spm=a2g0o.order_detail.order_detail_item.2.573639d3khwPIa&amp;gatewayAdapt=glo2esp" TargetMode="External"/><Relationship Id="rId54" Type="http://schemas.openxmlformats.org/officeDocument/2006/relationships/hyperlink" Target="https://es.aliexpress.com/item/1005007574845359.html?spm=a2g0o.order_detail.order_detail_item.2.633c39d3LcadEu&amp;gatewayAdapt=glo2esp" TargetMode="External"/><Relationship Id="rId1" Type="http://schemas.openxmlformats.org/officeDocument/2006/relationships/hyperlink" Target="https://es.aliexpress.com/item/1005007168825755.html?spm=a2g0o.order_detail.order_detail_item.3.21d839d3x0iiw8&amp;gatewayAdapt=glo2esp" TargetMode="External"/><Relationship Id="rId6" Type="http://schemas.openxmlformats.org/officeDocument/2006/relationships/hyperlink" Target="https://es.aliexpress.com/item/1005007205794900.html?spm=a2g0o.order_detail.order_detail_item.3.3ab239d37zDYN6&amp;gatewayAdapt=glo2esp" TargetMode="External"/><Relationship Id="rId15" Type="http://schemas.openxmlformats.org/officeDocument/2006/relationships/hyperlink" Target="https://es.aliexpress.com/item/1005007451872252.html?spm=a2g0o.order_detail.order_detail_item.3.794839d33lgbAU&amp;gatewayAdapt=glo2esp" TargetMode="External"/><Relationship Id="rId23" Type="http://schemas.openxmlformats.org/officeDocument/2006/relationships/hyperlink" Target="https://es.aliexpress.com/item/1005007799447721.html?spm=a2g0o.order_detail.order_detail_item.3.10fb39d3SMJ3xG&amp;gatewayAdapt=glo2esp" TargetMode="External"/><Relationship Id="rId28" Type="http://schemas.openxmlformats.org/officeDocument/2006/relationships/hyperlink" Target="https://es.aliexpress.com/item/1005005833928048.html?spm=a2g0o.order_detail.order_detail_item.3.19e339d3NFYKhr&amp;gatewayAdapt=glo2esp" TargetMode="External"/><Relationship Id="rId36" Type="http://schemas.openxmlformats.org/officeDocument/2006/relationships/hyperlink" Target="https://es.aliexpress.com/item/1005007153165459.html?spm=a2g0o.order_detail.order_detail_item.3.755d39d3p7FY9S&amp;gatewayAdapt=glo2esp" TargetMode="External"/><Relationship Id="rId49" Type="http://schemas.openxmlformats.org/officeDocument/2006/relationships/hyperlink" Target="https://es.aliexpress.com/item/1005007908754231.html?spm=a2g0o.order_detail.order_detail_item.3.5b4439d38zEW3n&amp;gatewayAdapt=glo2esp" TargetMode="External"/><Relationship Id="rId57" Type="http://schemas.openxmlformats.org/officeDocument/2006/relationships/hyperlink" Target="https://es.aliexpress.com/item/1005006796881423.html?spm=a2g0o.order_detail.order_detail_item.3.1f1539d3wcS4fE&amp;gatewayAdapt=glo2esp" TargetMode="External"/><Relationship Id="rId10" Type="http://schemas.openxmlformats.org/officeDocument/2006/relationships/hyperlink" Target="https://es.aliexpress.com/item/1005007205794900.html?spm=a2g0o.order_detail.order_detail_item.3.4ead39d30FOzEJ&amp;gatewayAdapt=glo2esp" TargetMode="External"/><Relationship Id="rId31" Type="http://schemas.openxmlformats.org/officeDocument/2006/relationships/hyperlink" Target="https://es.aliexpress.com/item/1005007104224281.html?spm=a2g0o.order_detail.order_detail_item.3.d1e639d3bSmKP1&amp;gatewayAdapt=glo2esp" TargetMode="External"/><Relationship Id="rId44" Type="http://schemas.openxmlformats.org/officeDocument/2006/relationships/hyperlink" Target="https://es.aliexpress.com/item/1005006263181072.html?spm=a2g0o.order_detail.order_detail_item.3.495e39d3JkiFa7&amp;gatewayAdapt=glo2esp" TargetMode="External"/><Relationship Id="rId52" Type="http://schemas.openxmlformats.org/officeDocument/2006/relationships/hyperlink" Target="https://es.aliexpress.com/item/1005007329669578.html?spm=a2g0o.order_detail.order_detail_item.3.2c8539d3tTw9EW&amp;gatewayAdapt=glo2es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giqCVJIz5poeR7tSxiuw387-IULqOMOZ/view?usp=drive_link" TargetMode="External"/><Relationship Id="rId21" Type="http://schemas.openxmlformats.org/officeDocument/2006/relationships/hyperlink" Target="https://drive.google.com/file/d/1cFOSXhBVLfRHCAfDzRz6_OWIJ0J18qCQ/view?usp=drive_link" TargetMode="External"/><Relationship Id="rId34" Type="http://schemas.openxmlformats.org/officeDocument/2006/relationships/hyperlink" Target="https://drive.google.com/file/d/10B8qJmR2__okAVmqzTVeqPM7aQAwjSfv/view?usp=drive_link" TargetMode="External"/><Relationship Id="rId42" Type="http://schemas.openxmlformats.org/officeDocument/2006/relationships/hyperlink" Target="https://drive.google.com/file/d/158CHBkx1qJsNLHjQ9mPgwBbWPK6A7IAy/view?usp=drive_link" TargetMode="External"/><Relationship Id="rId47" Type="http://schemas.openxmlformats.org/officeDocument/2006/relationships/hyperlink" Target="https://drive.google.com/file/d/1KIS4f-6wNAwDA85y1IJPmSqU0jOotME7/view?usp=drive_link" TargetMode="External"/><Relationship Id="rId50" Type="http://schemas.openxmlformats.org/officeDocument/2006/relationships/hyperlink" Target="https://drive.google.com/file/d/15hYc-Wnw1nqklclkdxqR-7jReGR9D7Tm/view?usp=drive_link" TargetMode="External"/><Relationship Id="rId55" Type="http://schemas.openxmlformats.org/officeDocument/2006/relationships/hyperlink" Target="https://drive.google.com/file/d/1BlNRb34Ay10JBlePQ34AWJv9H9vp7eaP/view?usp=drive_link" TargetMode="External"/><Relationship Id="rId63" Type="http://schemas.openxmlformats.org/officeDocument/2006/relationships/hyperlink" Target="https://drive.google.com/file/d/1eTvYCw2zBWsZ7ZhrF7fbiaVdQCRX_9h2/view?usp=drive_link" TargetMode="External"/><Relationship Id="rId68" Type="http://schemas.openxmlformats.org/officeDocument/2006/relationships/image" Target="../media/image1.png"/><Relationship Id="rId7" Type="http://schemas.openxmlformats.org/officeDocument/2006/relationships/hyperlink" Target="https://drive.google.com/file/d/1ykI5S-tMlmfVLgleMkZRXoL-knddHhbW/view?usp=drive_link" TargetMode="External"/><Relationship Id="rId2" Type="http://schemas.openxmlformats.org/officeDocument/2006/relationships/hyperlink" Target="https://drive.google.com/file/d/13vszS5j0kZ0YsSaxBb5q9gdbcP_s1jVT/view?usp=drive_link" TargetMode="External"/><Relationship Id="rId16" Type="http://schemas.openxmlformats.org/officeDocument/2006/relationships/hyperlink" Target="https://drive.google.com/file/d/1LQIWft1D6Rsma7vKd4-82nrWMF7diDZY/view?usp=drive_link" TargetMode="External"/><Relationship Id="rId29" Type="http://schemas.openxmlformats.org/officeDocument/2006/relationships/hyperlink" Target="https://drive.google.com/file/d/1dvpwHqz30gYRVGxQgjH0yZaIXifJdMr6/view?usp=drive_link" TargetMode="External"/><Relationship Id="rId11" Type="http://schemas.openxmlformats.org/officeDocument/2006/relationships/hyperlink" Target="https://drive.google.com/file/d/1A5cZQl_KHfBi9DLv5F1BQNkUurggLxe2/view?usp=drive_link" TargetMode="External"/><Relationship Id="rId24" Type="http://schemas.openxmlformats.org/officeDocument/2006/relationships/hyperlink" Target="https://drive.google.com/file/d/1hXhQzGDpMdqesoWJm2rdx_IuzzDcerwo/view?usp=drive_link" TargetMode="External"/><Relationship Id="rId32" Type="http://schemas.openxmlformats.org/officeDocument/2006/relationships/hyperlink" Target="https://drive.google.com/file/d/160EEpt47ib4XG4sjtZ0o-dWgyCoIk3j1/view?usp=drive_link" TargetMode="External"/><Relationship Id="rId37" Type="http://schemas.openxmlformats.org/officeDocument/2006/relationships/hyperlink" Target="https://drive.google.com/file/d/1J9YfOZmDt5S2XnudD2myPKclOQUD7w8n/view?usp=drive_link" TargetMode="External"/><Relationship Id="rId40" Type="http://schemas.openxmlformats.org/officeDocument/2006/relationships/hyperlink" Target="https://drive.google.com/file/d/1_tPNc7tDwpOTgqhsR1rjojUFmB_WuWmC/view?usp=drive_link" TargetMode="External"/><Relationship Id="rId45" Type="http://schemas.openxmlformats.org/officeDocument/2006/relationships/hyperlink" Target="https://drive.google.com/file/d/19h6s1C4w3_XoAmptp32FlpYzddp4MMEy/view?usp=drive_link" TargetMode="External"/><Relationship Id="rId53" Type="http://schemas.openxmlformats.org/officeDocument/2006/relationships/hyperlink" Target="https://drive.google.com/file/d/1n8bg6gqYro3uU2RFX_llY1h8a578CuVd/view?usp=drive_link" TargetMode="External"/><Relationship Id="rId58" Type="http://schemas.openxmlformats.org/officeDocument/2006/relationships/hyperlink" Target="https://drive.google.com/file/d/1A-UI8bYk3tBgrR6Gyb6Jt2r_AW63I3or/view?usp=drive_link" TargetMode="External"/><Relationship Id="rId66" Type="http://schemas.openxmlformats.org/officeDocument/2006/relationships/hyperlink" Target="https://drive.google.com/file/d/1gTnaYvrQSlu3VM6wzvkID1c4ImTW6YLn/view?usp=drive_link" TargetMode="External"/><Relationship Id="rId5" Type="http://schemas.openxmlformats.org/officeDocument/2006/relationships/hyperlink" Target="https://drive.google.com/file/d/1dvpwHqz30gYRVGxQgjH0yZaIXifJdMr6/view?usp=drive_link" TargetMode="External"/><Relationship Id="rId61" Type="http://schemas.openxmlformats.org/officeDocument/2006/relationships/hyperlink" Target="https://drive.google.com/file/d/1SF3VJIV01FoKIv75S7ilMdbrFaaSOOEZ/view?usp=drive_link" TargetMode="External"/><Relationship Id="rId19" Type="http://schemas.openxmlformats.org/officeDocument/2006/relationships/hyperlink" Target="https://drive.google.com/file/d/100I9EPtv-noAH55pwvL33Tz7K2jh8BIE/view?usp=drive_link" TargetMode="External"/><Relationship Id="rId14" Type="http://schemas.openxmlformats.org/officeDocument/2006/relationships/hyperlink" Target="https://drive.google.com/file/d/1mL1OzSGULWT1XNHDKKS4VPLlOy8UId5r/view?usp=drive_link" TargetMode="External"/><Relationship Id="rId22" Type="http://schemas.openxmlformats.org/officeDocument/2006/relationships/hyperlink" Target="https://drive.google.com/file/d/1KhYsVqhzlso1xN-151-hM-HP1utU8I8p/view?usp=drive_link" TargetMode="External"/><Relationship Id="rId27" Type="http://schemas.openxmlformats.org/officeDocument/2006/relationships/hyperlink" Target="https://drive.google.com/file/d/1giqCVJIz5poeR7tSxiuw387-IULqOMOZ/view?usp=drive_link" TargetMode="External"/><Relationship Id="rId30" Type="http://schemas.openxmlformats.org/officeDocument/2006/relationships/hyperlink" Target="https://drive.google.com/file/d/1IuA1a5uyHVv3Mr2tasEHyPoMDAXGMxFD/view?usp=drive_link" TargetMode="External"/><Relationship Id="rId35" Type="http://schemas.openxmlformats.org/officeDocument/2006/relationships/hyperlink" Target="https://drive.google.com/file/d/1l8MZOh0OeKN_iSzUgrvjHumM-wvUgn1Q/view?usp=drive_link" TargetMode="External"/><Relationship Id="rId43" Type="http://schemas.openxmlformats.org/officeDocument/2006/relationships/hyperlink" Target="https://drive.google.com/file/d/1cMDygezMnjF0BFD0p64GcftmJNdO0b2b/view?usp=drive_link" TargetMode="External"/><Relationship Id="rId48" Type="http://schemas.openxmlformats.org/officeDocument/2006/relationships/hyperlink" Target="https://drive.google.com/file/d/19l-XBU50dC5xm6D90rDOmxdrGP4BfZWl/view?usp=drive_link" TargetMode="External"/><Relationship Id="rId56" Type="http://schemas.openxmlformats.org/officeDocument/2006/relationships/hyperlink" Target="https://drive.google.com/file/d/1V8TPpLzFYBF5_DInBvgbuTJSMw8mMnpV/view?usp=drive_link" TargetMode="External"/><Relationship Id="rId64" Type="http://schemas.openxmlformats.org/officeDocument/2006/relationships/hyperlink" Target="https://drive.google.com/file/d/1cFOSXhBVLfRHCAfDzRz6_OWIJ0J18qCQ/view?usp=drive_link" TargetMode="External"/><Relationship Id="rId8" Type="http://schemas.openxmlformats.org/officeDocument/2006/relationships/hyperlink" Target="https://drive.google.com/file/d/14CQg5VjUKCEe7klvSnU_RKlkYgEeYBfs/view?usp=drive_link" TargetMode="External"/><Relationship Id="rId51" Type="http://schemas.openxmlformats.org/officeDocument/2006/relationships/hyperlink" Target="https://drive.google.com/file/d/1aDQwWg_OVwDuJz7SyYnW6_rJoKDG_2FW/view?usp=drive_link" TargetMode="External"/><Relationship Id="rId3" Type="http://schemas.openxmlformats.org/officeDocument/2006/relationships/hyperlink" Target="https://drive.google.com/file/d/1HVIU4UUPuUCb5taNVkpflBfXh1c789zJ/view?usp=drive_link" TargetMode="External"/><Relationship Id="rId12" Type="http://schemas.openxmlformats.org/officeDocument/2006/relationships/hyperlink" Target="https://drive.google.com/file/d/1ykI5S-tMlmfVLgleMkZRXoL-knddHhbW/view?usp=drive_link" TargetMode="External"/><Relationship Id="rId17" Type="http://schemas.openxmlformats.org/officeDocument/2006/relationships/hyperlink" Target="https://drive.google.com/file/d/1XNk6QgKJ8s7w2Dk-vns66Wqob9pDtsl_/view?usp=drive_link" TargetMode="External"/><Relationship Id="rId25" Type="http://schemas.openxmlformats.org/officeDocument/2006/relationships/hyperlink" Target="https://drive.google.com/file/d/1dvpwHqz30gYRVGxQgjH0yZaIXifJdMr6/view?usp=drive_link" TargetMode="External"/><Relationship Id="rId33" Type="http://schemas.openxmlformats.org/officeDocument/2006/relationships/hyperlink" Target="https://drive.google.com/file/d/1phv5CpJblTLMZkpNBBbqespNmlWFgfEt/view?usp=drive_link" TargetMode="External"/><Relationship Id="rId38" Type="http://schemas.openxmlformats.org/officeDocument/2006/relationships/hyperlink" Target="https://drive.google.com/file/d/1J9YfOZmDt5S2XnudD2myPKclOQUD7w8n/view?usp=drive_link" TargetMode="External"/><Relationship Id="rId46" Type="http://schemas.openxmlformats.org/officeDocument/2006/relationships/hyperlink" Target="https://drive.google.com/file/d/1KzjPW1S5ZvsqqdS7mClcEi1aQ9JoWLjh/view?usp=drive_link" TargetMode="External"/><Relationship Id="rId59" Type="http://schemas.openxmlformats.org/officeDocument/2006/relationships/hyperlink" Target="https://drive.google.com/file/d/1-L6DnJ2Cg4PzrWEGSHP6NF6DXj6skf15/view?usp=drive_link" TargetMode="External"/><Relationship Id="rId67" Type="http://schemas.openxmlformats.org/officeDocument/2006/relationships/hyperlink" Target="https://drive.google.com/file/d/13szq3zUQxeqqdxX8Hqd1TBE48v-UYt34/view?usp=drive_link" TargetMode="External"/><Relationship Id="rId20" Type="http://schemas.openxmlformats.org/officeDocument/2006/relationships/hyperlink" Target="https://drive.google.com/file/d/1dvpwHqz30gYRVGxQgjH0yZaIXifJdMr6/view?usp=drive_link" TargetMode="External"/><Relationship Id="rId41" Type="http://schemas.openxmlformats.org/officeDocument/2006/relationships/hyperlink" Target="https://drive.google.com/file/d/1pnpq1Zfa-YTrfrEmaQyICpQ-ezqLBL68/view?usp=drive_link" TargetMode="External"/><Relationship Id="rId54" Type="http://schemas.openxmlformats.org/officeDocument/2006/relationships/hyperlink" Target="https://drive.google.com/file/d/1YaaKaCUPF-PDnmVtIkZ-ME39iDoWQoZl/view?usp=drive_link" TargetMode="External"/><Relationship Id="rId62" Type="http://schemas.openxmlformats.org/officeDocument/2006/relationships/hyperlink" Target="https://drive.google.com/file/d/10LV33zArSdm8sRf5JUH5KEh7n9iqd3bz/view?usp=drive_link" TargetMode="External"/><Relationship Id="rId1" Type="http://schemas.openxmlformats.org/officeDocument/2006/relationships/hyperlink" Target="https://drive.google.com/file/d/158CHBkx1qJsNLHjQ9mPgwBbWPK6A7IAy/view?usp=drive_link" TargetMode="External"/><Relationship Id="rId6" Type="http://schemas.openxmlformats.org/officeDocument/2006/relationships/hyperlink" Target="https://drive.google.com/file/d/1Xd1ZlunLzqoZ25eSfGVC5ivp1qAY_4QT/view?usp=drive_link" TargetMode="External"/><Relationship Id="rId15" Type="http://schemas.openxmlformats.org/officeDocument/2006/relationships/hyperlink" Target="https://drive.google.com/file/d/1QWtLI04-frFMi_aLgNN1mispL-vl_ru7/view?usp=drive_link" TargetMode="External"/><Relationship Id="rId23" Type="http://schemas.openxmlformats.org/officeDocument/2006/relationships/hyperlink" Target="https://drive.google.com/file/d/1KhYsVqhzlso1xN-151-hM-HP1utU8I8p/view?usp=drive_link" TargetMode="External"/><Relationship Id="rId28" Type="http://schemas.openxmlformats.org/officeDocument/2006/relationships/hyperlink" Target="https://drive.google.com/file/d/1cowaQ1VzKfXWmCdqwn-nU2oQu-iyySp3/view?usp=drive_link" TargetMode="External"/><Relationship Id="rId36" Type="http://schemas.openxmlformats.org/officeDocument/2006/relationships/hyperlink" Target="https://drive.google.com/file/d/19l-XBU50dC5xm6D90rDOmxdrGP4BfZWl/view?usp=drive_link" TargetMode="External"/><Relationship Id="rId49" Type="http://schemas.openxmlformats.org/officeDocument/2006/relationships/hyperlink" Target="https://drive.google.com/file/d/1jon13Q3F8zeI83IOTBT_kPh9vy9IhHjP/view?usp=drive_link" TargetMode="External"/><Relationship Id="rId57" Type="http://schemas.openxmlformats.org/officeDocument/2006/relationships/hyperlink" Target="https://drive.google.com/file/d/1cMDygezMnjF0BFD0p64GcftmJNdO0b2b/view?usp=drive_link" TargetMode="External"/><Relationship Id="rId10" Type="http://schemas.openxmlformats.org/officeDocument/2006/relationships/hyperlink" Target="https://drive.google.com/file/d/1De3mJxrTIqWat4htfNrui2ZzD9_OuExK/view?usp=drive_link" TargetMode="External"/><Relationship Id="rId31" Type="http://schemas.openxmlformats.org/officeDocument/2006/relationships/hyperlink" Target="https://drive.google.com/file/d/1U6XkWExrfC1SaVk97j1zHY2mK6fESl9h/view?usp=drive_link" TargetMode="External"/><Relationship Id="rId44" Type="http://schemas.openxmlformats.org/officeDocument/2006/relationships/hyperlink" Target="https://drive.google.com/file/d/1XYxrHtbEmJGPkzOIjRC9kDnaZ2HJa6wL/view?usp=drive_link" TargetMode="External"/><Relationship Id="rId52" Type="http://schemas.openxmlformats.org/officeDocument/2006/relationships/hyperlink" Target="https://drive.google.com/file/d/1MO3sc--Xd-EnCb5u8etqEkR7pkyOR8zH/view?usp=drive_link" TargetMode="External"/><Relationship Id="rId60" Type="http://schemas.openxmlformats.org/officeDocument/2006/relationships/hyperlink" Target="https://drive.google.com/file/d/1VaF3mF1XrEhiRneexUg7LTn1gP7qIIRA/view?usp=drive_link" TargetMode="External"/><Relationship Id="rId65" Type="http://schemas.openxmlformats.org/officeDocument/2006/relationships/hyperlink" Target="https://drive.google.com/file/d/1PIjKuyhb50fz1e3UytSv34M3P2OOmZ0_/view?usp=drive_link" TargetMode="External"/><Relationship Id="rId4" Type="http://schemas.openxmlformats.org/officeDocument/2006/relationships/hyperlink" Target="https://drive.google.com/file/d/1IuA1a5uyHVv3Mr2tasEHyPoMDAXGMxFD/view?usp=drive_link" TargetMode="External"/><Relationship Id="rId9" Type="http://schemas.openxmlformats.org/officeDocument/2006/relationships/hyperlink" Target="https://drive.google.com/file/d/1Cg5WvVWZn0El_h2Q7wZ4_7o0CCtUxT8B/view?usp=drive_link" TargetMode="External"/><Relationship Id="rId13" Type="http://schemas.openxmlformats.org/officeDocument/2006/relationships/hyperlink" Target="https://drive.google.com/file/d/1_Xz0TeLuDToUgDpaeOEt4CIF4wsfXlVQ/view?usp=drive_link" TargetMode="External"/><Relationship Id="rId18" Type="http://schemas.openxmlformats.org/officeDocument/2006/relationships/hyperlink" Target="https://drive.google.com/file/d/1JB8U6kK9e9JmyPACJGBkRa-CH42rA21g/view?usp=drive_link" TargetMode="External"/><Relationship Id="rId39" Type="http://schemas.openxmlformats.org/officeDocument/2006/relationships/hyperlink" Target="https://drive.google.com/file/d/1KhYsVqhzlso1xN-151-hM-HP1utU8I8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zoomScaleNormal="100" workbookViewId="0">
      <pane ySplit="1" topLeftCell="A67" activePane="bottomLeft" state="frozen"/>
      <selection pane="bottomLeft" activeCell="F79" sqref="F79"/>
    </sheetView>
  </sheetViews>
  <sheetFormatPr baseColWidth="10" defaultColWidth="10.69921875" defaultRowHeight="15.6" x14ac:dyDescent="0.3"/>
  <cols>
    <col min="1" max="1" width="33.69921875" style="19" customWidth="1"/>
    <col min="2" max="2" width="4.69921875" style="19" bestFit="1" customWidth="1"/>
    <col min="3" max="3" width="9" style="19" bestFit="1" customWidth="1"/>
    <col min="4" max="4" width="6.5" style="19" bestFit="1" customWidth="1"/>
    <col min="5" max="6" width="8.69921875" style="19" bestFit="1" customWidth="1"/>
    <col min="7" max="7" width="9.5" style="19" bestFit="1" customWidth="1"/>
    <col min="8" max="8" width="6.19921875" style="19" bestFit="1" customWidth="1"/>
    <col min="9" max="9" width="8.69921875" style="19" bestFit="1" customWidth="1"/>
    <col min="10" max="11" width="10.69921875" style="19" bestFit="1" customWidth="1"/>
    <col min="12" max="12" width="4.69921875" style="19" bestFit="1" customWidth="1"/>
    <col min="13" max="13" width="8" style="19" bestFit="1" customWidth="1"/>
    <col min="14" max="14" width="6.19921875" style="19" bestFit="1" customWidth="1"/>
    <col min="15" max="15" width="7.09765625" style="19" bestFit="1" customWidth="1"/>
    <col min="16" max="16" width="4.5" style="19" bestFit="1" customWidth="1"/>
    <col min="17" max="17" width="9.5" style="19" bestFit="1" customWidth="1"/>
    <col min="18" max="18" width="10.69921875" style="19"/>
    <col min="19" max="19" width="10.19921875" style="19" bestFit="1" customWidth="1"/>
    <col min="20" max="20" width="10.19921875" style="19" customWidth="1"/>
    <col min="21" max="21" width="11.796875" style="19" bestFit="1" customWidth="1"/>
    <col min="22" max="16384" width="10.69921875" style="19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19</v>
      </c>
    </row>
    <row r="2" spans="1:21" ht="31.2" x14ac:dyDescent="0.3">
      <c r="A2" s="3" t="s">
        <v>96</v>
      </c>
      <c r="B2" s="4">
        <v>1</v>
      </c>
      <c r="C2" s="5">
        <v>453.86</v>
      </c>
      <c r="D2" s="6">
        <f>(((C2-F2)*100)/C2)/100</f>
        <v>0.64768871458158916</v>
      </c>
      <c r="E2" s="7">
        <v>0</v>
      </c>
      <c r="F2" s="7">
        <v>159.9</v>
      </c>
      <c r="G2" s="8">
        <f t="shared" ref="G2:G11" si="0">B2*F2</f>
        <v>159.9</v>
      </c>
      <c r="H2" s="7">
        <v>0</v>
      </c>
      <c r="I2" s="7">
        <v>28.83</v>
      </c>
      <c r="J2" s="9">
        <v>45675</v>
      </c>
      <c r="K2" s="9"/>
      <c r="L2" s="5"/>
      <c r="M2" s="7">
        <v>20.79</v>
      </c>
      <c r="N2" s="5"/>
      <c r="O2" s="11">
        <f>9.11+24.13</f>
        <v>33.239999999999995</v>
      </c>
      <c r="P2" s="4">
        <v>1</v>
      </c>
      <c r="Q2" s="8">
        <f t="shared" ref="Q2:Q33" si="1">F2+(I2/B2)-(O2/B2)</f>
        <v>155.49</v>
      </c>
      <c r="R2" s="12" t="s">
        <v>95</v>
      </c>
      <c r="S2" s="11">
        <f>SUM(O2:O185)</f>
        <v>2267.5700000000011</v>
      </c>
      <c r="T2" s="8">
        <f t="shared" ref="T2:T16" si="2">B2*Q2</f>
        <v>155.49</v>
      </c>
      <c r="U2" s="13">
        <f>SUM(T2:T167)-S2</f>
        <v>7746.6899999999987</v>
      </c>
    </row>
    <row r="3" spans="1:21" ht="31.2" x14ac:dyDescent="0.3">
      <c r="A3" s="3" t="s">
        <v>98</v>
      </c>
      <c r="B3" s="4">
        <v>1</v>
      </c>
      <c r="C3" s="5">
        <v>219.34</v>
      </c>
      <c r="D3" s="6">
        <f t="shared" ref="D3:D10" si="3">(((C3-F3)*100)/C3)/100</f>
        <v>0.70867146895231148</v>
      </c>
      <c r="E3" s="7">
        <v>0</v>
      </c>
      <c r="F3" s="7">
        <v>63.9</v>
      </c>
      <c r="G3" s="8">
        <f t="shared" ref="G3:G10" si="4">B3*F3</f>
        <v>63.9</v>
      </c>
      <c r="H3" s="7">
        <v>0</v>
      </c>
      <c r="I3" s="7">
        <v>11.66</v>
      </c>
      <c r="J3" s="9">
        <v>45675</v>
      </c>
      <c r="K3" s="9"/>
      <c r="L3" s="5"/>
      <c r="M3" s="7">
        <v>20.79</v>
      </c>
      <c r="N3" s="5"/>
      <c r="O3" s="11">
        <f>3.63+9.66</f>
        <v>13.29</v>
      </c>
      <c r="P3" s="4">
        <v>1</v>
      </c>
      <c r="Q3" s="8">
        <f t="shared" si="1"/>
        <v>62.27</v>
      </c>
      <c r="R3" s="12" t="s">
        <v>97</v>
      </c>
      <c r="S3" s="14"/>
      <c r="T3" s="8">
        <f t="shared" si="2"/>
        <v>62.27</v>
      </c>
      <c r="U3" s="13"/>
    </row>
    <row r="4" spans="1:21" ht="31.2" x14ac:dyDescent="0.3">
      <c r="A4" s="3" t="s">
        <v>100</v>
      </c>
      <c r="B4" s="4">
        <v>1</v>
      </c>
      <c r="C4" s="5">
        <v>256.26</v>
      </c>
      <c r="D4" s="6">
        <f t="shared" si="3"/>
        <v>0.64137984859127462</v>
      </c>
      <c r="E4" s="7">
        <v>0</v>
      </c>
      <c r="F4" s="7">
        <v>91.9</v>
      </c>
      <c r="G4" s="8">
        <f t="shared" si="4"/>
        <v>91.9</v>
      </c>
      <c r="H4" s="7">
        <v>0</v>
      </c>
      <c r="I4" s="7">
        <v>16.53</v>
      </c>
      <c r="J4" s="9">
        <v>45675</v>
      </c>
      <c r="K4" s="9"/>
      <c r="L4" s="5"/>
      <c r="M4" s="7">
        <v>20.79</v>
      </c>
      <c r="N4" s="5"/>
      <c r="O4" s="11">
        <f>5.22+13.86</f>
        <v>19.079999999999998</v>
      </c>
      <c r="P4" s="4">
        <v>1</v>
      </c>
      <c r="Q4" s="8">
        <f t="shared" si="1"/>
        <v>89.350000000000009</v>
      </c>
      <c r="R4" s="12" t="s">
        <v>99</v>
      </c>
      <c r="S4" s="14"/>
      <c r="T4" s="8">
        <f t="shared" si="2"/>
        <v>89.350000000000009</v>
      </c>
      <c r="U4" s="13"/>
    </row>
    <row r="5" spans="1:21" ht="31.2" x14ac:dyDescent="0.3">
      <c r="A5" s="3" t="s">
        <v>102</v>
      </c>
      <c r="B5" s="4">
        <v>1</v>
      </c>
      <c r="C5" s="5">
        <v>235.13</v>
      </c>
      <c r="D5" s="6">
        <f t="shared" si="3"/>
        <v>0.50708118912941769</v>
      </c>
      <c r="E5" s="7">
        <v>0</v>
      </c>
      <c r="F5" s="7">
        <v>115.9</v>
      </c>
      <c r="G5" s="8">
        <f t="shared" si="4"/>
        <v>115.9</v>
      </c>
      <c r="H5" s="7">
        <v>0</v>
      </c>
      <c r="I5" s="7">
        <v>21</v>
      </c>
      <c r="J5" s="9">
        <v>45675</v>
      </c>
      <c r="K5" s="9"/>
      <c r="L5" s="5"/>
      <c r="M5" s="7">
        <v>20.79</v>
      </c>
      <c r="N5" s="5"/>
      <c r="O5" s="11">
        <f>6.58+17.49</f>
        <v>24.07</v>
      </c>
      <c r="P5" s="4">
        <v>1</v>
      </c>
      <c r="Q5" s="8">
        <f t="shared" si="1"/>
        <v>112.83000000000001</v>
      </c>
      <c r="R5" s="12" t="s">
        <v>101</v>
      </c>
      <c r="S5" s="14"/>
      <c r="T5" s="8">
        <f t="shared" si="2"/>
        <v>112.83000000000001</v>
      </c>
      <c r="U5" s="13"/>
    </row>
    <row r="6" spans="1:21" ht="46.8" x14ac:dyDescent="0.3">
      <c r="A6" s="3" t="s">
        <v>104</v>
      </c>
      <c r="B6" s="4">
        <v>1</v>
      </c>
      <c r="C6" s="5">
        <v>162.31</v>
      </c>
      <c r="D6" s="6">
        <f t="shared" si="3"/>
        <v>0.40915532006653932</v>
      </c>
      <c r="E6" s="7">
        <v>0</v>
      </c>
      <c r="F6" s="7">
        <v>95.9</v>
      </c>
      <c r="G6" s="8">
        <f t="shared" si="4"/>
        <v>95.9</v>
      </c>
      <c r="H6" s="7">
        <v>0</v>
      </c>
      <c r="I6" s="7">
        <v>17.37</v>
      </c>
      <c r="J6" s="9">
        <v>45675</v>
      </c>
      <c r="K6" s="9"/>
      <c r="L6" s="5"/>
      <c r="M6" s="7">
        <v>20.79</v>
      </c>
      <c r="N6" s="5"/>
      <c r="O6" s="11">
        <f>5.45+14.47</f>
        <v>19.920000000000002</v>
      </c>
      <c r="P6" s="4">
        <v>1</v>
      </c>
      <c r="Q6" s="8">
        <f t="shared" si="1"/>
        <v>93.350000000000009</v>
      </c>
      <c r="R6" s="12" t="s">
        <v>103</v>
      </c>
      <c r="S6" s="14"/>
      <c r="T6" s="8">
        <f t="shared" si="2"/>
        <v>93.350000000000009</v>
      </c>
      <c r="U6" s="13"/>
    </row>
    <row r="7" spans="1:21" ht="46.8" x14ac:dyDescent="0.3">
      <c r="A7" s="3" t="s">
        <v>106</v>
      </c>
      <c r="B7" s="4">
        <v>1</v>
      </c>
      <c r="C7" s="5">
        <v>271.48</v>
      </c>
      <c r="D7" s="6">
        <f t="shared" si="3"/>
        <v>0.66148519227935754</v>
      </c>
      <c r="E7" s="7">
        <v>0</v>
      </c>
      <c r="F7" s="7">
        <v>91.9</v>
      </c>
      <c r="G7" s="8">
        <f t="shared" si="4"/>
        <v>91.9</v>
      </c>
      <c r="H7" s="7">
        <v>0</v>
      </c>
      <c r="I7" s="7">
        <v>16.53</v>
      </c>
      <c r="J7" s="9">
        <v>45675</v>
      </c>
      <c r="K7" s="9"/>
      <c r="L7" s="5"/>
      <c r="M7" s="7">
        <v>20.79</v>
      </c>
      <c r="N7" s="5"/>
      <c r="O7" s="11">
        <f>5.22+13.86</f>
        <v>19.079999999999998</v>
      </c>
      <c r="P7" s="4">
        <v>1</v>
      </c>
      <c r="Q7" s="8">
        <f t="shared" si="1"/>
        <v>89.350000000000009</v>
      </c>
      <c r="R7" s="12" t="s">
        <v>105</v>
      </c>
      <c r="S7" s="14"/>
      <c r="T7" s="8">
        <f t="shared" si="2"/>
        <v>89.350000000000009</v>
      </c>
      <c r="U7" s="13"/>
    </row>
    <row r="8" spans="1:21" ht="46.8" x14ac:dyDescent="0.3">
      <c r="A8" s="3" t="s">
        <v>35</v>
      </c>
      <c r="B8" s="4">
        <v>1</v>
      </c>
      <c r="C8" s="5">
        <v>474.97</v>
      </c>
      <c r="D8" s="6">
        <f t="shared" si="3"/>
        <v>0.6717687432890499</v>
      </c>
      <c r="E8" s="7">
        <v>0</v>
      </c>
      <c r="F8" s="7">
        <v>155.9</v>
      </c>
      <c r="G8" s="8">
        <f t="shared" si="4"/>
        <v>155.9</v>
      </c>
      <c r="H8" s="7">
        <v>0</v>
      </c>
      <c r="I8" s="7">
        <v>27.99</v>
      </c>
      <c r="J8" s="9">
        <v>45675</v>
      </c>
      <c r="K8" s="9"/>
      <c r="L8" s="5"/>
      <c r="M8" s="7">
        <v>20.79</v>
      </c>
      <c r="N8" s="5"/>
      <c r="O8" s="11">
        <f>8.87+23.52</f>
        <v>32.39</v>
      </c>
      <c r="P8" s="4">
        <v>1</v>
      </c>
      <c r="Q8" s="8">
        <f t="shared" si="1"/>
        <v>151.5</v>
      </c>
      <c r="R8" s="12" t="s">
        <v>107</v>
      </c>
      <c r="S8" s="14"/>
      <c r="T8" s="8">
        <f t="shared" si="2"/>
        <v>151.5</v>
      </c>
      <c r="U8" s="13"/>
    </row>
    <row r="9" spans="1:21" ht="46.8" x14ac:dyDescent="0.3">
      <c r="A9" s="3" t="s">
        <v>109</v>
      </c>
      <c r="B9" s="4">
        <v>1</v>
      </c>
      <c r="C9" s="5">
        <v>551.84</v>
      </c>
      <c r="D9" s="6">
        <f t="shared" si="3"/>
        <v>0.84796317773267615</v>
      </c>
      <c r="E9" s="7">
        <v>0</v>
      </c>
      <c r="F9" s="7">
        <v>83.9</v>
      </c>
      <c r="G9" s="8">
        <f t="shared" si="4"/>
        <v>83.9</v>
      </c>
      <c r="H9" s="7">
        <v>0</v>
      </c>
      <c r="I9" s="7">
        <v>15.05</v>
      </c>
      <c r="J9" s="9">
        <v>45675</v>
      </c>
      <c r="K9" s="9"/>
      <c r="L9" s="5"/>
      <c r="M9" s="7">
        <v>20.79</v>
      </c>
      <c r="N9" s="5"/>
      <c r="O9" s="11">
        <f>4.79+12.64</f>
        <v>17.43</v>
      </c>
      <c r="P9" s="4">
        <v>1</v>
      </c>
      <c r="Q9" s="8">
        <f t="shared" si="1"/>
        <v>81.52000000000001</v>
      </c>
      <c r="R9" s="12" t="s">
        <v>108</v>
      </c>
      <c r="S9" s="14"/>
      <c r="T9" s="8">
        <f t="shared" si="2"/>
        <v>81.52000000000001</v>
      </c>
      <c r="U9" s="13"/>
    </row>
    <row r="10" spans="1:21" ht="46.8" x14ac:dyDescent="0.3">
      <c r="A10" s="3" t="s">
        <v>111</v>
      </c>
      <c r="B10" s="4">
        <v>1</v>
      </c>
      <c r="C10" s="5">
        <v>285.08</v>
      </c>
      <c r="D10" s="6">
        <f t="shared" si="3"/>
        <v>0.7056966465553528</v>
      </c>
      <c r="E10" s="7">
        <v>0</v>
      </c>
      <c r="F10" s="7">
        <v>83.9</v>
      </c>
      <c r="G10" s="8">
        <f t="shared" si="4"/>
        <v>83.9</v>
      </c>
      <c r="H10" s="7">
        <v>0</v>
      </c>
      <c r="I10" s="7">
        <v>15.05</v>
      </c>
      <c r="J10" s="9">
        <v>45675</v>
      </c>
      <c r="K10" s="9"/>
      <c r="L10" s="5"/>
      <c r="M10" s="7">
        <v>20.79</v>
      </c>
      <c r="N10" s="5"/>
      <c r="O10" s="11">
        <f>4.79+12.64</f>
        <v>17.43</v>
      </c>
      <c r="P10" s="4">
        <v>1</v>
      </c>
      <c r="Q10" s="8">
        <f t="shared" si="1"/>
        <v>81.52000000000001</v>
      </c>
      <c r="R10" s="12" t="s">
        <v>110</v>
      </c>
      <c r="S10" s="14"/>
      <c r="T10" s="8">
        <f t="shared" si="2"/>
        <v>81.52000000000001</v>
      </c>
      <c r="U10" s="13"/>
    </row>
    <row r="11" spans="1:21" ht="31.2" x14ac:dyDescent="0.3">
      <c r="A11" s="3" t="s">
        <v>114</v>
      </c>
      <c r="B11" s="4">
        <v>1</v>
      </c>
      <c r="C11" s="5">
        <v>268.83999999999997</v>
      </c>
      <c r="D11" s="6">
        <f t="shared" ref="D11" si="5">(((C11-F11)*100)/C11)/100</f>
        <v>0.58499479244160091</v>
      </c>
      <c r="E11" s="7">
        <v>0</v>
      </c>
      <c r="F11" s="7">
        <v>111.57</v>
      </c>
      <c r="G11" s="8">
        <f t="shared" si="0"/>
        <v>111.57</v>
      </c>
      <c r="H11" s="7">
        <v>0</v>
      </c>
      <c r="I11" s="7">
        <v>20.13</v>
      </c>
      <c r="J11" s="9">
        <v>45675</v>
      </c>
      <c r="K11" s="9"/>
      <c r="L11" s="5"/>
      <c r="M11" s="7">
        <v>20.79</v>
      </c>
      <c r="N11" s="5"/>
      <c r="O11" s="11">
        <f>6.35+16.82</f>
        <v>23.17</v>
      </c>
      <c r="P11" s="4">
        <v>1</v>
      </c>
      <c r="Q11" s="8">
        <f t="shared" si="1"/>
        <v>108.52999999999999</v>
      </c>
      <c r="R11" s="12" t="s">
        <v>112</v>
      </c>
      <c r="S11" s="14"/>
      <c r="T11" s="8">
        <f t="shared" si="2"/>
        <v>108.52999999999999</v>
      </c>
      <c r="U11" s="4"/>
    </row>
    <row r="12" spans="1:21" ht="46.8" x14ac:dyDescent="0.3">
      <c r="A12" s="3" t="s">
        <v>33</v>
      </c>
      <c r="B12" s="4">
        <v>1</v>
      </c>
      <c r="C12" s="5">
        <v>775.17</v>
      </c>
      <c r="D12" s="6">
        <f t="shared" ref="D12:D17" si="6">(((C12-F12)*100)/C12)/100</f>
        <v>0.66471870686430079</v>
      </c>
      <c r="E12" s="7">
        <v>0</v>
      </c>
      <c r="F12" s="7">
        <v>259.89999999999998</v>
      </c>
      <c r="G12" s="8">
        <f t="shared" ref="G12:G17" si="7">B12*F12</f>
        <v>259.89999999999998</v>
      </c>
      <c r="H12" s="7">
        <v>0</v>
      </c>
      <c r="I12" s="7">
        <v>47.48</v>
      </c>
      <c r="J12" s="9">
        <v>45675</v>
      </c>
      <c r="K12" s="9"/>
      <c r="L12" s="5"/>
      <c r="M12" s="7">
        <v>20.79</v>
      </c>
      <c r="N12" s="5"/>
      <c r="O12" s="11">
        <f>10.64+39.88</f>
        <v>50.52</v>
      </c>
      <c r="P12" s="4">
        <v>1</v>
      </c>
      <c r="Q12" s="8">
        <f t="shared" si="1"/>
        <v>256.86</v>
      </c>
      <c r="R12" s="12" t="s">
        <v>32</v>
      </c>
      <c r="S12" s="14"/>
      <c r="T12" s="8">
        <f t="shared" si="2"/>
        <v>256.86</v>
      </c>
    </row>
    <row r="13" spans="1:21" ht="46.8" x14ac:dyDescent="0.3">
      <c r="A13" s="3" t="s">
        <v>35</v>
      </c>
      <c r="B13" s="4">
        <v>1</v>
      </c>
      <c r="C13" s="5">
        <v>474.97</v>
      </c>
      <c r="D13" s="6">
        <f t="shared" si="6"/>
        <v>0.65492557424679465</v>
      </c>
      <c r="E13" s="7">
        <v>0</v>
      </c>
      <c r="F13" s="7">
        <v>163.9</v>
      </c>
      <c r="G13" s="8">
        <f t="shared" si="7"/>
        <v>163.9</v>
      </c>
      <c r="H13" s="7">
        <v>0</v>
      </c>
      <c r="I13" s="7">
        <v>30.1</v>
      </c>
      <c r="J13" s="9">
        <v>45675</v>
      </c>
      <c r="K13" s="9"/>
      <c r="L13" s="5"/>
      <c r="M13" s="7">
        <v>20.79</v>
      </c>
      <c r="N13" s="5"/>
      <c r="O13" s="11">
        <f>6.7+25.14</f>
        <v>31.84</v>
      </c>
      <c r="P13" s="4">
        <v>1</v>
      </c>
      <c r="Q13" s="8">
        <f t="shared" si="1"/>
        <v>162.16</v>
      </c>
      <c r="R13" s="12" t="s">
        <v>34</v>
      </c>
      <c r="S13" s="14"/>
      <c r="T13" s="8">
        <f t="shared" si="2"/>
        <v>162.16</v>
      </c>
    </row>
    <row r="14" spans="1:21" ht="46.8" x14ac:dyDescent="0.3">
      <c r="A14" s="3" t="s">
        <v>37</v>
      </c>
      <c r="B14" s="4">
        <v>1</v>
      </c>
      <c r="C14" s="5">
        <v>171.89</v>
      </c>
      <c r="D14" s="6">
        <f t="shared" si="6"/>
        <v>0.651521321775554</v>
      </c>
      <c r="E14" s="7">
        <v>0</v>
      </c>
      <c r="F14" s="7">
        <v>59.9</v>
      </c>
      <c r="G14" s="8">
        <f t="shared" si="7"/>
        <v>59.9</v>
      </c>
      <c r="H14" s="7">
        <v>0</v>
      </c>
      <c r="I14" s="7">
        <v>11.02</v>
      </c>
      <c r="J14" s="9">
        <v>45675</v>
      </c>
      <c r="K14" s="9"/>
      <c r="L14" s="5"/>
      <c r="M14" s="7">
        <v>20.79</v>
      </c>
      <c r="N14" s="5"/>
      <c r="O14" s="11">
        <f>2.47+9.19</f>
        <v>11.66</v>
      </c>
      <c r="P14" s="4">
        <v>1</v>
      </c>
      <c r="Q14" s="8">
        <f t="shared" si="1"/>
        <v>59.260000000000005</v>
      </c>
      <c r="R14" s="12" t="s">
        <v>36</v>
      </c>
      <c r="S14" s="14"/>
      <c r="T14" s="8">
        <f t="shared" si="2"/>
        <v>59.260000000000005</v>
      </c>
    </row>
    <row r="15" spans="1:21" ht="46.8" x14ac:dyDescent="0.3">
      <c r="A15" s="3" t="s">
        <v>39</v>
      </c>
      <c r="B15" s="4">
        <v>1</v>
      </c>
      <c r="C15" s="5">
        <v>550.79999999999995</v>
      </c>
      <c r="D15" s="6">
        <f t="shared" si="6"/>
        <v>0.68064633260711704</v>
      </c>
      <c r="E15" s="7">
        <v>0</v>
      </c>
      <c r="F15" s="7">
        <v>175.9</v>
      </c>
      <c r="G15" s="8">
        <f t="shared" si="7"/>
        <v>175.9</v>
      </c>
      <c r="H15" s="7">
        <v>0</v>
      </c>
      <c r="I15" s="7">
        <v>32.22</v>
      </c>
      <c r="J15" s="9">
        <v>45675</v>
      </c>
      <c r="K15" s="9"/>
      <c r="L15" s="5"/>
      <c r="M15" s="7">
        <v>20.79</v>
      </c>
      <c r="N15" s="5"/>
      <c r="O15" s="11">
        <f>7.19+27</f>
        <v>34.19</v>
      </c>
      <c r="P15" s="4">
        <v>1</v>
      </c>
      <c r="Q15" s="8">
        <f t="shared" si="1"/>
        <v>173.93</v>
      </c>
      <c r="R15" s="12" t="s">
        <v>38</v>
      </c>
      <c r="S15" s="14"/>
      <c r="T15" s="8">
        <f t="shared" si="2"/>
        <v>173.93</v>
      </c>
    </row>
    <row r="16" spans="1:21" ht="31.2" x14ac:dyDescent="0.3">
      <c r="A16" s="3" t="s">
        <v>41</v>
      </c>
      <c r="B16" s="4">
        <v>1</v>
      </c>
      <c r="C16" s="5">
        <v>191.99</v>
      </c>
      <c r="D16" s="6">
        <f t="shared" si="6"/>
        <v>0.70883900203135586</v>
      </c>
      <c r="E16" s="7">
        <v>0</v>
      </c>
      <c r="F16" s="7">
        <v>55.9</v>
      </c>
      <c r="G16" s="8">
        <f t="shared" si="7"/>
        <v>55.9</v>
      </c>
      <c r="H16" s="7">
        <v>0</v>
      </c>
      <c r="I16" s="7">
        <v>10.38</v>
      </c>
      <c r="J16" s="9">
        <v>45675</v>
      </c>
      <c r="K16" s="9"/>
      <c r="L16" s="5"/>
      <c r="M16" s="7">
        <v>20.79</v>
      </c>
      <c r="N16" s="5"/>
      <c r="O16" s="11">
        <f>2.29+8.58</f>
        <v>10.870000000000001</v>
      </c>
      <c r="P16" s="4">
        <v>1</v>
      </c>
      <c r="Q16" s="8">
        <f t="shared" si="1"/>
        <v>55.41</v>
      </c>
      <c r="R16" s="12" t="s">
        <v>40</v>
      </c>
      <c r="S16" s="14"/>
      <c r="T16" s="8">
        <f t="shared" si="2"/>
        <v>55.41</v>
      </c>
    </row>
    <row r="17" spans="1:20" ht="31.2" x14ac:dyDescent="0.3">
      <c r="A17" s="3" t="s">
        <v>121</v>
      </c>
      <c r="B17" s="4">
        <v>1</v>
      </c>
      <c r="C17" s="5">
        <v>814.63</v>
      </c>
      <c r="D17" s="6">
        <f t="shared" si="6"/>
        <v>0.68095945398524482</v>
      </c>
      <c r="E17" s="7">
        <v>0</v>
      </c>
      <c r="F17" s="7">
        <v>259.89999999999998</v>
      </c>
      <c r="G17" s="8">
        <f t="shared" si="7"/>
        <v>259.89999999999998</v>
      </c>
      <c r="H17" s="7">
        <v>0</v>
      </c>
      <c r="I17" s="7">
        <v>47.48</v>
      </c>
      <c r="J17" s="9">
        <v>45675</v>
      </c>
      <c r="K17" s="9"/>
      <c r="L17" s="5"/>
      <c r="M17" s="7">
        <v>20.79</v>
      </c>
      <c r="N17" s="5"/>
      <c r="O17" s="11">
        <f>10.61+39.88</f>
        <v>50.49</v>
      </c>
      <c r="P17" s="4">
        <v>2</v>
      </c>
      <c r="Q17" s="8">
        <f t="shared" si="1"/>
        <v>256.89</v>
      </c>
      <c r="R17" s="12" t="s">
        <v>120</v>
      </c>
      <c r="S17" s="14"/>
      <c r="T17" s="8"/>
    </row>
    <row r="18" spans="1:20" ht="31.2" x14ac:dyDescent="0.3">
      <c r="A18" s="3" t="s">
        <v>115</v>
      </c>
      <c r="B18" s="4">
        <v>1</v>
      </c>
      <c r="C18" s="5">
        <v>413.4</v>
      </c>
      <c r="D18" s="6">
        <f t="shared" ref="D18" si="8">(((C18-F18)*100)/C18)/100</f>
        <v>0.6422351233671989</v>
      </c>
      <c r="E18" s="7">
        <v>0</v>
      </c>
      <c r="F18" s="7">
        <v>147.9</v>
      </c>
      <c r="G18" s="8">
        <f t="shared" ref="G18" si="9">B18*F18</f>
        <v>147.9</v>
      </c>
      <c r="H18" s="7">
        <v>0</v>
      </c>
      <c r="I18" s="7">
        <v>27.12</v>
      </c>
      <c r="J18" s="9">
        <v>45675</v>
      </c>
      <c r="K18" s="9"/>
      <c r="L18" s="5"/>
      <c r="M18" s="7">
        <v>20.79</v>
      </c>
      <c r="N18" s="5"/>
      <c r="O18" s="11">
        <f>6.06+22.71</f>
        <v>28.77</v>
      </c>
      <c r="P18" s="4">
        <v>1</v>
      </c>
      <c r="Q18" s="8">
        <f t="shared" si="1"/>
        <v>146.25</v>
      </c>
      <c r="R18" s="12"/>
      <c r="S18" s="14"/>
      <c r="T18" s="8">
        <f t="shared" ref="T18:T65" si="10">B18*Q18</f>
        <v>146.25</v>
      </c>
    </row>
    <row r="19" spans="1:20" ht="31.2" x14ac:dyDescent="0.3">
      <c r="A19" s="3" t="s">
        <v>117</v>
      </c>
      <c r="B19" s="4">
        <v>1</v>
      </c>
      <c r="C19" s="5">
        <v>188.57</v>
      </c>
      <c r="D19" s="6">
        <f t="shared" ref="D19:D20" si="11">(((C19-F19)*100)/C19)/100</f>
        <v>0.66113379646815507</v>
      </c>
      <c r="E19" s="7">
        <v>0</v>
      </c>
      <c r="F19" s="7">
        <v>63.9</v>
      </c>
      <c r="G19" s="8">
        <f t="shared" ref="G19:G20" si="12">B19*F19</f>
        <v>63.9</v>
      </c>
      <c r="H19" s="7">
        <v>0</v>
      </c>
      <c r="I19" s="7">
        <v>11.66</v>
      </c>
      <c r="J19" s="9">
        <v>45675</v>
      </c>
      <c r="K19" s="9"/>
      <c r="L19" s="5"/>
      <c r="M19" s="7">
        <v>20.79</v>
      </c>
      <c r="N19" s="5"/>
      <c r="O19" s="11">
        <f>2.61+9.8</f>
        <v>12.41</v>
      </c>
      <c r="P19" s="4">
        <v>1</v>
      </c>
      <c r="Q19" s="8">
        <f t="shared" si="1"/>
        <v>63.150000000000006</v>
      </c>
      <c r="R19" s="12" t="s">
        <v>116</v>
      </c>
      <c r="S19" s="14"/>
      <c r="T19" s="8">
        <f t="shared" si="10"/>
        <v>63.150000000000006</v>
      </c>
    </row>
    <row r="20" spans="1:20" ht="46.8" x14ac:dyDescent="0.3">
      <c r="A20" s="3" t="s">
        <v>119</v>
      </c>
      <c r="B20" s="4">
        <v>1</v>
      </c>
      <c r="C20" s="5">
        <v>359.42</v>
      </c>
      <c r="D20" s="6">
        <f t="shared" si="11"/>
        <v>0.48834232930833005</v>
      </c>
      <c r="E20" s="7">
        <v>0</v>
      </c>
      <c r="F20" s="7">
        <v>183.9</v>
      </c>
      <c r="G20" s="8">
        <f t="shared" si="12"/>
        <v>183.9</v>
      </c>
      <c r="H20" s="7">
        <v>0</v>
      </c>
      <c r="I20" s="7">
        <v>33.700000000000003</v>
      </c>
      <c r="J20" s="9">
        <v>45675</v>
      </c>
      <c r="K20" s="9"/>
      <c r="L20" s="5"/>
      <c r="M20" s="7">
        <v>20.79</v>
      </c>
      <c r="N20" s="5"/>
      <c r="O20" s="11">
        <f>7.51+28.22</f>
        <v>35.729999999999997</v>
      </c>
      <c r="P20" s="4">
        <v>1</v>
      </c>
      <c r="Q20" s="8">
        <f t="shared" si="1"/>
        <v>181.87000000000003</v>
      </c>
      <c r="R20" s="12" t="s">
        <v>118</v>
      </c>
      <c r="S20" s="14"/>
      <c r="T20" s="8">
        <f t="shared" si="10"/>
        <v>181.87000000000003</v>
      </c>
    </row>
    <row r="21" spans="1:20" ht="46.8" x14ac:dyDescent="0.3">
      <c r="A21" s="3" t="s">
        <v>104</v>
      </c>
      <c r="B21" s="4">
        <v>1</v>
      </c>
      <c r="C21" s="5">
        <v>162.31</v>
      </c>
      <c r="D21" s="6">
        <f t="shared" ref="D21:D49" si="13">(((C21-F21)*100)/C21)/100</f>
        <v>0.40915532006653932</v>
      </c>
      <c r="E21" s="7">
        <v>0</v>
      </c>
      <c r="F21" s="7">
        <v>95.9</v>
      </c>
      <c r="G21" s="8">
        <f t="shared" ref="G21:G49" si="14">B21*F21</f>
        <v>95.9</v>
      </c>
      <c r="H21" s="7">
        <v>0</v>
      </c>
      <c r="I21" s="7">
        <v>17.600000000000001</v>
      </c>
      <c r="J21" s="9">
        <v>45675</v>
      </c>
      <c r="K21" s="9"/>
      <c r="L21" s="5"/>
      <c r="M21" s="7">
        <v>20.79</v>
      </c>
      <c r="N21" s="5"/>
      <c r="O21" s="11">
        <f>3.92+14.73</f>
        <v>18.649999999999999</v>
      </c>
      <c r="P21" s="4">
        <v>1</v>
      </c>
      <c r="Q21" s="8">
        <f t="shared" si="1"/>
        <v>94.85</v>
      </c>
      <c r="R21" s="12" t="s">
        <v>44</v>
      </c>
      <c r="S21" s="14"/>
      <c r="T21" s="8">
        <f t="shared" si="10"/>
        <v>94.85</v>
      </c>
    </row>
    <row r="22" spans="1:20" ht="46.8" x14ac:dyDescent="0.3">
      <c r="A22" s="3" t="s">
        <v>43</v>
      </c>
      <c r="B22" s="4">
        <v>1</v>
      </c>
      <c r="C22" s="5">
        <v>568.49</v>
      </c>
      <c r="D22" s="6">
        <f t="shared" ref="D22" si="15">(((C22-F22)*100)/C22)/100</f>
        <v>0.60829566043378069</v>
      </c>
      <c r="E22" s="7">
        <v>0</v>
      </c>
      <c r="F22" s="7">
        <v>222.68</v>
      </c>
      <c r="G22" s="8">
        <f t="shared" ref="G22" si="16">B22*F22</f>
        <v>222.68</v>
      </c>
      <c r="H22" s="7">
        <v>0</v>
      </c>
      <c r="I22" s="7">
        <f>0.07+38.43</f>
        <v>38.5</v>
      </c>
      <c r="J22" s="9">
        <v>45677</v>
      </c>
      <c r="K22" s="9"/>
      <c r="L22" s="5"/>
      <c r="M22" s="7">
        <v>20.5</v>
      </c>
      <c r="N22" s="5"/>
      <c r="O22" s="11">
        <f>2.23+19.39+32.17</f>
        <v>53.790000000000006</v>
      </c>
      <c r="P22" s="4">
        <v>1</v>
      </c>
      <c r="Q22" s="8">
        <f t="shared" si="1"/>
        <v>207.39</v>
      </c>
      <c r="R22" s="12" t="s">
        <v>42</v>
      </c>
      <c r="S22" s="14"/>
      <c r="T22" s="8">
        <f t="shared" si="10"/>
        <v>207.39</v>
      </c>
    </row>
    <row r="23" spans="1:20" ht="46.8" x14ac:dyDescent="0.3">
      <c r="A23" s="3" t="s">
        <v>46</v>
      </c>
      <c r="B23" s="4">
        <v>1</v>
      </c>
      <c r="C23" s="5">
        <v>221.55</v>
      </c>
      <c r="D23" s="6">
        <f t="shared" si="13"/>
        <v>3.0331753554502364E-2</v>
      </c>
      <c r="E23" s="7">
        <v>0</v>
      </c>
      <c r="F23" s="7">
        <v>214.83</v>
      </c>
      <c r="G23" s="8">
        <f t="shared" si="14"/>
        <v>214.83</v>
      </c>
      <c r="H23" s="7">
        <v>0</v>
      </c>
      <c r="I23" s="7">
        <f>0.06+37.39</f>
        <v>37.450000000000003</v>
      </c>
      <c r="J23" s="9">
        <v>45677</v>
      </c>
      <c r="K23" s="9"/>
      <c r="L23" s="5"/>
      <c r="M23" s="7">
        <v>20.5</v>
      </c>
      <c r="N23" s="5"/>
      <c r="O23" s="11">
        <f>18.86+31.36</f>
        <v>50.22</v>
      </c>
      <c r="P23" s="4">
        <v>1</v>
      </c>
      <c r="Q23" s="8">
        <f t="shared" si="1"/>
        <v>202.06000000000003</v>
      </c>
      <c r="R23" s="12" t="s">
        <v>45</v>
      </c>
      <c r="S23" s="14"/>
      <c r="T23" s="8">
        <f t="shared" si="10"/>
        <v>202.06000000000003</v>
      </c>
    </row>
    <row r="24" spans="1:20" ht="46.8" x14ac:dyDescent="0.3">
      <c r="A24" s="3" t="s">
        <v>48</v>
      </c>
      <c r="B24" s="4">
        <v>1</v>
      </c>
      <c r="C24" s="5">
        <v>405.4</v>
      </c>
      <c r="D24" s="6">
        <f t="shared" si="13"/>
        <v>0.63613714849531333</v>
      </c>
      <c r="E24" s="7">
        <v>0</v>
      </c>
      <c r="F24" s="7">
        <v>147.51</v>
      </c>
      <c r="G24" s="8">
        <f t="shared" si="14"/>
        <v>147.51</v>
      </c>
      <c r="H24" s="7">
        <v>0</v>
      </c>
      <c r="I24" s="7">
        <f>0.02+25.33</f>
        <v>25.349999999999998</v>
      </c>
      <c r="J24" s="9">
        <v>45677</v>
      </c>
      <c r="K24" s="9"/>
      <c r="L24" s="5"/>
      <c r="M24" s="7">
        <v>20.5</v>
      </c>
      <c r="N24" s="5"/>
      <c r="O24" s="11">
        <f>1.48+12.82+21.33</f>
        <v>35.629999999999995</v>
      </c>
      <c r="P24" s="4">
        <v>1</v>
      </c>
      <c r="Q24" s="8">
        <f t="shared" si="1"/>
        <v>137.22999999999999</v>
      </c>
      <c r="R24" s="12" t="s">
        <v>47</v>
      </c>
      <c r="S24" s="14"/>
      <c r="T24" s="8">
        <f t="shared" si="10"/>
        <v>137.22999999999999</v>
      </c>
    </row>
    <row r="25" spans="1:20" ht="31.2" x14ac:dyDescent="0.3">
      <c r="A25" s="3" t="s">
        <v>123</v>
      </c>
      <c r="B25" s="4">
        <v>1</v>
      </c>
      <c r="C25" s="5">
        <v>105</v>
      </c>
      <c r="D25" s="6">
        <f t="shared" ref="D25" si="17">(((C25-F25)*100)/C25)/100</f>
        <v>2.733333333333338E-2</v>
      </c>
      <c r="E25" s="7">
        <v>0</v>
      </c>
      <c r="F25" s="7">
        <v>102.13</v>
      </c>
      <c r="G25" s="8">
        <f t="shared" ref="G25" si="18">B25*F25</f>
        <v>102.13</v>
      </c>
      <c r="H25" s="7">
        <v>0</v>
      </c>
      <c r="I25" s="7">
        <f>0.03+17.74</f>
        <v>17.77</v>
      </c>
      <c r="J25" s="9">
        <v>45677</v>
      </c>
      <c r="K25" s="9"/>
      <c r="L25" s="5"/>
      <c r="M25" s="7">
        <v>20.5</v>
      </c>
      <c r="N25" s="5"/>
      <c r="O25" s="11">
        <f>8.97+14.9</f>
        <v>23.87</v>
      </c>
      <c r="P25" s="4">
        <v>1</v>
      </c>
      <c r="Q25" s="8">
        <f t="shared" si="1"/>
        <v>96.029999999999987</v>
      </c>
      <c r="R25" s="12" t="s">
        <v>122</v>
      </c>
      <c r="S25" s="14"/>
      <c r="T25" s="8">
        <f t="shared" si="10"/>
        <v>96.029999999999987</v>
      </c>
    </row>
    <row r="26" spans="1:20" ht="46.8" x14ac:dyDescent="0.3">
      <c r="A26" s="3" t="s">
        <v>50</v>
      </c>
      <c r="B26" s="4">
        <v>1</v>
      </c>
      <c r="C26" s="5">
        <v>162.31</v>
      </c>
      <c r="D26" s="6">
        <f t="shared" si="13"/>
        <v>0.54469841661019036</v>
      </c>
      <c r="E26" s="7">
        <v>0</v>
      </c>
      <c r="F26" s="7">
        <v>73.900000000000006</v>
      </c>
      <c r="G26" s="8">
        <f t="shared" si="14"/>
        <v>73.900000000000006</v>
      </c>
      <c r="H26" s="7">
        <v>0</v>
      </c>
      <c r="I26" s="7">
        <v>13.3</v>
      </c>
      <c r="J26" s="9">
        <v>45677</v>
      </c>
      <c r="K26" s="9"/>
      <c r="L26" s="5"/>
      <c r="M26" s="7">
        <v>20.5</v>
      </c>
      <c r="N26" s="5"/>
      <c r="O26" s="11">
        <f>4.4+11.13</f>
        <v>15.530000000000001</v>
      </c>
      <c r="P26" s="4">
        <v>1</v>
      </c>
      <c r="Q26" s="8">
        <f t="shared" si="1"/>
        <v>71.67</v>
      </c>
      <c r="R26" s="12" t="s">
        <v>49</v>
      </c>
      <c r="S26" s="14"/>
      <c r="T26" s="8">
        <f t="shared" si="10"/>
        <v>71.67</v>
      </c>
    </row>
    <row r="27" spans="1:20" ht="46.8" x14ac:dyDescent="0.3">
      <c r="A27" s="3" t="s">
        <v>51</v>
      </c>
      <c r="B27" s="4">
        <v>1</v>
      </c>
      <c r="C27" s="5">
        <v>99</v>
      </c>
      <c r="D27" s="6">
        <f t="shared" si="13"/>
        <v>0.32424242424242422</v>
      </c>
      <c r="E27" s="7">
        <v>0</v>
      </c>
      <c r="F27" s="7">
        <v>66.900000000000006</v>
      </c>
      <c r="G27" s="8">
        <f t="shared" si="14"/>
        <v>66.900000000000006</v>
      </c>
      <c r="H27" s="7">
        <v>0</v>
      </c>
      <c r="I27" s="7">
        <f>22.4/2</f>
        <v>11.2</v>
      </c>
      <c r="J27" s="9">
        <v>45677</v>
      </c>
      <c r="K27" s="9"/>
      <c r="L27" s="5"/>
      <c r="M27" s="7">
        <v>20.5</v>
      </c>
      <c r="N27" s="5"/>
      <c r="O27" s="11">
        <f>(7.48+18.75)/2</f>
        <v>13.115</v>
      </c>
      <c r="P27" s="4">
        <v>1</v>
      </c>
      <c r="Q27" s="8">
        <f t="shared" si="1"/>
        <v>64.985000000000014</v>
      </c>
      <c r="R27" s="12"/>
      <c r="S27" s="14"/>
      <c r="T27" s="8">
        <f t="shared" si="10"/>
        <v>64.985000000000014</v>
      </c>
    </row>
    <row r="28" spans="1:20" ht="62.4" x14ac:dyDescent="0.3">
      <c r="A28" s="3" t="s">
        <v>52</v>
      </c>
      <c r="B28" s="4">
        <v>1</v>
      </c>
      <c r="C28" s="5">
        <v>99</v>
      </c>
      <c r="D28" s="6">
        <f t="shared" si="13"/>
        <v>0.41515151515151516</v>
      </c>
      <c r="E28" s="7">
        <v>0</v>
      </c>
      <c r="F28" s="7">
        <v>57.9</v>
      </c>
      <c r="G28" s="8">
        <f t="shared" si="14"/>
        <v>57.9</v>
      </c>
      <c r="H28" s="7">
        <v>0</v>
      </c>
      <c r="I28" s="7">
        <f>22.4/2</f>
        <v>11.2</v>
      </c>
      <c r="J28" s="9">
        <v>45677</v>
      </c>
      <c r="K28" s="9"/>
      <c r="L28" s="5"/>
      <c r="M28" s="7">
        <v>20.5</v>
      </c>
      <c r="N28" s="5"/>
      <c r="O28" s="11">
        <f>(7.48+18.75)/2</f>
        <v>13.115</v>
      </c>
      <c r="P28" s="4">
        <v>1</v>
      </c>
      <c r="Q28" s="8">
        <f t="shared" si="1"/>
        <v>55.984999999999992</v>
      </c>
      <c r="R28" s="12"/>
      <c r="S28" s="14"/>
      <c r="T28" s="8">
        <f t="shared" si="10"/>
        <v>55.984999999999992</v>
      </c>
    </row>
    <row r="29" spans="1:20" ht="31.2" x14ac:dyDescent="0.3">
      <c r="A29" s="3" t="s">
        <v>54</v>
      </c>
      <c r="B29" s="4">
        <v>1</v>
      </c>
      <c r="C29" s="5">
        <v>619.39</v>
      </c>
      <c r="D29" s="6">
        <f t="shared" si="13"/>
        <v>0.72569786402751091</v>
      </c>
      <c r="E29" s="7">
        <v>0</v>
      </c>
      <c r="F29" s="7">
        <v>169.9</v>
      </c>
      <c r="G29" s="8">
        <f t="shared" si="14"/>
        <v>169.9</v>
      </c>
      <c r="H29" s="7">
        <v>0</v>
      </c>
      <c r="I29" s="7">
        <v>30.4</v>
      </c>
      <c r="J29" s="9">
        <v>45677</v>
      </c>
      <c r="K29" s="9"/>
      <c r="L29" s="5"/>
      <c r="M29" s="7">
        <v>20.5</v>
      </c>
      <c r="N29" s="5"/>
      <c r="O29" s="11">
        <f>10.17+25.56</f>
        <v>35.729999999999997</v>
      </c>
      <c r="P29" s="4">
        <v>1</v>
      </c>
      <c r="Q29" s="8">
        <f t="shared" si="1"/>
        <v>164.57000000000002</v>
      </c>
      <c r="R29" s="12" t="s">
        <v>53</v>
      </c>
      <c r="S29" s="14"/>
      <c r="T29" s="8">
        <f t="shared" si="10"/>
        <v>164.57000000000002</v>
      </c>
    </row>
    <row r="30" spans="1:20" ht="46.8" x14ac:dyDescent="0.3">
      <c r="A30" s="3" t="s">
        <v>50</v>
      </c>
      <c r="B30" s="4">
        <v>1</v>
      </c>
      <c r="C30" s="5">
        <v>162.31</v>
      </c>
      <c r="D30" s="6">
        <f t="shared" si="13"/>
        <v>0.41531636990943255</v>
      </c>
      <c r="E30" s="7">
        <v>0</v>
      </c>
      <c r="F30" s="7">
        <v>94.9</v>
      </c>
      <c r="G30" s="8">
        <f t="shared" si="14"/>
        <v>94.9</v>
      </c>
      <c r="H30" s="7">
        <v>0</v>
      </c>
      <c r="I30" s="7">
        <f>37.59/2</f>
        <v>18.795000000000002</v>
      </c>
      <c r="J30" s="9">
        <v>45677</v>
      </c>
      <c r="K30" s="9"/>
      <c r="L30" s="5"/>
      <c r="M30" s="7">
        <v>20.5</v>
      </c>
      <c r="N30" s="5"/>
      <c r="O30" s="11">
        <f>(12.49+31.42)/2</f>
        <v>21.955000000000002</v>
      </c>
      <c r="P30" s="4">
        <v>1</v>
      </c>
      <c r="Q30" s="8">
        <f t="shared" si="1"/>
        <v>91.740000000000009</v>
      </c>
      <c r="R30" s="12" t="s">
        <v>55</v>
      </c>
      <c r="S30" s="14"/>
      <c r="T30" s="8">
        <f t="shared" si="10"/>
        <v>91.740000000000009</v>
      </c>
    </row>
    <row r="31" spans="1:20" ht="31.2" x14ac:dyDescent="0.3">
      <c r="A31" s="3" t="s">
        <v>57</v>
      </c>
      <c r="B31" s="4">
        <v>1</v>
      </c>
      <c r="C31" s="5">
        <v>233.46</v>
      </c>
      <c r="D31" s="6">
        <f t="shared" si="13"/>
        <v>0.51212199091921529</v>
      </c>
      <c r="E31" s="7">
        <v>0</v>
      </c>
      <c r="F31" s="7">
        <v>113.9</v>
      </c>
      <c r="G31" s="8">
        <f t="shared" si="14"/>
        <v>113.9</v>
      </c>
      <c r="H31" s="7">
        <v>0</v>
      </c>
      <c r="I31" s="7">
        <f>37.59/2</f>
        <v>18.795000000000002</v>
      </c>
      <c r="J31" s="9">
        <v>45677</v>
      </c>
      <c r="K31" s="9"/>
      <c r="L31" s="5"/>
      <c r="M31" s="7">
        <v>20.5</v>
      </c>
      <c r="N31" s="5"/>
      <c r="O31" s="11">
        <f>(12.49+31.42)/2</f>
        <v>21.955000000000002</v>
      </c>
      <c r="P31" s="4">
        <v>1</v>
      </c>
      <c r="Q31" s="8">
        <f t="shared" si="1"/>
        <v>110.74</v>
      </c>
      <c r="R31" s="12" t="s">
        <v>56</v>
      </c>
      <c r="S31" s="14"/>
      <c r="T31" s="8">
        <f t="shared" si="10"/>
        <v>110.74</v>
      </c>
    </row>
    <row r="32" spans="1:20" ht="31.2" x14ac:dyDescent="0.3">
      <c r="A32" s="3" t="s">
        <v>59</v>
      </c>
      <c r="B32" s="4">
        <v>1</v>
      </c>
      <c r="C32" s="5">
        <v>553.33000000000004</v>
      </c>
      <c r="D32" s="6">
        <f t="shared" si="13"/>
        <v>0.70560063614841051</v>
      </c>
      <c r="E32" s="7">
        <v>0</v>
      </c>
      <c r="F32" s="7">
        <v>162.9</v>
      </c>
      <c r="G32" s="8">
        <f t="shared" si="14"/>
        <v>162.9</v>
      </c>
      <c r="H32" s="7">
        <v>0</v>
      </c>
      <c r="I32" s="7">
        <v>29.16</v>
      </c>
      <c r="J32" s="9">
        <v>45677</v>
      </c>
      <c r="K32" s="9"/>
      <c r="L32" s="5"/>
      <c r="M32" s="7">
        <v>20.5</v>
      </c>
      <c r="N32" s="5"/>
      <c r="O32" s="11">
        <f>9.74+24.52</f>
        <v>34.26</v>
      </c>
      <c r="P32" s="4">
        <v>1</v>
      </c>
      <c r="Q32" s="8">
        <f t="shared" si="1"/>
        <v>157.80000000000001</v>
      </c>
      <c r="R32" s="12" t="s">
        <v>58</v>
      </c>
      <c r="S32" s="14"/>
      <c r="T32" s="8">
        <f t="shared" si="10"/>
        <v>157.80000000000001</v>
      </c>
    </row>
    <row r="33" spans="1:20" ht="31.2" x14ac:dyDescent="0.3">
      <c r="A33" s="3" t="s">
        <v>61</v>
      </c>
      <c r="B33" s="4">
        <v>1</v>
      </c>
      <c r="C33" s="5">
        <v>258.70999999999998</v>
      </c>
      <c r="D33" s="6">
        <f t="shared" si="13"/>
        <v>0.65250666769742172</v>
      </c>
      <c r="E33" s="7">
        <v>0</v>
      </c>
      <c r="F33" s="7">
        <v>89.9</v>
      </c>
      <c r="G33" s="8">
        <f t="shared" si="14"/>
        <v>89.9</v>
      </c>
      <c r="H33" s="7">
        <v>0</v>
      </c>
      <c r="I33" s="7">
        <v>16.25</v>
      </c>
      <c r="J33" s="9">
        <v>45677</v>
      </c>
      <c r="K33" s="9"/>
      <c r="L33" s="5"/>
      <c r="M33" s="7">
        <v>20.5</v>
      </c>
      <c r="N33" s="5"/>
      <c r="O33" s="11">
        <f>5.39+13.53</f>
        <v>18.919999999999998</v>
      </c>
      <c r="P33" s="4">
        <v>1</v>
      </c>
      <c r="Q33" s="8">
        <f t="shared" si="1"/>
        <v>87.23</v>
      </c>
      <c r="R33" s="12" t="s">
        <v>60</v>
      </c>
      <c r="S33" s="14"/>
      <c r="T33" s="8">
        <f t="shared" si="10"/>
        <v>87.23</v>
      </c>
    </row>
    <row r="34" spans="1:20" ht="31.2" x14ac:dyDescent="0.3">
      <c r="A34" s="3" t="s">
        <v>63</v>
      </c>
      <c r="B34" s="4">
        <v>1</v>
      </c>
      <c r="C34" s="5">
        <v>357.06</v>
      </c>
      <c r="D34" s="6">
        <f t="shared" si="13"/>
        <v>0.71181314064863044</v>
      </c>
      <c r="E34" s="7">
        <v>0</v>
      </c>
      <c r="F34" s="7">
        <v>102.9</v>
      </c>
      <c r="G34" s="8">
        <f t="shared" si="14"/>
        <v>102.9</v>
      </c>
      <c r="H34" s="7">
        <v>0</v>
      </c>
      <c r="I34" s="7">
        <v>18.579999999999998</v>
      </c>
      <c r="J34" s="9">
        <v>45677</v>
      </c>
      <c r="K34" s="9"/>
      <c r="L34" s="5"/>
      <c r="M34" s="7">
        <v>20.5</v>
      </c>
      <c r="N34" s="5"/>
      <c r="O34" s="11">
        <f>6.14+15.48</f>
        <v>21.62</v>
      </c>
      <c r="P34" s="4">
        <v>1</v>
      </c>
      <c r="Q34" s="8">
        <f t="shared" ref="Q34:Q65" si="19">F34+(I34/B34)-(O34/B34)</f>
        <v>99.86</v>
      </c>
      <c r="R34" s="12" t="s">
        <v>62</v>
      </c>
      <c r="S34" s="14"/>
      <c r="T34" s="8">
        <f t="shared" si="10"/>
        <v>99.86</v>
      </c>
    </row>
    <row r="35" spans="1:20" ht="31.2" x14ac:dyDescent="0.3">
      <c r="A35" s="3" t="s">
        <v>65</v>
      </c>
      <c r="B35" s="4">
        <v>1</v>
      </c>
      <c r="C35" s="5">
        <v>183.82</v>
      </c>
      <c r="D35" s="6">
        <f t="shared" si="13"/>
        <v>0.61973669894461958</v>
      </c>
      <c r="E35" s="7">
        <v>0</v>
      </c>
      <c r="F35" s="7">
        <v>69.900000000000006</v>
      </c>
      <c r="G35" s="8">
        <f t="shared" si="14"/>
        <v>69.900000000000006</v>
      </c>
      <c r="H35" s="7">
        <v>0</v>
      </c>
      <c r="I35" s="7">
        <v>12.66</v>
      </c>
      <c r="J35" s="9">
        <v>45677</v>
      </c>
      <c r="K35" s="9"/>
      <c r="L35" s="5"/>
      <c r="M35" s="7">
        <v>20.5</v>
      </c>
      <c r="N35" s="5"/>
      <c r="O35" s="11">
        <f>4.17+10.52</f>
        <v>14.69</v>
      </c>
      <c r="P35" s="4">
        <v>1</v>
      </c>
      <c r="Q35" s="8">
        <f t="shared" si="19"/>
        <v>67.87</v>
      </c>
      <c r="R35" s="12" t="s">
        <v>64</v>
      </c>
      <c r="S35" s="14"/>
      <c r="T35" s="8">
        <f t="shared" si="10"/>
        <v>67.87</v>
      </c>
    </row>
    <row r="36" spans="1:20" ht="46.8" x14ac:dyDescent="0.3">
      <c r="A36" s="3" t="s">
        <v>67</v>
      </c>
      <c r="B36" s="4">
        <v>1</v>
      </c>
      <c r="C36" s="5">
        <v>163.16999999999999</v>
      </c>
      <c r="D36" s="6">
        <f t="shared" si="13"/>
        <v>2.1327449898878408E-2</v>
      </c>
      <c r="E36" s="7">
        <v>0</v>
      </c>
      <c r="F36" s="7">
        <v>159.69</v>
      </c>
      <c r="G36" s="8">
        <f t="shared" si="14"/>
        <v>159.69</v>
      </c>
      <c r="H36" s="7">
        <v>0</v>
      </c>
      <c r="I36" s="7">
        <f>0.01+26.6</f>
        <v>26.610000000000003</v>
      </c>
      <c r="J36" s="9">
        <v>45677</v>
      </c>
      <c r="K36" s="9"/>
      <c r="L36" s="5"/>
      <c r="M36" s="7">
        <v>20.5</v>
      </c>
      <c r="N36" s="5"/>
      <c r="O36" s="11">
        <f>16.96+22.37</f>
        <v>39.33</v>
      </c>
      <c r="P36" s="4">
        <v>1</v>
      </c>
      <c r="Q36" s="8">
        <f t="shared" si="19"/>
        <v>146.97000000000003</v>
      </c>
      <c r="R36" s="12" t="s">
        <v>66</v>
      </c>
      <c r="S36" s="14"/>
      <c r="T36" s="8">
        <f t="shared" si="10"/>
        <v>146.97000000000003</v>
      </c>
    </row>
    <row r="37" spans="1:20" ht="46.8" x14ac:dyDescent="0.3">
      <c r="A37" s="3" t="s">
        <v>68</v>
      </c>
      <c r="B37" s="4">
        <v>1</v>
      </c>
      <c r="C37" s="5">
        <v>172.69</v>
      </c>
      <c r="D37" s="6">
        <f t="shared" si="13"/>
        <v>3.7118536105159514E-2</v>
      </c>
      <c r="E37" s="7">
        <v>0</v>
      </c>
      <c r="F37" s="7">
        <v>166.28</v>
      </c>
      <c r="G37" s="8">
        <f t="shared" si="14"/>
        <v>166.28</v>
      </c>
      <c r="H37" s="7">
        <v>0</v>
      </c>
      <c r="I37" s="7">
        <f>0.01+28.28</f>
        <v>28.290000000000003</v>
      </c>
      <c r="J37" s="9">
        <v>45677</v>
      </c>
      <c r="K37" s="9"/>
      <c r="L37" s="5"/>
      <c r="M37" s="7">
        <v>20.5</v>
      </c>
      <c r="N37" s="5"/>
      <c r="O37" s="11">
        <f>18+23.73</f>
        <v>41.730000000000004</v>
      </c>
      <c r="P37" s="4">
        <v>1</v>
      </c>
      <c r="Q37" s="8">
        <f t="shared" si="19"/>
        <v>152.83999999999997</v>
      </c>
      <c r="R37" s="12"/>
      <c r="S37" s="14"/>
      <c r="T37" s="8">
        <f t="shared" si="10"/>
        <v>152.83999999999997</v>
      </c>
    </row>
    <row r="38" spans="1:20" ht="31.2" x14ac:dyDescent="0.3">
      <c r="A38" s="3" t="s">
        <v>70</v>
      </c>
      <c r="B38" s="4">
        <v>1</v>
      </c>
      <c r="C38" s="5">
        <v>225.35</v>
      </c>
      <c r="D38" s="6">
        <f t="shared" si="13"/>
        <v>-1.2203239405369427E-2</v>
      </c>
      <c r="E38" s="7">
        <v>0</v>
      </c>
      <c r="F38" s="7">
        <v>228.1</v>
      </c>
      <c r="G38" s="8">
        <f t="shared" si="14"/>
        <v>228.1</v>
      </c>
      <c r="H38" s="7">
        <v>0</v>
      </c>
      <c r="I38" s="7">
        <f>0.03+38.86</f>
        <v>38.89</v>
      </c>
      <c r="J38" s="9">
        <v>45677</v>
      </c>
      <c r="K38" s="9"/>
      <c r="L38" s="5"/>
      <c r="M38" s="7">
        <v>20.5</v>
      </c>
      <c r="N38" s="5"/>
      <c r="O38" s="11">
        <f>24.69+32.54</f>
        <v>57.230000000000004</v>
      </c>
      <c r="P38" s="4">
        <v>1</v>
      </c>
      <c r="Q38" s="8">
        <f t="shared" si="19"/>
        <v>209.76</v>
      </c>
      <c r="R38" s="12" t="s">
        <v>69</v>
      </c>
      <c r="S38" s="14"/>
      <c r="T38" s="8">
        <f t="shared" si="10"/>
        <v>209.76</v>
      </c>
    </row>
    <row r="39" spans="1:20" ht="31.2" x14ac:dyDescent="0.3">
      <c r="A39" s="3" t="s">
        <v>71</v>
      </c>
      <c r="B39" s="4">
        <v>1</v>
      </c>
      <c r="C39" s="5">
        <v>225.35</v>
      </c>
      <c r="D39" s="6">
        <f t="shared" si="13"/>
        <v>2.1610827601508786E-2</v>
      </c>
      <c r="E39" s="7">
        <v>0</v>
      </c>
      <c r="F39" s="7">
        <v>220.48</v>
      </c>
      <c r="G39" s="8">
        <f t="shared" si="14"/>
        <v>220.48</v>
      </c>
      <c r="H39" s="7">
        <v>0</v>
      </c>
      <c r="I39" s="7">
        <f>0.03+37.58</f>
        <v>37.61</v>
      </c>
      <c r="J39" s="9">
        <v>45677</v>
      </c>
      <c r="K39" s="9"/>
      <c r="L39" s="5"/>
      <c r="M39" s="7">
        <v>20.5</v>
      </c>
      <c r="N39" s="5"/>
      <c r="O39" s="11">
        <f>23.86+31.47</f>
        <v>55.33</v>
      </c>
      <c r="P39" s="4">
        <v>1</v>
      </c>
      <c r="Q39" s="8">
        <f t="shared" si="19"/>
        <v>202.76</v>
      </c>
      <c r="R39" s="12"/>
      <c r="S39" s="14"/>
      <c r="T39" s="8">
        <f t="shared" si="10"/>
        <v>202.76</v>
      </c>
    </row>
    <row r="40" spans="1:20" ht="46.8" x14ac:dyDescent="0.3">
      <c r="A40" s="3" t="s">
        <v>73</v>
      </c>
      <c r="B40" s="4">
        <v>1</v>
      </c>
      <c r="C40" s="5">
        <v>405.4</v>
      </c>
      <c r="D40" s="6">
        <f t="shared" si="13"/>
        <v>0.63613714849531333</v>
      </c>
      <c r="E40" s="7">
        <v>0</v>
      </c>
      <c r="F40" s="7">
        <v>147.51</v>
      </c>
      <c r="G40" s="8">
        <f t="shared" si="14"/>
        <v>147.51</v>
      </c>
      <c r="H40" s="7">
        <v>0</v>
      </c>
      <c r="I40" s="7">
        <f>0.02+24.93</f>
        <v>24.95</v>
      </c>
      <c r="J40" s="9">
        <v>45677</v>
      </c>
      <c r="K40" s="9"/>
      <c r="L40" s="5"/>
      <c r="M40" s="7">
        <v>20.5</v>
      </c>
      <c r="N40" s="5"/>
      <c r="O40" s="11">
        <f>1.48+15.81+20.84</f>
        <v>38.129999999999995</v>
      </c>
      <c r="P40" s="4">
        <v>1</v>
      </c>
      <c r="Q40" s="8">
        <f t="shared" si="19"/>
        <v>134.32999999999998</v>
      </c>
      <c r="R40" s="12" t="s">
        <v>72</v>
      </c>
      <c r="S40" s="14"/>
      <c r="T40" s="8">
        <f t="shared" si="10"/>
        <v>134.32999999999998</v>
      </c>
    </row>
    <row r="41" spans="1:20" ht="31.2" x14ac:dyDescent="0.3">
      <c r="A41" s="3" t="s">
        <v>124</v>
      </c>
      <c r="B41" s="4">
        <v>1</v>
      </c>
      <c r="C41" s="5">
        <v>361.42</v>
      </c>
      <c r="D41" s="6">
        <f t="shared" si="13"/>
        <v>0.40221902495711359</v>
      </c>
      <c r="E41" s="7">
        <v>0</v>
      </c>
      <c r="F41" s="7">
        <v>216.05</v>
      </c>
      <c r="G41" s="8">
        <f t="shared" si="14"/>
        <v>216.05</v>
      </c>
      <c r="H41" s="7">
        <v>0</v>
      </c>
      <c r="I41" s="7">
        <v>36.64</v>
      </c>
      <c r="J41" s="9">
        <v>45677</v>
      </c>
      <c r="K41" s="9"/>
      <c r="L41" s="5"/>
      <c r="M41" s="7">
        <v>20.5</v>
      </c>
      <c r="N41" s="5"/>
      <c r="O41" s="11">
        <v>23.38</v>
      </c>
      <c r="P41" s="4">
        <v>1</v>
      </c>
      <c r="Q41" s="8">
        <f t="shared" si="19"/>
        <v>229.31</v>
      </c>
      <c r="R41" s="12" t="s">
        <v>74</v>
      </c>
      <c r="S41" s="14"/>
      <c r="T41" s="8">
        <f t="shared" si="10"/>
        <v>229.31</v>
      </c>
    </row>
    <row r="42" spans="1:20" ht="31.2" x14ac:dyDescent="0.3">
      <c r="A42" s="3" t="s">
        <v>76</v>
      </c>
      <c r="B42" s="4">
        <v>1</v>
      </c>
      <c r="C42" s="5">
        <v>383.09</v>
      </c>
      <c r="D42" s="6">
        <f t="shared" si="13"/>
        <v>0.47798167532433639</v>
      </c>
      <c r="E42" s="7">
        <v>0</v>
      </c>
      <c r="F42" s="7">
        <v>199.98</v>
      </c>
      <c r="G42" s="8">
        <f t="shared" si="14"/>
        <v>199.98</v>
      </c>
      <c r="H42" s="7">
        <v>0</v>
      </c>
      <c r="I42" s="7">
        <f>0.02+34</f>
        <v>34.020000000000003</v>
      </c>
      <c r="J42" s="9">
        <v>45677</v>
      </c>
      <c r="K42" s="9"/>
      <c r="L42" s="5"/>
      <c r="M42" s="7">
        <v>20.5</v>
      </c>
      <c r="N42" s="5"/>
      <c r="O42" s="11">
        <f>21.64+28.55</f>
        <v>50.19</v>
      </c>
      <c r="P42" s="4">
        <v>1</v>
      </c>
      <c r="Q42" s="8">
        <f t="shared" si="19"/>
        <v>183.81</v>
      </c>
      <c r="R42" s="12" t="s">
        <v>75</v>
      </c>
      <c r="S42" s="14"/>
      <c r="T42" s="8">
        <f t="shared" si="10"/>
        <v>183.81</v>
      </c>
    </row>
    <row r="43" spans="1:20" ht="46.8" x14ac:dyDescent="0.3">
      <c r="A43" s="3" t="s">
        <v>78</v>
      </c>
      <c r="B43" s="4">
        <v>1</v>
      </c>
      <c r="C43" s="5">
        <v>448.57</v>
      </c>
      <c r="D43" s="6">
        <f t="shared" si="13"/>
        <v>0.6725148806206388</v>
      </c>
      <c r="E43" s="7">
        <v>0</v>
      </c>
      <c r="F43" s="7">
        <v>146.9</v>
      </c>
      <c r="G43" s="8">
        <f t="shared" si="14"/>
        <v>146.9</v>
      </c>
      <c r="H43" s="7">
        <v>0</v>
      </c>
      <c r="I43" s="7">
        <f>0.01+24.92</f>
        <v>24.930000000000003</v>
      </c>
      <c r="J43" s="9">
        <v>45677</v>
      </c>
      <c r="K43" s="9"/>
      <c r="L43" s="5"/>
      <c r="M43" s="7">
        <v>20.5</v>
      </c>
      <c r="N43" s="5"/>
      <c r="O43" s="11">
        <f>15.9+20.95</f>
        <v>36.85</v>
      </c>
      <c r="P43" s="4">
        <v>1</v>
      </c>
      <c r="Q43" s="8">
        <f t="shared" si="19"/>
        <v>134.98000000000002</v>
      </c>
      <c r="R43" s="12" t="s">
        <v>77</v>
      </c>
      <c r="S43" s="14"/>
      <c r="T43" s="8">
        <f t="shared" si="10"/>
        <v>134.98000000000002</v>
      </c>
    </row>
    <row r="44" spans="1:20" ht="31.2" x14ac:dyDescent="0.3">
      <c r="A44" s="3" t="s">
        <v>80</v>
      </c>
      <c r="B44" s="4">
        <v>1</v>
      </c>
      <c r="C44" s="5">
        <v>225.46</v>
      </c>
      <c r="D44" s="6">
        <f t="shared" si="13"/>
        <v>3.6769271711168366E-2</v>
      </c>
      <c r="E44" s="7">
        <v>0</v>
      </c>
      <c r="F44" s="7">
        <v>217.17</v>
      </c>
      <c r="G44" s="8">
        <f t="shared" si="14"/>
        <v>217.17</v>
      </c>
      <c r="H44" s="7">
        <v>0</v>
      </c>
      <c r="I44" s="7">
        <f>0.02+36.95</f>
        <v>36.970000000000006</v>
      </c>
      <c r="J44" s="9">
        <v>45677</v>
      </c>
      <c r="K44" s="9"/>
      <c r="L44" s="5"/>
      <c r="M44" s="7">
        <v>20.5</v>
      </c>
      <c r="N44" s="5"/>
      <c r="O44" s="11">
        <f>23.5+30.98</f>
        <v>54.480000000000004</v>
      </c>
      <c r="P44" s="4">
        <v>1</v>
      </c>
      <c r="Q44" s="8">
        <f t="shared" si="19"/>
        <v>199.65999999999997</v>
      </c>
      <c r="R44" s="12" t="s">
        <v>79</v>
      </c>
      <c r="S44" s="14"/>
      <c r="T44" s="8">
        <f t="shared" si="10"/>
        <v>199.65999999999997</v>
      </c>
    </row>
    <row r="45" spans="1:20" ht="31.2" x14ac:dyDescent="0.3">
      <c r="A45" s="3" t="s">
        <v>82</v>
      </c>
      <c r="B45" s="4">
        <v>1</v>
      </c>
      <c r="C45" s="5">
        <v>278.32</v>
      </c>
      <c r="D45" s="6">
        <f t="shared" si="13"/>
        <v>0.3550589249784421</v>
      </c>
      <c r="E45" s="7">
        <v>0</v>
      </c>
      <c r="F45" s="7">
        <v>179.5</v>
      </c>
      <c r="G45" s="8">
        <f t="shared" si="14"/>
        <v>179.5</v>
      </c>
      <c r="H45" s="7">
        <v>0</v>
      </c>
      <c r="I45" s="7">
        <f>0.01+30.2</f>
        <v>30.21</v>
      </c>
      <c r="J45" s="9">
        <v>45677</v>
      </c>
      <c r="K45" s="9"/>
      <c r="L45" s="5"/>
      <c r="M45" s="7">
        <v>20.5</v>
      </c>
      <c r="N45" s="5"/>
      <c r="O45" s="11">
        <f>1.8+19.23+25.36</f>
        <v>46.39</v>
      </c>
      <c r="P45" s="4">
        <v>1</v>
      </c>
      <c r="Q45" s="8">
        <f t="shared" si="19"/>
        <v>163.32</v>
      </c>
      <c r="R45" s="12" t="s">
        <v>81</v>
      </c>
      <c r="S45" s="14"/>
      <c r="T45" s="8">
        <f t="shared" si="10"/>
        <v>163.32</v>
      </c>
    </row>
    <row r="46" spans="1:20" ht="31.2" x14ac:dyDescent="0.3">
      <c r="A46" s="3" t="s">
        <v>84</v>
      </c>
      <c r="B46" s="4">
        <v>1</v>
      </c>
      <c r="C46" s="5">
        <v>548.29999999999995</v>
      </c>
      <c r="D46" s="6">
        <f t="shared" si="13"/>
        <v>0.6876345066569397</v>
      </c>
      <c r="E46" s="7">
        <v>0</v>
      </c>
      <c r="F46" s="7">
        <v>171.27</v>
      </c>
      <c r="G46" s="8">
        <f t="shared" si="14"/>
        <v>171.27</v>
      </c>
      <c r="H46" s="7">
        <v>0</v>
      </c>
      <c r="I46" s="7">
        <f>0.03+28.92</f>
        <v>28.950000000000003</v>
      </c>
      <c r="J46" s="9">
        <v>45677</v>
      </c>
      <c r="K46" s="9"/>
      <c r="L46" s="5"/>
      <c r="M46" s="7">
        <v>20.5</v>
      </c>
      <c r="N46" s="5"/>
      <c r="O46" s="11">
        <f>1.71+18.35+24.22</f>
        <v>44.28</v>
      </c>
      <c r="P46" s="4">
        <v>1</v>
      </c>
      <c r="Q46" s="8">
        <f t="shared" si="19"/>
        <v>155.94000000000003</v>
      </c>
      <c r="R46" s="12" t="s">
        <v>83</v>
      </c>
      <c r="S46" s="14"/>
      <c r="T46" s="8">
        <f t="shared" si="10"/>
        <v>155.94000000000003</v>
      </c>
    </row>
    <row r="47" spans="1:20" ht="46.8" x14ac:dyDescent="0.3">
      <c r="A47" s="3" t="s">
        <v>126</v>
      </c>
      <c r="B47" s="4">
        <v>1</v>
      </c>
      <c r="C47" s="5">
        <v>572.12</v>
      </c>
      <c r="D47" s="6">
        <f t="shared" si="13"/>
        <v>0.66304271831084394</v>
      </c>
      <c r="E47" s="7">
        <v>0</v>
      </c>
      <c r="F47" s="7">
        <v>192.78</v>
      </c>
      <c r="G47" s="8">
        <f t="shared" si="14"/>
        <v>192.78</v>
      </c>
      <c r="H47" s="7">
        <v>0</v>
      </c>
      <c r="I47" s="7">
        <f>0.07+33.97</f>
        <v>34.04</v>
      </c>
      <c r="J47" s="9">
        <v>45680</v>
      </c>
      <c r="K47" s="9"/>
      <c r="L47" s="5"/>
      <c r="M47" s="7">
        <v>20.38</v>
      </c>
      <c r="N47" s="5"/>
      <c r="O47" s="11">
        <f>1.98+18.11+28.59</f>
        <v>48.68</v>
      </c>
      <c r="P47" s="4">
        <v>1</v>
      </c>
      <c r="Q47" s="8">
        <f t="shared" si="19"/>
        <v>178.14</v>
      </c>
      <c r="R47" s="12" t="s">
        <v>125</v>
      </c>
      <c r="S47" s="14"/>
      <c r="T47" s="8">
        <f t="shared" si="10"/>
        <v>178.14</v>
      </c>
    </row>
    <row r="48" spans="1:20" ht="31.2" x14ac:dyDescent="0.3">
      <c r="A48" s="3" t="s">
        <v>127</v>
      </c>
      <c r="B48" s="4">
        <v>1</v>
      </c>
      <c r="C48" s="5">
        <v>177.84</v>
      </c>
      <c r="D48" s="6">
        <f t="shared" si="13"/>
        <v>3.671839856050383E-2</v>
      </c>
      <c r="E48" s="7">
        <v>0</v>
      </c>
      <c r="F48" s="7">
        <v>171.31</v>
      </c>
      <c r="G48" s="8">
        <f t="shared" si="14"/>
        <v>171.31</v>
      </c>
      <c r="H48" s="7">
        <v>0</v>
      </c>
      <c r="I48" s="7">
        <f>0.05+29.6</f>
        <v>29.650000000000002</v>
      </c>
      <c r="J48" s="9">
        <v>45680</v>
      </c>
      <c r="K48" s="9"/>
      <c r="L48" s="5"/>
      <c r="M48" s="7">
        <v>20.38</v>
      </c>
      <c r="N48" s="5"/>
      <c r="O48" s="11">
        <f>15.77+24.88</f>
        <v>40.65</v>
      </c>
      <c r="P48" s="4">
        <v>1</v>
      </c>
      <c r="Q48" s="8">
        <f t="shared" si="19"/>
        <v>160.31</v>
      </c>
      <c r="R48" s="12" t="s">
        <v>128</v>
      </c>
      <c r="S48" s="14"/>
      <c r="T48" s="8">
        <f t="shared" si="10"/>
        <v>160.31</v>
      </c>
    </row>
    <row r="49" spans="1:20" ht="46.8" x14ac:dyDescent="0.3">
      <c r="A49" s="3" t="s">
        <v>130</v>
      </c>
      <c r="B49" s="4">
        <v>1</v>
      </c>
      <c r="C49" s="7">
        <v>135.66</v>
      </c>
      <c r="D49" s="6">
        <f t="shared" si="13"/>
        <v>0</v>
      </c>
      <c r="E49" s="7">
        <v>0</v>
      </c>
      <c r="F49" s="7">
        <v>135.66</v>
      </c>
      <c r="G49" s="8">
        <f t="shared" si="14"/>
        <v>135.66</v>
      </c>
      <c r="H49" s="7">
        <v>0</v>
      </c>
      <c r="I49" s="7">
        <f>0.01+23.41</f>
        <v>23.42</v>
      </c>
      <c r="J49" s="9">
        <v>45680</v>
      </c>
      <c r="K49" s="9"/>
      <c r="L49" s="5"/>
      <c r="M49" s="7">
        <v>20.38</v>
      </c>
      <c r="N49" s="5"/>
      <c r="O49" s="11">
        <f>12.49+19.65</f>
        <v>32.14</v>
      </c>
      <c r="P49" s="4">
        <v>1</v>
      </c>
      <c r="Q49" s="8">
        <f t="shared" si="19"/>
        <v>126.93999999999998</v>
      </c>
      <c r="R49" s="12" t="s">
        <v>129</v>
      </c>
      <c r="S49" s="14"/>
      <c r="T49" s="8">
        <f t="shared" si="10"/>
        <v>126.93999999999998</v>
      </c>
    </row>
    <row r="50" spans="1:20" ht="31.2" x14ac:dyDescent="0.3">
      <c r="A50" s="3" t="s">
        <v>132</v>
      </c>
      <c r="B50" s="4">
        <v>1</v>
      </c>
      <c r="C50" s="5">
        <v>162.12</v>
      </c>
      <c r="D50" s="6">
        <f t="shared" ref="D50:D65" si="20">(((C50-F50)*100)/C50)/100</f>
        <v>3.9106834443622028E-2</v>
      </c>
      <c r="E50" s="7">
        <v>0</v>
      </c>
      <c r="F50" s="7">
        <v>155.78</v>
      </c>
      <c r="G50" s="8">
        <f t="shared" ref="G50:G65" si="21">B50*F50</f>
        <v>155.78</v>
      </c>
      <c r="H50" s="7">
        <v>0</v>
      </c>
      <c r="I50" s="7">
        <f>0.04+25.62</f>
        <v>25.66</v>
      </c>
      <c r="J50" s="9">
        <v>45680</v>
      </c>
      <c r="K50" s="9"/>
      <c r="L50" s="5"/>
      <c r="M50" s="7">
        <v>20.38</v>
      </c>
      <c r="N50" s="5"/>
      <c r="O50" s="11">
        <f>7.79+13.63+21.51</f>
        <v>42.930000000000007</v>
      </c>
      <c r="P50" s="4">
        <v>1</v>
      </c>
      <c r="Q50" s="8">
        <f t="shared" si="19"/>
        <v>138.51</v>
      </c>
      <c r="R50" s="12" t="s">
        <v>131</v>
      </c>
      <c r="S50" s="14"/>
      <c r="T50" s="8">
        <f t="shared" si="10"/>
        <v>138.51</v>
      </c>
    </row>
    <row r="51" spans="1:20" ht="31.2" x14ac:dyDescent="0.3">
      <c r="A51" s="3" t="s">
        <v>134</v>
      </c>
      <c r="B51" s="4">
        <v>1</v>
      </c>
      <c r="C51" s="5">
        <v>181.84</v>
      </c>
      <c r="D51" s="6">
        <f t="shared" si="20"/>
        <v>0.45639023317201932</v>
      </c>
      <c r="E51" s="7">
        <v>0</v>
      </c>
      <c r="F51" s="7">
        <v>98.85</v>
      </c>
      <c r="G51" s="8">
        <f t="shared" si="21"/>
        <v>98.85</v>
      </c>
      <c r="H51" s="7">
        <v>0</v>
      </c>
      <c r="I51" s="7">
        <f>0.03+17.08</f>
        <v>17.11</v>
      </c>
      <c r="J51" s="9">
        <v>45680</v>
      </c>
      <c r="K51" s="9"/>
      <c r="L51" s="5"/>
      <c r="M51" s="7">
        <v>20.38</v>
      </c>
      <c r="N51" s="5"/>
      <c r="O51" s="11">
        <f>0.98+8.71+14.26</f>
        <v>23.950000000000003</v>
      </c>
      <c r="P51" s="4">
        <v>1</v>
      </c>
      <c r="Q51" s="8">
        <f t="shared" si="19"/>
        <v>92.009999999999991</v>
      </c>
      <c r="R51" s="12" t="s">
        <v>133</v>
      </c>
      <c r="S51" s="14"/>
      <c r="T51" s="8">
        <f t="shared" si="10"/>
        <v>92.009999999999991</v>
      </c>
    </row>
    <row r="52" spans="1:20" ht="46.8" x14ac:dyDescent="0.3">
      <c r="A52" s="3" t="s">
        <v>136</v>
      </c>
      <c r="B52" s="4">
        <v>1</v>
      </c>
      <c r="C52" s="5">
        <v>720.24</v>
      </c>
      <c r="D52" s="6">
        <f t="shared" si="20"/>
        <v>0.63949516827724084</v>
      </c>
      <c r="E52" s="7">
        <v>0</v>
      </c>
      <c r="F52" s="7">
        <v>259.64999999999998</v>
      </c>
      <c r="G52" s="8">
        <f t="shared" si="21"/>
        <v>259.64999999999998</v>
      </c>
      <c r="H52" s="7">
        <v>0</v>
      </c>
      <c r="I52" s="7">
        <f>0.06+45.01</f>
        <v>45.07</v>
      </c>
      <c r="J52" s="9">
        <v>45680</v>
      </c>
      <c r="K52" s="9"/>
      <c r="L52" s="5"/>
      <c r="M52" s="7">
        <v>20.38</v>
      </c>
      <c r="N52" s="5"/>
      <c r="O52" s="11">
        <f>23.11+37.85</f>
        <v>60.96</v>
      </c>
      <c r="P52" s="4">
        <v>1</v>
      </c>
      <c r="Q52" s="8">
        <f t="shared" si="19"/>
        <v>243.75999999999996</v>
      </c>
      <c r="R52" s="12" t="s">
        <v>135</v>
      </c>
      <c r="S52" s="14"/>
      <c r="T52" s="8">
        <f t="shared" si="10"/>
        <v>243.75999999999996</v>
      </c>
    </row>
    <row r="53" spans="1:20" ht="31.2" x14ac:dyDescent="0.3">
      <c r="A53" s="3" t="s">
        <v>138</v>
      </c>
      <c r="B53" s="4">
        <v>1</v>
      </c>
      <c r="C53" s="5">
        <v>144.84</v>
      </c>
      <c r="D53" s="6">
        <f t="shared" si="20"/>
        <v>0.46651477492405419</v>
      </c>
      <c r="E53" s="7">
        <v>0</v>
      </c>
      <c r="F53" s="7">
        <v>77.27</v>
      </c>
      <c r="G53" s="8">
        <f t="shared" si="21"/>
        <v>77.27</v>
      </c>
      <c r="H53" s="7">
        <v>0</v>
      </c>
      <c r="I53" s="7">
        <f>0.02+13.35</f>
        <v>13.37</v>
      </c>
      <c r="J53" s="9">
        <v>45680</v>
      </c>
      <c r="K53" s="9"/>
      <c r="L53" s="5"/>
      <c r="M53" s="7">
        <v>20.38</v>
      </c>
      <c r="N53" s="5"/>
      <c r="O53" s="11">
        <f>0.78+6.81+11.16</f>
        <v>18.75</v>
      </c>
      <c r="P53" s="4">
        <v>1</v>
      </c>
      <c r="Q53" s="8">
        <f t="shared" si="19"/>
        <v>71.89</v>
      </c>
      <c r="R53" s="12" t="s">
        <v>137</v>
      </c>
      <c r="S53" s="14"/>
      <c r="T53" s="8">
        <f t="shared" si="10"/>
        <v>71.89</v>
      </c>
    </row>
    <row r="54" spans="1:20" ht="31.2" x14ac:dyDescent="0.3">
      <c r="A54" s="3" t="s">
        <v>139</v>
      </c>
      <c r="B54" s="4">
        <v>1</v>
      </c>
      <c r="C54" s="5">
        <v>158.12</v>
      </c>
      <c r="D54" s="6">
        <f t="shared" si="20"/>
        <v>0.46654439666076397</v>
      </c>
      <c r="E54" s="7">
        <v>0</v>
      </c>
      <c r="F54" s="7">
        <v>84.35</v>
      </c>
      <c r="G54" s="8">
        <f t="shared" si="21"/>
        <v>84.35</v>
      </c>
      <c r="H54" s="7">
        <v>0</v>
      </c>
      <c r="I54" s="7">
        <f>0.02+14.58</f>
        <v>14.6</v>
      </c>
      <c r="J54" s="9">
        <v>45680</v>
      </c>
      <c r="K54" s="9"/>
      <c r="L54" s="5"/>
      <c r="M54" s="7">
        <v>20.38</v>
      </c>
      <c r="N54" s="5"/>
      <c r="O54" s="11">
        <f>0.83+7.43+12.16</f>
        <v>20.420000000000002</v>
      </c>
      <c r="P54" s="4">
        <v>1</v>
      </c>
      <c r="Q54" s="8">
        <f t="shared" si="19"/>
        <v>78.529999999999987</v>
      </c>
      <c r="R54" s="12"/>
      <c r="S54" s="14"/>
      <c r="T54" s="8">
        <f t="shared" si="10"/>
        <v>78.529999999999987</v>
      </c>
    </row>
    <row r="55" spans="1:20" ht="46.8" x14ac:dyDescent="0.3">
      <c r="A55" s="3" t="s">
        <v>141</v>
      </c>
      <c r="B55" s="4">
        <v>1</v>
      </c>
      <c r="C55" s="5">
        <v>506.83</v>
      </c>
      <c r="D55" s="6">
        <f t="shared" si="20"/>
        <v>0.68798216364461451</v>
      </c>
      <c r="E55" s="7">
        <v>0</v>
      </c>
      <c r="F55" s="7">
        <v>158.13999999999999</v>
      </c>
      <c r="G55" s="8">
        <f t="shared" si="21"/>
        <v>158.13999999999999</v>
      </c>
      <c r="H55" s="7">
        <v>0</v>
      </c>
      <c r="I55" s="7">
        <f>0.05+27.3</f>
        <v>27.35</v>
      </c>
      <c r="J55" s="9">
        <v>45680</v>
      </c>
      <c r="K55" s="9"/>
      <c r="L55" s="5"/>
      <c r="M55" s="7">
        <v>20.38</v>
      </c>
      <c r="N55" s="5"/>
      <c r="O55" s="11">
        <f>1.58+13.94+22.81</f>
        <v>38.33</v>
      </c>
      <c r="P55" s="4">
        <v>1</v>
      </c>
      <c r="Q55" s="8">
        <f t="shared" si="19"/>
        <v>147.15999999999997</v>
      </c>
      <c r="R55" s="12" t="s">
        <v>140</v>
      </c>
      <c r="S55" s="14"/>
      <c r="T55" s="8">
        <f t="shared" si="10"/>
        <v>147.15999999999997</v>
      </c>
    </row>
    <row r="56" spans="1:20" ht="31.2" x14ac:dyDescent="0.3">
      <c r="A56" s="3" t="s">
        <v>143</v>
      </c>
      <c r="B56" s="4">
        <v>1</v>
      </c>
      <c r="C56" s="5">
        <v>502.73</v>
      </c>
      <c r="D56" s="6">
        <f t="shared" si="20"/>
        <v>0.73256022119229003</v>
      </c>
      <c r="E56" s="7">
        <v>0</v>
      </c>
      <c r="F56" s="7">
        <v>134.44999999999999</v>
      </c>
      <c r="G56" s="8">
        <f t="shared" si="21"/>
        <v>134.44999999999999</v>
      </c>
      <c r="H56" s="7">
        <v>0</v>
      </c>
      <c r="I56" s="7">
        <f>0.05+23.33</f>
        <v>23.38</v>
      </c>
      <c r="J56" s="9">
        <v>45690</v>
      </c>
      <c r="K56" s="9"/>
      <c r="L56" s="5"/>
      <c r="M56" s="7">
        <v>20.67</v>
      </c>
      <c r="N56" s="5"/>
      <c r="O56" s="11">
        <f>11.85+19.62</f>
        <v>31.47</v>
      </c>
      <c r="P56" s="4">
        <v>1</v>
      </c>
      <c r="Q56" s="8">
        <f t="shared" si="19"/>
        <v>126.35999999999999</v>
      </c>
      <c r="R56" s="12" t="s">
        <v>142</v>
      </c>
      <c r="S56" s="14"/>
      <c r="T56" s="8">
        <f t="shared" si="10"/>
        <v>126.35999999999999</v>
      </c>
    </row>
    <row r="57" spans="1:20" ht="31.2" x14ac:dyDescent="0.3">
      <c r="A57" s="3" t="s">
        <v>145</v>
      </c>
      <c r="B57" s="4">
        <v>1</v>
      </c>
      <c r="C57" s="5">
        <v>412.03</v>
      </c>
      <c r="D57" s="6">
        <f t="shared" si="20"/>
        <v>0.58869499793704338</v>
      </c>
      <c r="E57" s="7">
        <v>0</v>
      </c>
      <c r="F57" s="7">
        <v>169.47</v>
      </c>
      <c r="G57" s="8">
        <f t="shared" si="21"/>
        <v>169.47</v>
      </c>
      <c r="H57" s="7">
        <v>0</v>
      </c>
      <c r="I57" s="7">
        <f>0.05+29.21</f>
        <v>29.26</v>
      </c>
      <c r="J57" s="9">
        <v>45690</v>
      </c>
      <c r="K57" s="9"/>
      <c r="L57" s="5"/>
      <c r="M57" s="7">
        <v>20.67</v>
      </c>
      <c r="N57" s="5"/>
      <c r="O57" s="11">
        <f>1.68+14.79+24.49</f>
        <v>40.959999999999994</v>
      </c>
      <c r="P57" s="4">
        <v>1</v>
      </c>
      <c r="Q57" s="8">
        <f t="shared" si="19"/>
        <v>157.76999999999998</v>
      </c>
      <c r="R57" s="12" t="s">
        <v>144</v>
      </c>
      <c r="S57" s="14"/>
      <c r="T57" s="8">
        <f t="shared" si="10"/>
        <v>157.76999999999998</v>
      </c>
    </row>
    <row r="58" spans="1:20" ht="31.2" x14ac:dyDescent="0.3">
      <c r="A58" s="3" t="s">
        <v>147</v>
      </c>
      <c r="B58" s="4">
        <v>1</v>
      </c>
      <c r="C58" s="5">
        <v>318.35000000000002</v>
      </c>
      <c r="D58" s="6">
        <f t="shared" si="20"/>
        <v>0.35797078686979744</v>
      </c>
      <c r="E58" s="7">
        <v>0</v>
      </c>
      <c r="F58" s="7">
        <v>204.39</v>
      </c>
      <c r="G58" s="8">
        <f t="shared" si="21"/>
        <v>204.39</v>
      </c>
      <c r="H58" s="7">
        <v>0</v>
      </c>
      <c r="I58" s="7">
        <f>0.07+35.12</f>
        <v>35.19</v>
      </c>
      <c r="J58" s="9">
        <v>45690</v>
      </c>
      <c r="K58" s="9"/>
      <c r="L58" s="5"/>
      <c r="M58" s="7">
        <v>20.67</v>
      </c>
      <c r="N58" s="5"/>
      <c r="O58" s="11">
        <f>2.06+17.84+29.53</f>
        <v>49.43</v>
      </c>
      <c r="P58" s="4">
        <v>1</v>
      </c>
      <c r="Q58" s="8">
        <f t="shared" si="19"/>
        <v>190.14999999999998</v>
      </c>
      <c r="R58" s="12" t="s">
        <v>146</v>
      </c>
      <c r="S58" s="14"/>
      <c r="T58" s="8">
        <f t="shared" si="10"/>
        <v>190.14999999999998</v>
      </c>
    </row>
    <row r="59" spans="1:20" ht="46.8" x14ac:dyDescent="0.3">
      <c r="A59" s="3" t="s">
        <v>149</v>
      </c>
      <c r="B59" s="4">
        <v>1</v>
      </c>
      <c r="C59" s="5">
        <v>479.1</v>
      </c>
      <c r="D59" s="6">
        <f t="shared" si="20"/>
        <v>0.62878313504487582</v>
      </c>
      <c r="E59" s="7">
        <v>0</v>
      </c>
      <c r="F59" s="7">
        <v>177.85</v>
      </c>
      <c r="G59" s="8">
        <f t="shared" si="21"/>
        <v>177.85</v>
      </c>
      <c r="H59" s="7">
        <v>0</v>
      </c>
      <c r="I59" s="7">
        <f>0.05+30.69</f>
        <v>30.740000000000002</v>
      </c>
      <c r="J59" s="9">
        <v>45690</v>
      </c>
      <c r="K59" s="9"/>
      <c r="L59" s="5"/>
      <c r="M59" s="7">
        <v>20.67</v>
      </c>
      <c r="N59" s="5"/>
      <c r="O59" s="11">
        <f>1.77+15.52+25.68</f>
        <v>42.97</v>
      </c>
      <c r="P59" s="4">
        <v>1</v>
      </c>
      <c r="Q59" s="8">
        <f t="shared" si="19"/>
        <v>165.62</v>
      </c>
      <c r="R59" s="12" t="s">
        <v>148</v>
      </c>
      <c r="S59" s="14"/>
      <c r="T59" s="8">
        <f t="shared" si="10"/>
        <v>165.62</v>
      </c>
    </row>
    <row r="60" spans="1:20" ht="31.2" x14ac:dyDescent="0.3">
      <c r="A60" s="3" t="s">
        <v>151</v>
      </c>
      <c r="B60" s="4">
        <v>1</v>
      </c>
      <c r="C60" s="5">
        <v>277.83</v>
      </c>
      <c r="D60" s="6">
        <f t="shared" si="20"/>
        <v>0.47838606342007706</v>
      </c>
      <c r="E60" s="7">
        <v>0</v>
      </c>
      <c r="F60" s="7">
        <v>144.91999999999999</v>
      </c>
      <c r="G60" s="8">
        <f t="shared" si="21"/>
        <v>144.91999999999999</v>
      </c>
      <c r="H60" s="7">
        <v>0</v>
      </c>
      <c r="I60" s="7">
        <f>0.01+24.81</f>
        <v>24.82</v>
      </c>
      <c r="J60" s="9">
        <v>45690</v>
      </c>
      <c r="K60" s="9"/>
      <c r="L60" s="5"/>
      <c r="M60" s="7">
        <v>20.67</v>
      </c>
      <c r="N60" s="5"/>
      <c r="O60" s="11">
        <f>1.45+13.97+20.72</f>
        <v>36.14</v>
      </c>
      <c r="P60" s="4">
        <v>1</v>
      </c>
      <c r="Q60" s="8">
        <f t="shared" si="19"/>
        <v>133.59999999999997</v>
      </c>
      <c r="R60" s="12" t="s">
        <v>150</v>
      </c>
      <c r="S60" s="14"/>
      <c r="T60" s="8">
        <f t="shared" si="10"/>
        <v>133.59999999999997</v>
      </c>
    </row>
    <row r="61" spans="1:20" ht="31.2" x14ac:dyDescent="0.3">
      <c r="A61" s="3" t="s">
        <v>151</v>
      </c>
      <c r="B61" s="4">
        <v>1</v>
      </c>
      <c r="C61" s="5">
        <v>274.19</v>
      </c>
      <c r="D61" s="6">
        <f t="shared" si="20"/>
        <v>0.46828841314417013</v>
      </c>
      <c r="E61" s="7">
        <v>0</v>
      </c>
      <c r="F61" s="7">
        <v>145.79</v>
      </c>
      <c r="G61" s="8">
        <f t="shared" si="21"/>
        <v>145.79</v>
      </c>
      <c r="H61" s="7">
        <v>0</v>
      </c>
      <c r="I61" s="7">
        <f>0.03+24.81</f>
        <v>24.84</v>
      </c>
      <c r="J61" s="9">
        <v>45690</v>
      </c>
      <c r="K61" s="9"/>
      <c r="L61" s="5"/>
      <c r="M61" s="7">
        <v>20.67</v>
      </c>
      <c r="N61" s="5"/>
      <c r="O61" s="11">
        <f>1.45+14.06+20.84</f>
        <v>36.35</v>
      </c>
      <c r="P61" s="4">
        <v>1</v>
      </c>
      <c r="Q61" s="8">
        <f t="shared" si="19"/>
        <v>134.28</v>
      </c>
      <c r="R61" s="12"/>
      <c r="S61" s="14"/>
      <c r="T61" s="8">
        <f t="shared" si="10"/>
        <v>134.28</v>
      </c>
    </row>
    <row r="62" spans="1:20" ht="31.2" x14ac:dyDescent="0.3">
      <c r="A62" s="3" t="s">
        <v>153</v>
      </c>
      <c r="B62" s="4">
        <v>1</v>
      </c>
      <c r="C62" s="7">
        <v>285.02</v>
      </c>
      <c r="D62" s="6">
        <f t="shared" si="20"/>
        <v>0.44821416040979573</v>
      </c>
      <c r="E62" s="7">
        <v>0</v>
      </c>
      <c r="F62" s="7">
        <v>157.27000000000001</v>
      </c>
      <c r="G62" s="8">
        <f t="shared" si="21"/>
        <v>157.27000000000001</v>
      </c>
      <c r="H62" s="7">
        <v>0</v>
      </c>
      <c r="I62" s="7">
        <f>0.04+26.92</f>
        <v>26.96</v>
      </c>
      <c r="J62" s="9">
        <v>45690</v>
      </c>
      <c r="K62" s="9"/>
      <c r="L62" s="5"/>
      <c r="M62" s="7">
        <v>20.67</v>
      </c>
      <c r="N62" s="5"/>
      <c r="O62" s="11">
        <f>1.56+15.17+22.49</f>
        <v>39.22</v>
      </c>
      <c r="P62" s="4">
        <v>1</v>
      </c>
      <c r="Q62" s="8">
        <f t="shared" si="19"/>
        <v>145.01000000000002</v>
      </c>
      <c r="R62" s="12" t="s">
        <v>152</v>
      </c>
      <c r="S62" s="14"/>
      <c r="T62" s="8">
        <f t="shared" si="10"/>
        <v>145.01000000000002</v>
      </c>
    </row>
    <row r="63" spans="1:20" ht="31.2" x14ac:dyDescent="0.3">
      <c r="A63" s="3" t="s">
        <v>155</v>
      </c>
      <c r="B63" s="4">
        <v>1</v>
      </c>
      <c r="C63" s="5">
        <v>379.59</v>
      </c>
      <c r="D63" s="6">
        <f t="shared" si="20"/>
        <v>0.52851761110672035</v>
      </c>
      <c r="E63" s="7">
        <v>0</v>
      </c>
      <c r="F63" s="7">
        <v>178.97</v>
      </c>
      <c r="G63" s="8">
        <f t="shared" si="21"/>
        <v>178.97</v>
      </c>
      <c r="H63" s="7">
        <v>0</v>
      </c>
      <c r="I63" s="7">
        <f>0.03+30.49</f>
        <v>30.52</v>
      </c>
      <c r="J63" s="9">
        <v>45690</v>
      </c>
      <c r="K63" s="9"/>
      <c r="L63" s="5"/>
      <c r="M63" s="7">
        <v>20.67</v>
      </c>
      <c r="N63" s="5"/>
      <c r="O63" s="11">
        <f>1.8+17.26+25.59</f>
        <v>44.650000000000006</v>
      </c>
      <c r="P63" s="4">
        <v>1</v>
      </c>
      <c r="Q63" s="8">
        <f t="shared" si="19"/>
        <v>164.84</v>
      </c>
      <c r="R63" s="12" t="s">
        <v>154</v>
      </c>
      <c r="S63" s="14"/>
      <c r="T63" s="8">
        <f t="shared" si="10"/>
        <v>164.84</v>
      </c>
    </row>
    <row r="64" spans="1:20" ht="31.2" x14ac:dyDescent="0.3">
      <c r="A64" s="3" t="s">
        <v>173</v>
      </c>
      <c r="B64" s="4">
        <v>1</v>
      </c>
      <c r="C64" s="5">
        <v>585.80999999999995</v>
      </c>
      <c r="D64" s="6">
        <f t="shared" si="20"/>
        <v>0.5845239924207507</v>
      </c>
      <c r="E64" s="7">
        <v>0</v>
      </c>
      <c r="F64" s="7">
        <v>243.39</v>
      </c>
      <c r="G64" s="8">
        <f t="shared" si="21"/>
        <v>243.39</v>
      </c>
      <c r="H64" s="7">
        <v>0</v>
      </c>
      <c r="I64" s="7">
        <f>0.03+41.41</f>
        <v>41.44</v>
      </c>
      <c r="J64" s="9">
        <v>45690</v>
      </c>
      <c r="K64" s="9"/>
      <c r="L64" s="5"/>
      <c r="M64" s="7">
        <v>20.67</v>
      </c>
      <c r="N64" s="5"/>
      <c r="O64" s="11">
        <f>2.43+23.47+34.8</f>
        <v>60.699999999999996</v>
      </c>
      <c r="P64" s="4">
        <v>1</v>
      </c>
      <c r="Q64" s="8">
        <f t="shared" si="19"/>
        <v>224.13</v>
      </c>
      <c r="R64" s="12" t="s">
        <v>156</v>
      </c>
      <c r="S64" s="14"/>
      <c r="T64" s="8">
        <f t="shared" si="10"/>
        <v>224.13</v>
      </c>
    </row>
    <row r="65" spans="1:20" ht="31.2" x14ac:dyDescent="0.3">
      <c r="A65" s="3" t="s">
        <v>158</v>
      </c>
      <c r="B65" s="4">
        <v>1</v>
      </c>
      <c r="C65" s="5">
        <v>445.86</v>
      </c>
      <c r="D65" s="6">
        <f t="shared" si="20"/>
        <v>0.58031669133808816</v>
      </c>
      <c r="E65" s="7">
        <v>0</v>
      </c>
      <c r="F65" s="7">
        <v>187.12</v>
      </c>
      <c r="G65" s="8">
        <f t="shared" si="21"/>
        <v>187.12</v>
      </c>
      <c r="H65" s="7">
        <v>0</v>
      </c>
      <c r="I65" s="7">
        <f>0.01+32.17</f>
        <v>32.18</v>
      </c>
      <c r="J65" s="9">
        <v>45690</v>
      </c>
      <c r="K65" s="9"/>
      <c r="L65" s="5"/>
      <c r="M65" s="7">
        <v>20.67</v>
      </c>
      <c r="N65" s="5"/>
      <c r="O65" s="11">
        <f>18.23+27.01</f>
        <v>45.24</v>
      </c>
      <c r="P65" s="4">
        <v>1</v>
      </c>
      <c r="Q65" s="8">
        <f t="shared" si="19"/>
        <v>174.06</v>
      </c>
      <c r="R65" s="12" t="s">
        <v>157</v>
      </c>
      <c r="S65" s="14"/>
      <c r="T65" s="8">
        <f t="shared" si="10"/>
        <v>174.06</v>
      </c>
    </row>
    <row r="66" spans="1:20" ht="31.2" x14ac:dyDescent="0.3">
      <c r="A66" s="3" t="s">
        <v>160</v>
      </c>
      <c r="B66" s="4">
        <v>1</v>
      </c>
      <c r="C66" s="5">
        <v>234.38</v>
      </c>
      <c r="D66" s="6">
        <f t="shared" ref="D66:D77" si="22">(((C66-F66)*100)/C66)/100</f>
        <v>0.43817731888386374</v>
      </c>
      <c r="E66" s="7">
        <v>0</v>
      </c>
      <c r="F66" s="7">
        <v>131.68</v>
      </c>
      <c r="G66" s="8">
        <f t="shared" ref="G66:G77" si="23">B66*F66</f>
        <v>131.68</v>
      </c>
      <c r="H66" s="7">
        <v>0</v>
      </c>
      <c r="I66" s="7">
        <f>0.02+22.49</f>
        <v>22.509999999999998</v>
      </c>
      <c r="J66" s="9">
        <v>45690</v>
      </c>
      <c r="K66" s="9"/>
      <c r="L66" s="5"/>
      <c r="M66" s="7">
        <v>20.67</v>
      </c>
      <c r="N66" s="5"/>
      <c r="O66" s="11">
        <f>1.3+12.7+18.84</f>
        <v>32.840000000000003</v>
      </c>
      <c r="P66" s="4">
        <v>1</v>
      </c>
      <c r="Q66" s="8">
        <f t="shared" ref="Q66:Q77" si="24">F66+(I66/B66)-(O66/B66)</f>
        <v>121.35</v>
      </c>
      <c r="R66" s="12" t="s">
        <v>159</v>
      </c>
      <c r="S66" s="14"/>
      <c r="T66" s="8">
        <f t="shared" ref="T66:T77" si="25">B66*Q66</f>
        <v>121.35</v>
      </c>
    </row>
    <row r="67" spans="1:20" x14ac:dyDescent="0.3">
      <c r="A67" s="3" t="s">
        <v>162</v>
      </c>
      <c r="B67" s="4">
        <v>1</v>
      </c>
      <c r="C67" s="7">
        <v>189.29</v>
      </c>
      <c r="D67" s="6">
        <f t="shared" si="22"/>
        <v>0</v>
      </c>
      <c r="E67" s="7">
        <v>0</v>
      </c>
      <c r="F67" s="7">
        <v>189.29</v>
      </c>
      <c r="G67" s="8">
        <f t="shared" si="23"/>
        <v>189.29</v>
      </c>
      <c r="H67" s="7">
        <v>0</v>
      </c>
      <c r="I67" s="7">
        <f>0.04+32.6</f>
        <v>32.64</v>
      </c>
      <c r="J67" s="9">
        <v>45690</v>
      </c>
      <c r="K67" s="9"/>
      <c r="L67" s="5"/>
      <c r="M67" s="7">
        <v>20.67</v>
      </c>
      <c r="N67" s="5"/>
      <c r="O67" s="11">
        <f>18.44+27.33</f>
        <v>45.769999999999996</v>
      </c>
      <c r="P67" s="4">
        <v>1</v>
      </c>
      <c r="Q67" s="8">
        <f t="shared" si="24"/>
        <v>176.16000000000003</v>
      </c>
      <c r="R67" s="12" t="s">
        <v>161</v>
      </c>
      <c r="S67" s="14"/>
      <c r="T67" s="8">
        <f t="shared" si="25"/>
        <v>176.16000000000003</v>
      </c>
    </row>
    <row r="68" spans="1:20" ht="31.2" x14ac:dyDescent="0.3">
      <c r="A68" s="3" t="s">
        <v>164</v>
      </c>
      <c r="B68" s="4">
        <v>1</v>
      </c>
      <c r="C68" s="5">
        <v>475.75</v>
      </c>
      <c r="D68" s="6">
        <f t="shared" si="22"/>
        <v>0.4181187598528639</v>
      </c>
      <c r="E68" s="7">
        <v>0</v>
      </c>
      <c r="F68" s="7">
        <v>276.83</v>
      </c>
      <c r="G68" s="8">
        <f t="shared" si="23"/>
        <v>276.83</v>
      </c>
      <c r="H68" s="7">
        <v>0</v>
      </c>
      <c r="I68" s="7">
        <f>0.03+47.1</f>
        <v>47.13</v>
      </c>
      <c r="J68" s="9">
        <v>45690</v>
      </c>
      <c r="K68" s="9"/>
      <c r="L68" s="5"/>
      <c r="M68" s="7">
        <v>20.67</v>
      </c>
      <c r="N68" s="5"/>
      <c r="O68" s="11">
        <f>2.78+26.7+39.59</f>
        <v>69.070000000000007</v>
      </c>
      <c r="P68" s="4">
        <v>1</v>
      </c>
      <c r="Q68" s="8">
        <f t="shared" si="24"/>
        <v>254.89</v>
      </c>
      <c r="R68" s="12" t="s">
        <v>163</v>
      </c>
      <c r="S68" s="14"/>
      <c r="T68" s="8">
        <f t="shared" si="25"/>
        <v>254.89</v>
      </c>
    </row>
    <row r="69" spans="1:20" x14ac:dyDescent="0.3">
      <c r="A69" s="3" t="s">
        <v>167</v>
      </c>
      <c r="B69" s="4">
        <v>4</v>
      </c>
      <c r="C69" s="5">
        <v>90</v>
      </c>
      <c r="D69" s="6">
        <f t="shared" si="22"/>
        <v>0.44444444444444442</v>
      </c>
      <c r="E69" s="7">
        <v>0</v>
      </c>
      <c r="F69" s="7">
        <v>50</v>
      </c>
      <c r="G69" s="8">
        <f t="shared" si="23"/>
        <v>200</v>
      </c>
      <c r="H69" s="7">
        <v>0</v>
      </c>
      <c r="I69" s="7">
        <v>0</v>
      </c>
      <c r="J69" s="9">
        <v>45693</v>
      </c>
      <c r="K69" s="9"/>
      <c r="L69" s="5"/>
      <c r="M69" s="7">
        <v>20.67</v>
      </c>
      <c r="N69" s="5"/>
      <c r="O69" s="11"/>
      <c r="P69" s="4">
        <v>1</v>
      </c>
      <c r="Q69" s="8">
        <f t="shared" si="24"/>
        <v>50</v>
      </c>
      <c r="R69" s="12" t="s">
        <v>171</v>
      </c>
      <c r="S69" s="14"/>
      <c r="T69" s="8">
        <f t="shared" si="25"/>
        <v>200</v>
      </c>
    </row>
    <row r="70" spans="1:20" ht="31.2" x14ac:dyDescent="0.3">
      <c r="A70" s="3" t="s">
        <v>168</v>
      </c>
      <c r="B70" s="4">
        <v>1</v>
      </c>
      <c r="C70" s="5">
        <v>150</v>
      </c>
      <c r="D70" s="6">
        <f t="shared" si="22"/>
        <v>0.26666666666666666</v>
      </c>
      <c r="E70" s="7">
        <v>0</v>
      </c>
      <c r="F70" s="7">
        <v>110</v>
      </c>
      <c r="G70" s="8">
        <f t="shared" si="23"/>
        <v>110</v>
      </c>
      <c r="H70" s="7">
        <v>0</v>
      </c>
      <c r="I70" s="7">
        <v>0</v>
      </c>
      <c r="J70" s="9">
        <v>45693</v>
      </c>
      <c r="K70" s="9"/>
      <c r="L70" s="5"/>
      <c r="M70" s="7">
        <v>20.67</v>
      </c>
      <c r="N70" s="5"/>
      <c r="O70" s="11"/>
      <c r="P70" s="4">
        <v>1</v>
      </c>
      <c r="Q70" s="8">
        <f t="shared" si="24"/>
        <v>110</v>
      </c>
      <c r="R70" s="12" t="s">
        <v>170</v>
      </c>
      <c r="S70" s="14"/>
      <c r="T70" s="8">
        <f t="shared" si="25"/>
        <v>110</v>
      </c>
    </row>
    <row r="71" spans="1:20" ht="31.2" x14ac:dyDescent="0.3">
      <c r="A71" s="3" t="s">
        <v>169</v>
      </c>
      <c r="B71" s="4">
        <v>1</v>
      </c>
      <c r="C71" s="5">
        <v>200</v>
      </c>
      <c r="D71" s="6">
        <f t="shared" si="22"/>
        <v>0.22500000000000001</v>
      </c>
      <c r="E71" s="7">
        <v>0</v>
      </c>
      <c r="F71" s="7">
        <v>155</v>
      </c>
      <c r="G71" s="8">
        <f t="shared" si="23"/>
        <v>155</v>
      </c>
      <c r="H71" s="7">
        <v>0</v>
      </c>
      <c r="I71" s="7">
        <v>0</v>
      </c>
      <c r="J71" s="9">
        <v>45693</v>
      </c>
      <c r="K71" s="9"/>
      <c r="L71" s="5"/>
      <c r="M71" s="7">
        <v>20.67</v>
      </c>
      <c r="N71" s="5"/>
      <c r="O71" s="11"/>
      <c r="P71" s="4">
        <v>1</v>
      </c>
      <c r="Q71" s="8">
        <f t="shared" si="24"/>
        <v>155</v>
      </c>
      <c r="R71" s="12"/>
      <c r="S71" s="14"/>
      <c r="T71" s="8">
        <f t="shared" si="25"/>
        <v>155</v>
      </c>
    </row>
    <row r="72" spans="1:20" ht="31.2" x14ac:dyDescent="0.3">
      <c r="A72" s="3" t="s">
        <v>172</v>
      </c>
      <c r="B72" s="4">
        <v>1</v>
      </c>
      <c r="C72" s="5">
        <v>290</v>
      </c>
      <c r="D72" s="6">
        <f t="shared" si="22"/>
        <v>0.34482758620689657</v>
      </c>
      <c r="E72" s="7">
        <v>0</v>
      </c>
      <c r="F72" s="7">
        <v>190</v>
      </c>
      <c r="G72" s="8">
        <f t="shared" si="23"/>
        <v>190</v>
      </c>
      <c r="H72" s="7">
        <v>0</v>
      </c>
      <c r="I72" s="7">
        <v>0</v>
      </c>
      <c r="J72" s="9">
        <v>45693</v>
      </c>
      <c r="K72" s="9"/>
      <c r="L72" s="5"/>
      <c r="M72" s="7">
        <v>20.67</v>
      </c>
      <c r="N72" s="5"/>
      <c r="O72" s="11"/>
      <c r="P72" s="4">
        <v>1</v>
      </c>
      <c r="Q72" s="8">
        <f t="shared" si="24"/>
        <v>190</v>
      </c>
      <c r="R72" s="12"/>
      <c r="S72" s="14"/>
      <c r="T72" s="8">
        <f t="shared" si="25"/>
        <v>190</v>
      </c>
    </row>
    <row r="73" spans="1:20" x14ac:dyDescent="0.3">
      <c r="A73" s="3" t="s">
        <v>175</v>
      </c>
      <c r="B73" s="4">
        <v>1</v>
      </c>
      <c r="C73" s="5">
        <v>252.74</v>
      </c>
      <c r="D73" s="6">
        <f t="shared" si="22"/>
        <v>0.86448524175041541</v>
      </c>
      <c r="E73" s="7">
        <v>0</v>
      </c>
      <c r="F73" s="7">
        <v>34.25</v>
      </c>
      <c r="G73" s="8">
        <f t="shared" si="23"/>
        <v>34.25</v>
      </c>
      <c r="H73" s="7">
        <v>0</v>
      </c>
      <c r="I73" s="7">
        <v>0</v>
      </c>
      <c r="J73" s="9">
        <v>45693</v>
      </c>
      <c r="K73" s="9"/>
      <c r="L73" s="5"/>
      <c r="M73" s="7">
        <v>20.67</v>
      </c>
      <c r="N73" s="5"/>
      <c r="O73" s="11"/>
      <c r="P73" s="4">
        <v>1</v>
      </c>
      <c r="Q73" s="8">
        <f t="shared" si="24"/>
        <v>34.25</v>
      </c>
      <c r="R73" s="12"/>
      <c r="S73" s="14"/>
      <c r="T73" s="8">
        <f t="shared" si="25"/>
        <v>34.25</v>
      </c>
    </row>
    <row r="74" spans="1:20" x14ac:dyDescent="0.3">
      <c r="A74" s="3" t="s">
        <v>176</v>
      </c>
      <c r="B74" s="4">
        <v>1</v>
      </c>
      <c r="C74" s="5">
        <v>252.74</v>
      </c>
      <c r="D74" s="6">
        <f t="shared" si="22"/>
        <v>0.86448524175041541</v>
      </c>
      <c r="E74" s="7">
        <v>0</v>
      </c>
      <c r="F74" s="7">
        <v>34.25</v>
      </c>
      <c r="G74" s="8">
        <f t="shared" si="23"/>
        <v>34.25</v>
      </c>
      <c r="H74" s="7">
        <v>0</v>
      </c>
      <c r="I74" s="7">
        <v>0</v>
      </c>
      <c r="J74" s="9">
        <v>45693</v>
      </c>
      <c r="K74" s="9"/>
      <c r="L74" s="5"/>
      <c r="M74" s="7">
        <v>20.67</v>
      </c>
      <c r="N74" s="5"/>
      <c r="O74" s="11"/>
      <c r="P74" s="4">
        <v>1</v>
      </c>
      <c r="Q74" s="8">
        <f t="shared" si="24"/>
        <v>34.25</v>
      </c>
      <c r="R74" s="12"/>
      <c r="S74" s="14"/>
      <c r="T74" s="8">
        <f t="shared" si="25"/>
        <v>34.25</v>
      </c>
    </row>
    <row r="75" spans="1:20" x14ac:dyDescent="0.3">
      <c r="A75" s="3" t="s">
        <v>177</v>
      </c>
      <c r="B75" s="4">
        <v>1</v>
      </c>
      <c r="C75" s="5">
        <v>252.74</v>
      </c>
      <c r="D75" s="6">
        <f t="shared" si="22"/>
        <v>0.86448524175041541</v>
      </c>
      <c r="E75" s="7">
        <v>0</v>
      </c>
      <c r="F75" s="7">
        <v>34.25</v>
      </c>
      <c r="G75" s="8">
        <f t="shared" si="23"/>
        <v>34.25</v>
      </c>
      <c r="H75" s="7">
        <v>0</v>
      </c>
      <c r="I75" s="7">
        <v>0</v>
      </c>
      <c r="J75" s="9">
        <v>45693</v>
      </c>
      <c r="K75" s="9"/>
      <c r="L75" s="5"/>
      <c r="M75" s="7">
        <v>20.67</v>
      </c>
      <c r="N75" s="5"/>
      <c r="O75" s="11"/>
      <c r="P75" s="4">
        <v>1</v>
      </c>
      <c r="Q75" s="8">
        <f t="shared" si="24"/>
        <v>34.25</v>
      </c>
      <c r="R75" s="12"/>
      <c r="S75" s="14"/>
      <c r="T75" s="8">
        <f t="shared" si="25"/>
        <v>34.25</v>
      </c>
    </row>
    <row r="76" spans="1:20" x14ac:dyDescent="0.3">
      <c r="A76" s="3" t="s">
        <v>179</v>
      </c>
      <c r="B76" s="4">
        <v>2</v>
      </c>
      <c r="C76" s="5">
        <v>252.74</v>
      </c>
      <c r="D76" s="6">
        <f t="shared" si="22"/>
        <v>0.86448524175041541</v>
      </c>
      <c r="E76" s="7">
        <v>0</v>
      </c>
      <c r="F76" s="7">
        <v>34.25</v>
      </c>
      <c r="G76" s="8">
        <f t="shared" si="23"/>
        <v>68.5</v>
      </c>
      <c r="H76" s="7">
        <v>0</v>
      </c>
      <c r="I76" s="7">
        <v>0</v>
      </c>
      <c r="J76" s="9">
        <v>45693</v>
      </c>
      <c r="K76" s="9"/>
      <c r="L76" s="5"/>
      <c r="M76" s="7">
        <v>20.67</v>
      </c>
      <c r="N76" s="5"/>
      <c r="O76" s="11"/>
      <c r="P76" s="4">
        <v>1</v>
      </c>
      <c r="Q76" s="8">
        <f t="shared" si="24"/>
        <v>34.25</v>
      </c>
      <c r="R76" s="12"/>
      <c r="S76" s="14"/>
      <c r="T76" s="8">
        <f t="shared" si="25"/>
        <v>68.5</v>
      </c>
    </row>
    <row r="77" spans="1:20" x14ac:dyDescent="0.3">
      <c r="A77" s="3" t="s">
        <v>183</v>
      </c>
      <c r="B77" s="4">
        <v>1</v>
      </c>
      <c r="C77" s="5">
        <v>252.74</v>
      </c>
      <c r="D77" s="6">
        <f t="shared" si="22"/>
        <v>0.86448524175041541</v>
      </c>
      <c r="E77" s="7">
        <v>0</v>
      </c>
      <c r="F77" s="7">
        <v>34.25</v>
      </c>
      <c r="G77" s="8">
        <f t="shared" si="23"/>
        <v>34.25</v>
      </c>
      <c r="H77" s="7">
        <v>0</v>
      </c>
      <c r="I77" s="7">
        <v>0</v>
      </c>
      <c r="J77" s="9">
        <v>45693</v>
      </c>
      <c r="K77" s="9"/>
      <c r="L77" s="5"/>
      <c r="M77" s="7">
        <v>20.67</v>
      </c>
      <c r="N77" s="5"/>
      <c r="O77" s="11"/>
      <c r="P77" s="4">
        <v>1</v>
      </c>
      <c r="Q77" s="8">
        <f t="shared" si="24"/>
        <v>34.25</v>
      </c>
      <c r="R77" s="12"/>
      <c r="S77" s="14"/>
      <c r="T77" s="8">
        <f t="shared" si="25"/>
        <v>34.25</v>
      </c>
    </row>
    <row r="78" spans="1:20" x14ac:dyDescent="0.3">
      <c r="A78" s="19" t="s">
        <v>184</v>
      </c>
      <c r="B78" s="23">
        <v>1</v>
      </c>
    </row>
    <row r="79" spans="1:20" x14ac:dyDescent="0.3">
      <c r="A79" s="19" t="s">
        <v>185</v>
      </c>
      <c r="B79" s="23">
        <v>2</v>
      </c>
    </row>
    <row r="80" spans="1:20" x14ac:dyDescent="0.3">
      <c r="A80" s="19" t="s">
        <v>186</v>
      </c>
      <c r="B80" s="23">
        <v>1</v>
      </c>
    </row>
  </sheetData>
  <hyperlinks>
    <hyperlink ref="R12" r:id="rId1" xr:uid="{BE960CC8-79CC-46E2-9D5B-599CBBFF4A1C}"/>
    <hyperlink ref="R13" r:id="rId2" xr:uid="{3824B657-DF7E-42DE-95EA-15C83F58A019}"/>
    <hyperlink ref="R14" r:id="rId3" xr:uid="{C97959DC-5594-44F4-AAC7-2ED09AEDAF57}"/>
    <hyperlink ref="R15" r:id="rId4" xr:uid="{885BCDBE-E28D-4E91-898C-6B65175F8117}"/>
    <hyperlink ref="R16" r:id="rId5" xr:uid="{0E4BA372-C398-4B0A-A70D-CBF8F02D885D}"/>
    <hyperlink ref="R21" r:id="rId6" xr:uid="{1C28892B-26C4-4289-9B66-F20E89A08154}"/>
    <hyperlink ref="R22" r:id="rId7" xr:uid="{1BFE0242-88FE-4AB3-8777-D4D10CF8DFDB}"/>
    <hyperlink ref="R23" r:id="rId8" xr:uid="{71E17AF1-5A17-4E67-8BD2-A88561A1BCCE}"/>
    <hyperlink ref="R24" r:id="rId9" xr:uid="{228CDBFF-DC83-4DD0-84C2-75D2E329F6C8}"/>
    <hyperlink ref="R26" r:id="rId10" xr:uid="{4AEAEC6B-276A-4131-8E73-0A644027C948}"/>
    <hyperlink ref="R29" r:id="rId11" xr:uid="{C1C766B4-D2D8-4192-883D-F73DA18F2D20}"/>
    <hyperlink ref="R30" r:id="rId12" xr:uid="{E26D9FE5-CDDD-42FA-871B-25B09F9FAB70}"/>
    <hyperlink ref="R31" r:id="rId13" xr:uid="{A9028E31-9876-489A-BDC8-F7A01F056077}"/>
    <hyperlink ref="R32" r:id="rId14" xr:uid="{E93E20DB-A80A-4841-8FE0-1783C0080FCC}"/>
    <hyperlink ref="R33" r:id="rId15" xr:uid="{07B3A39A-3637-41B1-BB98-AB83D7370321}"/>
    <hyperlink ref="R34" r:id="rId16" xr:uid="{1CA18384-03AD-4A4F-8C27-8BDD6379D25A}"/>
    <hyperlink ref="R35" r:id="rId17" xr:uid="{58D59B06-29EF-455A-98A5-F5261BECD4CC}"/>
    <hyperlink ref="R36" r:id="rId18" xr:uid="{E7808666-941E-43E9-82D5-0F68EBB736FA}"/>
    <hyperlink ref="R40" r:id="rId19" xr:uid="{A5CFC810-6002-4414-AE3D-22B03EB31B49}"/>
    <hyperlink ref="R41" r:id="rId20" xr:uid="{4537A08E-B85C-41FD-800D-0011854048A1}"/>
    <hyperlink ref="R42" r:id="rId21" xr:uid="{0F66776F-CB51-4215-96B9-F0FC63AC1C14}"/>
    <hyperlink ref="R43" r:id="rId22" xr:uid="{8FE3BE90-A951-4905-9CC9-7F105B269D18}"/>
    <hyperlink ref="R44" r:id="rId23" xr:uid="{36B0D74F-2892-4900-B01E-0CDB92257029}"/>
    <hyperlink ref="R46" r:id="rId24" xr:uid="{B9EA3DF3-0332-425B-BB39-843DA014FCAA}"/>
    <hyperlink ref="R2" r:id="rId25" xr:uid="{B4BC92EE-0AF5-4130-BCBE-0893BAD11C51}"/>
    <hyperlink ref="R3" r:id="rId26" xr:uid="{42E63AEC-58D8-4EBF-8018-094B7A6F3E33}"/>
    <hyperlink ref="R4" r:id="rId27" xr:uid="{595C734D-B1D9-4BDA-B52A-5C90677D2A83}"/>
    <hyperlink ref="R5" r:id="rId28" xr:uid="{D2ED9145-04A7-487D-9AE9-16765BBC8B03}"/>
    <hyperlink ref="R6" r:id="rId29" xr:uid="{DD5E3203-7243-4AA7-B170-FB3C60F9F35F}"/>
    <hyperlink ref="R7" r:id="rId30" xr:uid="{CA94B4E0-88C5-4C0A-B46D-180BA9A5B681}"/>
    <hyperlink ref="R8" r:id="rId31" xr:uid="{8E3846ED-322D-48DA-B4E9-CAEA662592FF}"/>
    <hyperlink ref="R9" r:id="rId32" xr:uid="{15D08057-4590-4859-84A5-3EBA4BA158F5}"/>
    <hyperlink ref="R10" r:id="rId33" xr:uid="{05E5605F-912B-4A84-A0C3-6DE44EE76536}"/>
    <hyperlink ref="R11" r:id="rId34" xr:uid="{957A1BAB-284C-4ED2-BBA2-C0A5C64F638A}"/>
    <hyperlink ref="R19" r:id="rId35" xr:uid="{4B43ED1C-F3AA-486D-8385-AE19E8DC088C}"/>
    <hyperlink ref="R20" r:id="rId36" xr:uid="{BDED890E-853A-458E-82A3-26D2FC2518EE}"/>
    <hyperlink ref="R17" r:id="rId37" xr:uid="{A97811D4-5363-45A0-8BF6-9F574D27A17B}"/>
    <hyperlink ref="R25" r:id="rId38" xr:uid="{8D922871-C413-49EE-992B-343FCCE67189}"/>
    <hyperlink ref="R47" r:id="rId39" xr:uid="{4D1BD91E-DC7A-42DE-B9F0-B4CE5DDA87BA}"/>
    <hyperlink ref="R48" r:id="rId40" xr:uid="{CC24A59F-7B7B-483C-BD98-2FC813668E9E}"/>
    <hyperlink ref="R49" r:id="rId41" xr:uid="{45D3EE03-FA1A-4C7A-9430-0017EE10305A}"/>
    <hyperlink ref="R50" r:id="rId42" xr:uid="{0F015C2D-3A30-4642-8ACE-49A0DB34BA12}"/>
    <hyperlink ref="R51" r:id="rId43" xr:uid="{5BFC7E4C-523B-4A0B-8F27-C3637CF185FD}"/>
    <hyperlink ref="R52" r:id="rId44" xr:uid="{12FB118E-3686-4A63-BDA5-3B5317706464}"/>
    <hyperlink ref="R53" r:id="rId45" xr:uid="{82E520C2-027E-4271-A0A9-05B4E1761A30}"/>
    <hyperlink ref="R55" r:id="rId46" xr:uid="{FCB88037-930A-4052-ACF2-F11A5B0515E7}"/>
    <hyperlink ref="R56" r:id="rId47" xr:uid="{8BF6C861-BB3E-4DE7-822F-DA778E1481DF}"/>
    <hyperlink ref="R57" r:id="rId48" xr:uid="{DDD7883E-2D52-47A7-8A5E-D56CB4322399}"/>
    <hyperlink ref="R58" r:id="rId49" xr:uid="{4CFE542F-64F8-40C7-AB14-8E9121090535}"/>
    <hyperlink ref="R59" r:id="rId50" xr:uid="{3D0EE9F6-DA6C-4C73-A944-FC096478C7E1}"/>
    <hyperlink ref="R60" r:id="rId51" xr:uid="{2059DAED-C16E-4353-BA80-729281DE1D96}"/>
    <hyperlink ref="R62" r:id="rId52" xr:uid="{1913E8BE-1E14-482B-B667-D9A61DD281AE}"/>
    <hyperlink ref="R63" r:id="rId53" xr:uid="{42A836AE-F6E1-4282-8A8E-6CB2C82FFD86}"/>
    <hyperlink ref="R64" r:id="rId54" xr:uid="{BA9B5E17-6EBF-4E44-9773-0DD2D1ED7AC1}"/>
    <hyperlink ref="R65" r:id="rId55" xr:uid="{969E4C54-4517-477A-B980-82781DF7FD9D}"/>
    <hyperlink ref="R66" r:id="rId56" xr:uid="{32A5E513-ABEC-43E7-9027-265ACF406BC5}"/>
    <hyperlink ref="R67" r:id="rId57" xr:uid="{2023A522-37AD-4E15-B082-6F568B361CA0}"/>
    <hyperlink ref="R68" r:id="rId58" xr:uid="{26A6C932-B72A-4B50-AD17-F0A084627E11}"/>
  </hyperlinks>
  <pageMargins left="0.7" right="0.7" top="0.75" bottom="0.75" header="0.3" footer="0.3"/>
  <picture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9"/>
  <sheetViews>
    <sheetView tabSelected="1" zoomScaleNormal="100" workbookViewId="0">
      <pane ySplit="1" topLeftCell="A66" activePane="bottomLeft" state="frozen"/>
      <selection pane="bottomLeft" activeCell="B84" sqref="B84"/>
    </sheetView>
  </sheetViews>
  <sheetFormatPr baseColWidth="10" defaultColWidth="10.69921875" defaultRowHeight="15.6" x14ac:dyDescent="0.3"/>
  <cols>
    <col min="1" max="1" width="7.09765625" style="19" bestFit="1" customWidth="1"/>
    <col min="2" max="2" width="44.796875" style="19" customWidth="1"/>
    <col min="3" max="4" width="13.5" style="19" bestFit="1" customWidth="1"/>
    <col min="5" max="5" width="13.19921875" style="19" bestFit="1" customWidth="1"/>
    <col min="6" max="6" width="16" style="19" bestFit="1" customWidth="1"/>
    <col min="7" max="7" width="9.69921875" style="19" bestFit="1" customWidth="1"/>
    <col min="8" max="8" width="11.296875" style="19" bestFit="1" customWidth="1"/>
    <col min="9" max="9" width="8.5" style="19" bestFit="1" customWidth="1"/>
    <col min="10" max="10" width="8.5" style="19" customWidth="1"/>
    <col min="11" max="11" width="12.69921875" style="19" bestFit="1" customWidth="1"/>
    <col min="12" max="12" width="12.796875" style="19" bestFit="1" customWidth="1"/>
    <col min="13" max="13" width="9.296875" style="19" bestFit="1" customWidth="1"/>
    <col min="14" max="16384" width="10.69921875" style="19"/>
  </cols>
  <sheetData>
    <row r="1" spans="1:13" x14ac:dyDescent="0.3">
      <c r="A1" s="10" t="s">
        <v>20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1</v>
      </c>
      <c r="H1" s="1" t="s">
        <v>5</v>
      </c>
      <c r="I1" s="1" t="s">
        <v>15</v>
      </c>
      <c r="J1" s="1" t="s">
        <v>30</v>
      </c>
      <c r="K1" s="1" t="s">
        <v>25</v>
      </c>
      <c r="L1" s="1" t="s">
        <v>26</v>
      </c>
      <c r="M1" s="1" t="s">
        <v>27</v>
      </c>
    </row>
    <row r="2" spans="1:13" ht="31.2" x14ac:dyDescent="0.3">
      <c r="A2" s="20">
        <v>2</v>
      </c>
      <c r="B2" s="3" t="str">
        <f>Compras!A2</f>
        <v>Bob Esponja Squarepants, peluche Patricio Estrella rosa, Kawaii, 40cm</v>
      </c>
      <c r="C2" s="3" t="s">
        <v>94</v>
      </c>
      <c r="D2" s="3" t="s">
        <v>28</v>
      </c>
      <c r="E2" s="15">
        <f>Compras!C2</f>
        <v>453.86</v>
      </c>
      <c r="F2" s="6">
        <f>Compras!D2</f>
        <v>0.64768871458158916</v>
      </c>
      <c r="G2" s="4">
        <f>Compras!B2</f>
        <v>1</v>
      </c>
      <c r="H2" s="15">
        <f>Compras!Q2</f>
        <v>155.49</v>
      </c>
      <c r="I2" s="4">
        <f>Compras!P2</f>
        <v>1</v>
      </c>
      <c r="J2" s="22" t="s">
        <v>30</v>
      </c>
      <c r="K2" s="16">
        <f t="shared" ref="K2:K33" si="0">M2* (IF(M2-H2&lt;100, IF(M2-H2&gt;80, 1.25, IF(M2-H2&gt;50, 1.5, 1.75)), IF(M2-H2&gt;150, 0.95, IF(M2-H2&gt;170, 0.9, 1))))</f>
        <v>329.04375000000005</v>
      </c>
      <c r="L2" s="17">
        <f>IF(((K2+M2)/2)&lt;10,ROUNDDOWN(((K2+M2)/2),0),ROUNDDOWN(((K2+M2)/2),-1))</f>
        <v>270</v>
      </c>
      <c r="M2" s="18">
        <f t="shared" ref="M2:M33" si="1">(H2/I2) * ( IF(E2&gt;H2, IF(E2-H2&gt;100, 1.25, IF(E2-H2&gt;50, 1.5, 1.75)), IF(H2-E2&gt;100, 1.25, IF(H2-E2&gt;50, 1.5, 1.75))) ) + 25</f>
        <v>219.36250000000001</v>
      </c>
    </row>
    <row r="3" spans="1:13" ht="31.2" x14ac:dyDescent="0.3">
      <c r="A3" s="20">
        <v>3</v>
      </c>
      <c r="B3" s="3" t="str">
        <f>Compras!A3</f>
        <v>Peluche de Los Vengadores, Marvel , Spiderman 27-32cm</v>
      </c>
      <c r="C3" s="3" t="s">
        <v>91</v>
      </c>
      <c r="D3" s="3" t="s">
        <v>28</v>
      </c>
      <c r="E3" s="15">
        <f>Compras!C3</f>
        <v>219.34</v>
      </c>
      <c r="F3" s="6">
        <f>Compras!D3</f>
        <v>0.70867146895231148</v>
      </c>
      <c r="G3" s="4">
        <f>Compras!B3</f>
        <v>1</v>
      </c>
      <c r="H3" s="15">
        <f>Compras!Q3</f>
        <v>62.27</v>
      </c>
      <c r="I3" s="4">
        <f>Compras!P3</f>
        <v>1</v>
      </c>
      <c r="J3" s="22" t="s">
        <v>30</v>
      </c>
      <c r="K3" s="16">
        <f t="shared" si="0"/>
        <v>179.96562500000002</v>
      </c>
      <c r="L3" s="17">
        <f>IF(((K3+M3)/2)&lt;10,ROUNDDOWN(((K3+M3)/2),0),ROUNDDOWN(((K3+M3)/2),-1))</f>
        <v>140</v>
      </c>
      <c r="M3" s="18">
        <f t="shared" si="1"/>
        <v>102.83750000000001</v>
      </c>
    </row>
    <row r="4" spans="1:13" ht="31.2" x14ac:dyDescent="0.3">
      <c r="A4" s="20">
        <v>4</v>
      </c>
      <c r="B4" s="3" t="str">
        <f>Compras!A4</f>
        <v>Disney Toy Story Lotso-oso de fresa, almohada de felpa, 90cm</v>
      </c>
      <c r="C4" s="3" t="s">
        <v>85</v>
      </c>
      <c r="D4" s="3" t="s">
        <v>28</v>
      </c>
      <c r="E4" s="15">
        <f>Compras!C4</f>
        <v>256.26</v>
      </c>
      <c r="F4" s="6">
        <f>Compras!D4</f>
        <v>0.64137984859127462</v>
      </c>
      <c r="G4" s="4">
        <f>Compras!B4</f>
        <v>1</v>
      </c>
      <c r="H4" s="15">
        <f>Compras!Q4</f>
        <v>89.350000000000009</v>
      </c>
      <c r="I4" s="4">
        <f>Compras!P4</f>
        <v>1</v>
      </c>
      <c r="J4" s="22" t="s">
        <v>30</v>
      </c>
      <c r="K4" s="16">
        <f t="shared" si="0"/>
        <v>239.203125</v>
      </c>
      <c r="L4" s="17">
        <f t="shared" ref="L4:L67" si="2">IF(((K4+M4)/2)&lt;10,ROUNDDOWN(((K4+M4)/2),0),ROUNDDOWN(((K4+M4)/2),-1))</f>
        <v>180</v>
      </c>
      <c r="M4" s="18">
        <f t="shared" si="1"/>
        <v>136.6875</v>
      </c>
    </row>
    <row r="5" spans="1:13" ht="31.2" x14ac:dyDescent="0.3">
      <c r="A5" s="20">
        <v>5</v>
      </c>
      <c r="B5" s="3" t="str">
        <f>Compras!A5</f>
        <v>Peluche Original de Pokémon Gengar de 24cm, Pikachu</v>
      </c>
      <c r="C5" s="3" t="s">
        <v>90</v>
      </c>
      <c r="D5" s="3" t="s">
        <v>28</v>
      </c>
      <c r="E5" s="15">
        <f>Compras!C5</f>
        <v>235.13</v>
      </c>
      <c r="F5" s="6">
        <f>Compras!D5</f>
        <v>0.50708118912941769</v>
      </c>
      <c r="G5" s="4">
        <f>Compras!B5</f>
        <v>1</v>
      </c>
      <c r="H5" s="15">
        <f>Compras!Q5</f>
        <v>112.83000000000001</v>
      </c>
      <c r="I5" s="4">
        <f>Compras!P5</f>
        <v>1</v>
      </c>
      <c r="J5" s="22" t="s">
        <v>30</v>
      </c>
      <c r="K5" s="16">
        <f t="shared" si="0"/>
        <v>249.05625000000003</v>
      </c>
      <c r="L5" s="17">
        <f t="shared" si="2"/>
        <v>200</v>
      </c>
      <c r="M5" s="18">
        <f t="shared" si="1"/>
        <v>166.03750000000002</v>
      </c>
    </row>
    <row r="6" spans="1:13" ht="31.2" x14ac:dyDescent="0.3">
      <c r="A6" s="20">
        <v>6</v>
      </c>
      <c r="B6" s="3" t="str">
        <f>Compras!A6</f>
        <v>Sanrio-juguetes de peluche de Hello Kitty para niñas, almohada suave de Anime, Kawaii  - HK 25cm</v>
      </c>
      <c r="C6" s="3" t="s">
        <v>89</v>
      </c>
      <c r="D6" s="3" t="s">
        <v>28</v>
      </c>
      <c r="E6" s="15">
        <f>Compras!C6</f>
        <v>162.31</v>
      </c>
      <c r="F6" s="6">
        <f>Compras!D6</f>
        <v>0.40915532006653932</v>
      </c>
      <c r="G6" s="4">
        <f>Compras!B6</f>
        <v>1</v>
      </c>
      <c r="H6" s="15">
        <f>Compras!Q6</f>
        <v>93.350000000000009</v>
      </c>
      <c r="I6" s="4">
        <f>Compras!P6</f>
        <v>1</v>
      </c>
      <c r="J6" s="22" t="s">
        <v>30</v>
      </c>
      <c r="K6" s="16">
        <f t="shared" si="0"/>
        <v>247.53750000000002</v>
      </c>
      <c r="L6" s="17">
        <f t="shared" si="2"/>
        <v>200</v>
      </c>
      <c r="M6" s="18">
        <f t="shared" si="1"/>
        <v>165.02500000000001</v>
      </c>
    </row>
    <row r="7" spans="1:13" ht="46.8" x14ac:dyDescent="0.3">
      <c r="A7" s="20">
        <v>7</v>
      </c>
      <c r="B7" s="3" t="str">
        <f>Compras!A7</f>
        <v>Muñeco de peluche de Anime Sanrio Kawaii, muñeco de peluche suave de Cinnamoroll, almohada de 25cm</v>
      </c>
      <c r="C7" s="3" t="s">
        <v>86</v>
      </c>
      <c r="D7" s="3" t="s">
        <v>28</v>
      </c>
      <c r="E7" s="15">
        <f>Compras!C7</f>
        <v>271.48</v>
      </c>
      <c r="F7" s="6">
        <f>Compras!D7</f>
        <v>0.66148519227935754</v>
      </c>
      <c r="G7" s="4">
        <f>Compras!B7</f>
        <v>1</v>
      </c>
      <c r="H7" s="15">
        <f>Compras!Q7</f>
        <v>89.350000000000009</v>
      </c>
      <c r="I7" s="4">
        <f>Compras!P7</f>
        <v>1</v>
      </c>
      <c r="J7" s="22" t="s">
        <v>30</v>
      </c>
      <c r="K7" s="16">
        <f t="shared" si="0"/>
        <v>239.203125</v>
      </c>
      <c r="L7" s="17">
        <f t="shared" si="2"/>
        <v>180</v>
      </c>
      <c r="M7" s="18">
        <f t="shared" si="1"/>
        <v>136.6875</v>
      </c>
    </row>
    <row r="8" spans="1:13" ht="31.2" x14ac:dyDescent="0.3">
      <c r="A8" s="20">
        <v>8</v>
      </c>
      <c r="B8" s="3" t="str">
        <f>Compras!A8</f>
        <v>Cinnamoroll-muñeco de peluche de 70cm, almohada de dibujos animados Kawaii</v>
      </c>
      <c r="C8" s="3" t="s">
        <v>86</v>
      </c>
      <c r="D8" s="3" t="s">
        <v>28</v>
      </c>
      <c r="E8" s="15">
        <f>Compras!C8</f>
        <v>474.97</v>
      </c>
      <c r="F8" s="6">
        <f>Compras!D8</f>
        <v>0.6717687432890499</v>
      </c>
      <c r="G8" s="4">
        <f>Compras!B8</f>
        <v>1</v>
      </c>
      <c r="H8" s="15">
        <f>Compras!Q8</f>
        <v>151.5</v>
      </c>
      <c r="I8" s="4">
        <f>Compras!P8</f>
        <v>1</v>
      </c>
      <c r="J8" s="22" t="s">
        <v>30</v>
      </c>
      <c r="K8" s="16">
        <f t="shared" si="0"/>
        <v>321.5625</v>
      </c>
      <c r="L8" s="17">
        <f t="shared" si="2"/>
        <v>260</v>
      </c>
      <c r="M8" s="18">
        <f t="shared" si="1"/>
        <v>214.375</v>
      </c>
    </row>
    <row r="9" spans="1:13" ht="31.2" x14ac:dyDescent="0.3">
      <c r="A9" s="20">
        <v>9</v>
      </c>
      <c r="B9" s="3" t="str">
        <f>Compras!A9</f>
        <v>Monkey · D · Luffy Trafalgar D Water Law, Tony Chopper Luffy, muñeco de Peluche, 25cm</v>
      </c>
      <c r="C9" s="3" t="s">
        <v>113</v>
      </c>
      <c r="D9" s="3" t="s">
        <v>28</v>
      </c>
      <c r="E9" s="15">
        <f>Compras!C9</f>
        <v>551.84</v>
      </c>
      <c r="F9" s="6">
        <f>Compras!D9</f>
        <v>0.84796317773267615</v>
      </c>
      <c r="G9" s="4">
        <f>Compras!B9</f>
        <v>1</v>
      </c>
      <c r="H9" s="15">
        <f>Compras!Q9</f>
        <v>81.52000000000001</v>
      </c>
      <c r="I9" s="4">
        <f>Compras!P9</f>
        <v>1</v>
      </c>
      <c r="J9" s="22" t="s">
        <v>30</v>
      </c>
      <c r="K9" s="16">
        <f t="shared" si="0"/>
        <v>222.07500000000002</v>
      </c>
      <c r="L9" s="17">
        <f t="shared" si="2"/>
        <v>170</v>
      </c>
      <c r="M9" s="18">
        <f t="shared" si="1"/>
        <v>126.9</v>
      </c>
    </row>
    <row r="10" spans="1:13" ht="31.2" x14ac:dyDescent="0.3">
      <c r="A10" s="20">
        <v>10</v>
      </c>
      <c r="B10" s="3" t="str">
        <f>Compras!A10</f>
        <v>Cinnamoroll Cosplasy Stitch-juguetes bonitos de 20cm, muñecos de peluche de Disney</v>
      </c>
      <c r="C10" s="3" t="s">
        <v>86</v>
      </c>
      <c r="D10" s="3" t="s">
        <v>28</v>
      </c>
      <c r="E10" s="15">
        <f>Compras!C10</f>
        <v>285.08</v>
      </c>
      <c r="F10" s="6">
        <f>Compras!D10</f>
        <v>0.7056966465553528</v>
      </c>
      <c r="G10" s="4">
        <f>Compras!B10</f>
        <v>1</v>
      </c>
      <c r="H10" s="15">
        <f>Compras!Q10</f>
        <v>81.52000000000001</v>
      </c>
      <c r="I10" s="4">
        <f>Compras!P10</f>
        <v>1</v>
      </c>
      <c r="J10" s="22" t="s">
        <v>30</v>
      </c>
      <c r="K10" s="16">
        <f t="shared" si="0"/>
        <v>222.07500000000002</v>
      </c>
      <c r="L10" s="17">
        <f t="shared" si="2"/>
        <v>170</v>
      </c>
      <c r="M10" s="18">
        <f t="shared" si="1"/>
        <v>126.9</v>
      </c>
    </row>
    <row r="11" spans="1:13" ht="31.2" x14ac:dyDescent="0.3">
      <c r="A11" s="20">
        <v>11</v>
      </c>
      <c r="B11" s="3" t="str">
        <f>Compras!A11</f>
        <v>Sanrio Anime Kawaii, súper suave felpa, Cinnamoroll corazoncitos</v>
      </c>
      <c r="C11" s="3" t="s">
        <v>86</v>
      </c>
      <c r="D11" s="3" t="s">
        <v>28</v>
      </c>
      <c r="E11" s="15">
        <f>Compras!C11</f>
        <v>268.83999999999997</v>
      </c>
      <c r="F11" s="6">
        <f>Compras!D11</f>
        <v>0.58499479244160091</v>
      </c>
      <c r="G11" s="4">
        <f>Compras!B11</f>
        <v>1</v>
      </c>
      <c r="H11" s="15">
        <f>Compras!Q11</f>
        <v>108.52999999999999</v>
      </c>
      <c r="I11" s="4">
        <f>Compras!P11</f>
        <v>1</v>
      </c>
      <c r="J11" s="22" t="s">
        <v>30</v>
      </c>
      <c r="K11" s="16">
        <f t="shared" si="0"/>
        <v>240.99374999999998</v>
      </c>
      <c r="L11" s="17">
        <f t="shared" si="2"/>
        <v>200</v>
      </c>
      <c r="M11" s="18">
        <f t="shared" si="1"/>
        <v>160.66249999999999</v>
      </c>
    </row>
    <row r="12" spans="1:13" ht="31.2" x14ac:dyDescent="0.3">
      <c r="A12" s="20">
        <v>12</v>
      </c>
      <c r="B12" s="3" t="str">
        <f>Compras!A12</f>
        <v>Disney Grande James P. Sullivan Peluche Monsters University Inc, peluche almohada, 85 cm</v>
      </c>
      <c r="C12" s="3" t="s">
        <v>85</v>
      </c>
      <c r="D12" s="3" t="s">
        <v>28</v>
      </c>
      <c r="E12" s="15">
        <f>Compras!C12</f>
        <v>775.17</v>
      </c>
      <c r="F12" s="6">
        <f>Compras!D12</f>
        <v>0.66471870686430079</v>
      </c>
      <c r="G12" s="4">
        <f>Compras!B12</f>
        <v>1</v>
      </c>
      <c r="H12" s="15">
        <f>Compras!Q12</f>
        <v>256.86</v>
      </c>
      <c r="I12" s="4">
        <f>Compras!P12</f>
        <v>1</v>
      </c>
      <c r="J12" s="22" t="s">
        <v>30</v>
      </c>
      <c r="K12" s="16">
        <f t="shared" si="0"/>
        <v>432.59375000000006</v>
      </c>
      <c r="L12" s="17">
        <f t="shared" si="2"/>
        <v>380</v>
      </c>
      <c r="M12" s="18">
        <f t="shared" si="1"/>
        <v>346.07500000000005</v>
      </c>
    </row>
    <row r="13" spans="1:13" ht="31.2" x14ac:dyDescent="0.3">
      <c r="A13" s="20">
        <v>13</v>
      </c>
      <c r="B13" s="3" t="str">
        <f>Compras!A13</f>
        <v>Cinnamoroll-muñeco de peluche de 70cm, almohada de dibujos animados Kawaii</v>
      </c>
      <c r="C13" s="3" t="s">
        <v>86</v>
      </c>
      <c r="D13" s="3" t="s">
        <v>28</v>
      </c>
      <c r="E13" s="15">
        <f>Compras!C13</f>
        <v>474.97</v>
      </c>
      <c r="F13" s="6">
        <f>Compras!D13</f>
        <v>0.65492557424679465</v>
      </c>
      <c r="G13" s="4">
        <f>Compras!B13</f>
        <v>1</v>
      </c>
      <c r="H13" s="15">
        <f>Compras!Q13</f>
        <v>162.16</v>
      </c>
      <c r="I13" s="4">
        <f>Compras!P13</f>
        <v>1</v>
      </c>
      <c r="J13" s="22" t="s">
        <v>30</v>
      </c>
      <c r="K13" s="16">
        <f t="shared" si="0"/>
        <v>341.54999999999995</v>
      </c>
      <c r="L13" s="17">
        <f t="shared" si="2"/>
        <v>280</v>
      </c>
      <c r="M13" s="18">
        <f t="shared" si="1"/>
        <v>227.7</v>
      </c>
    </row>
    <row r="14" spans="1:13" ht="31.2" x14ac:dyDescent="0.3">
      <c r="A14" s="20">
        <v>14</v>
      </c>
      <c r="B14" s="3" t="str">
        <f>Compras!A14</f>
        <v>Juguete de peluche de capibara, animales de peluche, pulsera de animales</v>
      </c>
      <c r="C14" s="3" t="s">
        <v>165</v>
      </c>
      <c r="D14" s="3" t="s">
        <v>28</v>
      </c>
      <c r="E14" s="15">
        <f>Compras!C14</f>
        <v>171.89</v>
      </c>
      <c r="F14" s="6">
        <f>Compras!D14</f>
        <v>0.651521321775554</v>
      </c>
      <c r="G14" s="4">
        <f>Compras!B14</f>
        <v>1</v>
      </c>
      <c r="H14" s="15">
        <f>Compras!Q14</f>
        <v>59.260000000000005</v>
      </c>
      <c r="I14" s="4">
        <f>Compras!P14</f>
        <v>1</v>
      </c>
      <c r="J14" s="22" t="s">
        <v>30</v>
      </c>
      <c r="K14" s="16">
        <f t="shared" si="0"/>
        <v>173.38124999999999</v>
      </c>
      <c r="L14" s="17">
        <f t="shared" si="2"/>
        <v>130</v>
      </c>
      <c r="M14" s="18">
        <f t="shared" si="1"/>
        <v>99.075000000000003</v>
      </c>
    </row>
    <row r="15" spans="1:13" ht="31.2" x14ac:dyDescent="0.3">
      <c r="A15" s="20">
        <v>15</v>
      </c>
      <c r="B15" s="3" t="str">
        <f>Compras!A15</f>
        <v>Disney-muñeco de peluche de Stitch Lilo para niños, juguete de peluche de pato, 30cm</v>
      </c>
      <c r="C15" s="3" t="s">
        <v>85</v>
      </c>
      <c r="D15" s="3" t="s">
        <v>28</v>
      </c>
      <c r="E15" s="15">
        <f>Compras!C15</f>
        <v>550.79999999999995</v>
      </c>
      <c r="F15" s="6">
        <f>Compras!D15</f>
        <v>0.68064633260711704</v>
      </c>
      <c r="G15" s="4">
        <f>Compras!B15</f>
        <v>1</v>
      </c>
      <c r="H15" s="15">
        <f>Compras!Q15</f>
        <v>173.93</v>
      </c>
      <c r="I15" s="4">
        <f>Compras!P15</f>
        <v>1</v>
      </c>
      <c r="J15" s="22" t="s">
        <v>30</v>
      </c>
      <c r="K15" s="16">
        <f t="shared" si="0"/>
        <v>363.61875000000003</v>
      </c>
      <c r="L15" s="17">
        <f t="shared" si="2"/>
        <v>300</v>
      </c>
      <c r="M15" s="18">
        <f t="shared" si="1"/>
        <v>242.41250000000002</v>
      </c>
    </row>
    <row r="16" spans="1:13" ht="31.2" x14ac:dyDescent="0.3">
      <c r="A16" s="20">
        <v>16</v>
      </c>
      <c r="B16" s="3" t="str">
        <f>Compras!A16</f>
        <v>Snoopys de 10cm, juguete de peluche, figuras de Anime, bolsa suave</v>
      </c>
      <c r="C16" s="3" t="s">
        <v>88</v>
      </c>
      <c r="D16" s="3" t="s">
        <v>28</v>
      </c>
      <c r="E16" s="15">
        <f>Compras!C16</f>
        <v>191.99</v>
      </c>
      <c r="F16" s="6">
        <f>Compras!D16</f>
        <v>0.70883900203135586</v>
      </c>
      <c r="G16" s="4">
        <f>Compras!B16</f>
        <v>1</v>
      </c>
      <c r="H16" s="15">
        <f>Compras!Q16</f>
        <v>55.41</v>
      </c>
      <c r="I16" s="4">
        <f>Compras!P16</f>
        <v>1</v>
      </c>
      <c r="J16" s="22" t="s">
        <v>30</v>
      </c>
      <c r="K16" s="16">
        <f t="shared" si="0"/>
        <v>164.95937499999997</v>
      </c>
      <c r="L16" s="17">
        <f t="shared" si="2"/>
        <v>120</v>
      </c>
      <c r="M16" s="18">
        <f t="shared" si="1"/>
        <v>94.262499999999989</v>
      </c>
    </row>
    <row r="17" spans="1:13" ht="31.2" x14ac:dyDescent="0.3">
      <c r="A17" s="20">
        <v>17</v>
      </c>
      <c r="B17" s="3" t="str">
        <f>Compras!A17</f>
        <v>Peluche de Frozen, felpa, reina Elsa, princesa Anna, 30-50 CM</v>
      </c>
      <c r="C17" s="3" t="s">
        <v>85</v>
      </c>
      <c r="D17" s="3" t="s">
        <v>28</v>
      </c>
      <c r="E17" s="15">
        <f>Compras!C17</f>
        <v>814.63</v>
      </c>
      <c r="F17" s="6">
        <f>Compras!D17</f>
        <v>0.68095945398524482</v>
      </c>
      <c r="G17" s="4">
        <f>Compras!B17</f>
        <v>1</v>
      </c>
      <c r="H17" s="15">
        <f>Compras!Q17</f>
        <v>256.89</v>
      </c>
      <c r="I17" s="4">
        <f>Compras!P17</f>
        <v>2</v>
      </c>
      <c r="J17" s="22" t="s">
        <v>30</v>
      </c>
      <c r="K17" s="16">
        <f t="shared" si="0"/>
        <v>324.72343749999993</v>
      </c>
      <c r="L17" s="17">
        <f t="shared" si="2"/>
        <v>250</v>
      </c>
      <c r="M17" s="18">
        <f t="shared" si="1"/>
        <v>185.55624999999998</v>
      </c>
    </row>
    <row r="18" spans="1:13" ht="31.2" x14ac:dyDescent="0.3">
      <c r="A18" s="20">
        <v>18</v>
      </c>
      <c r="B18" s="3" t="str">
        <f>Compras!A18</f>
        <v>Peluche de Sullivan, Disney, 9 pulgadas, película de relleno suave</v>
      </c>
      <c r="C18" s="3" t="s">
        <v>85</v>
      </c>
      <c r="D18" s="3" t="s">
        <v>28</v>
      </c>
      <c r="E18" s="15">
        <f>Compras!C18</f>
        <v>413.4</v>
      </c>
      <c r="F18" s="6">
        <f>Compras!D18</f>
        <v>0.6422351233671989</v>
      </c>
      <c r="G18" s="4">
        <f>Compras!B18</f>
        <v>1</v>
      </c>
      <c r="H18" s="15">
        <f>Compras!Q18</f>
        <v>146.25</v>
      </c>
      <c r="I18" s="4">
        <f>Compras!P18</f>
        <v>1</v>
      </c>
      <c r="J18" s="22" t="s">
        <v>30</v>
      </c>
      <c r="K18" s="16">
        <f t="shared" si="0"/>
        <v>311.71875</v>
      </c>
      <c r="L18" s="17">
        <f t="shared" si="2"/>
        <v>250</v>
      </c>
      <c r="M18" s="18">
        <f t="shared" si="1"/>
        <v>207.8125</v>
      </c>
    </row>
    <row r="19" spans="1:13" x14ac:dyDescent="0.3">
      <c r="A19" s="20">
        <v>19</v>
      </c>
      <c r="B19" s="3" t="str">
        <f>Compras!A19</f>
        <v>Película de Disney, cerdo Waddles, 18cm</v>
      </c>
      <c r="C19" s="3" t="s">
        <v>85</v>
      </c>
      <c r="D19" s="3" t="s">
        <v>28</v>
      </c>
      <c r="E19" s="15">
        <f>Compras!C19</f>
        <v>188.57</v>
      </c>
      <c r="F19" s="6">
        <f>Compras!D19</f>
        <v>0.66113379646815507</v>
      </c>
      <c r="G19" s="4">
        <f>Compras!B19</f>
        <v>1</v>
      </c>
      <c r="H19" s="15">
        <f>Compras!Q19</f>
        <v>63.150000000000006</v>
      </c>
      <c r="I19" s="4">
        <f>Compras!P19</f>
        <v>1</v>
      </c>
      <c r="J19" s="22" t="s">
        <v>30</v>
      </c>
      <c r="K19" s="16">
        <f t="shared" si="0"/>
        <v>181.890625</v>
      </c>
      <c r="L19" s="17">
        <f t="shared" si="2"/>
        <v>140</v>
      </c>
      <c r="M19" s="18">
        <f t="shared" si="1"/>
        <v>103.9375</v>
      </c>
    </row>
    <row r="20" spans="1:13" ht="31.2" x14ac:dyDescent="0.3">
      <c r="A20" s="20">
        <v>20</v>
      </c>
      <c r="B20" s="3" t="str">
        <f>Compras!A20</f>
        <v>Sanrio Kuromi muñecos de peluche 40/50cm kawaii My Melody Cinnamoroll - Kuromi</v>
      </c>
      <c r="C20" s="3" t="s">
        <v>86</v>
      </c>
      <c r="D20" s="3" t="s">
        <v>28</v>
      </c>
      <c r="E20" s="15">
        <f>Compras!C20</f>
        <v>359.42</v>
      </c>
      <c r="F20" s="6">
        <f>Compras!D20</f>
        <v>0.48834232930833005</v>
      </c>
      <c r="G20" s="4">
        <f>Compras!B20</f>
        <v>1</v>
      </c>
      <c r="H20" s="15">
        <f>Compras!Q20</f>
        <v>181.87000000000003</v>
      </c>
      <c r="I20" s="4">
        <f>Compras!P20</f>
        <v>1</v>
      </c>
      <c r="J20" s="22" t="s">
        <v>30</v>
      </c>
      <c r="K20" s="16">
        <f t="shared" si="0"/>
        <v>378.50625000000002</v>
      </c>
      <c r="L20" s="17">
        <f t="shared" si="2"/>
        <v>310</v>
      </c>
      <c r="M20" s="18">
        <f t="shared" si="1"/>
        <v>252.33750000000003</v>
      </c>
    </row>
    <row r="21" spans="1:13" ht="31.2" x14ac:dyDescent="0.3">
      <c r="A21" s="20">
        <v>21</v>
      </c>
      <c r="B21" s="3" t="str">
        <f>Compras!A21</f>
        <v>Sanrio-juguetes de peluche de Hello Kitty para niñas, almohada suave de Anime, Kawaii  - HK 25cm</v>
      </c>
      <c r="C21" s="3" t="s">
        <v>86</v>
      </c>
      <c r="D21" s="3" t="s">
        <v>28</v>
      </c>
      <c r="E21" s="15">
        <f>Compras!C21</f>
        <v>162.31</v>
      </c>
      <c r="F21" s="6">
        <f>Compras!D21</f>
        <v>0.40915532006653932</v>
      </c>
      <c r="G21" s="4">
        <f>Compras!B21</f>
        <v>1</v>
      </c>
      <c r="H21" s="15">
        <f>Compras!Q21</f>
        <v>94.85</v>
      </c>
      <c r="I21" s="4">
        <f>Compras!P21</f>
        <v>1</v>
      </c>
      <c r="J21" s="22" t="s">
        <v>30</v>
      </c>
      <c r="K21" s="16">
        <f t="shared" si="0"/>
        <v>250.91249999999997</v>
      </c>
      <c r="L21" s="17">
        <f t="shared" si="2"/>
        <v>200</v>
      </c>
      <c r="M21" s="18">
        <f t="shared" si="1"/>
        <v>167.27499999999998</v>
      </c>
    </row>
    <row r="22" spans="1:13" ht="31.2" x14ac:dyDescent="0.3">
      <c r="A22" s="20">
        <v>22</v>
      </c>
      <c r="B22" s="3" t="str">
        <f>Compras!A22</f>
        <v>Sanrio-Personaje de dibujos animados de 35cm, peluche Cinnamoroll, con orejas grandes</v>
      </c>
      <c r="C22" s="3" t="s">
        <v>86</v>
      </c>
      <c r="D22" s="3" t="s">
        <v>28</v>
      </c>
      <c r="E22" s="15">
        <f>Compras!C22</f>
        <v>568.49</v>
      </c>
      <c r="F22" s="6">
        <f>Compras!D22</f>
        <v>0.60829566043378069</v>
      </c>
      <c r="G22" s="4">
        <f>Compras!B22</f>
        <v>1</v>
      </c>
      <c r="H22" s="15">
        <f>Compras!Q22</f>
        <v>207.39</v>
      </c>
      <c r="I22" s="4">
        <f>Compras!P22</f>
        <v>1</v>
      </c>
      <c r="J22" s="22" t="s">
        <v>30</v>
      </c>
      <c r="K22" s="16">
        <f t="shared" si="0"/>
        <v>426.35624999999993</v>
      </c>
      <c r="L22" s="17">
        <f t="shared" si="2"/>
        <v>350</v>
      </c>
      <c r="M22" s="18">
        <f t="shared" si="1"/>
        <v>284.23749999999995</v>
      </c>
    </row>
    <row r="23" spans="1:13" ht="31.2" x14ac:dyDescent="0.3">
      <c r="A23" s="20">
        <v>23</v>
      </c>
      <c r="B23" s="3" t="str">
        <f>Compras!A23</f>
        <v>Sanrio Kuromi Melody Hello Kitty, peluche kawaii suave, 30 cm - Hello Kitty</v>
      </c>
      <c r="C23" s="3" t="s">
        <v>89</v>
      </c>
      <c r="D23" s="3" t="s">
        <v>28</v>
      </c>
      <c r="E23" s="15">
        <f>Compras!C23</f>
        <v>221.55</v>
      </c>
      <c r="F23" s="6">
        <f>Compras!D23</f>
        <v>3.0331753554502364E-2</v>
      </c>
      <c r="G23" s="4">
        <f>Compras!B23</f>
        <v>1</v>
      </c>
      <c r="H23" s="15">
        <f>Compras!Q23</f>
        <v>202.06000000000003</v>
      </c>
      <c r="I23" s="4">
        <f>Compras!P23</f>
        <v>1</v>
      </c>
      <c r="J23" s="22" t="s">
        <v>30</v>
      </c>
      <c r="K23" s="16">
        <f t="shared" si="0"/>
        <v>359.67475000000007</v>
      </c>
      <c r="L23" s="17">
        <f t="shared" si="2"/>
        <v>360</v>
      </c>
      <c r="M23" s="18">
        <f t="shared" si="1"/>
        <v>378.60500000000008</v>
      </c>
    </row>
    <row r="24" spans="1:13" ht="31.2" x14ac:dyDescent="0.3">
      <c r="A24" s="20">
        <v>24</v>
      </c>
      <c r="B24" s="3" t="str">
        <f>Compras!A24</f>
        <v>Sanrio Kuromi peluche Cinnamoroll Melody, suave juguete Día de San Valentín - HK 25-30cm</v>
      </c>
      <c r="C24" s="3" t="s">
        <v>89</v>
      </c>
      <c r="D24" s="3" t="s">
        <v>28</v>
      </c>
      <c r="E24" s="15">
        <f>Compras!C24</f>
        <v>405.4</v>
      </c>
      <c r="F24" s="6">
        <f>Compras!D24</f>
        <v>0.63613714849531333</v>
      </c>
      <c r="G24" s="4">
        <f>Compras!B24</f>
        <v>1</v>
      </c>
      <c r="H24" s="15">
        <f>Compras!Q24</f>
        <v>137.22999999999999</v>
      </c>
      <c r="I24" s="4">
        <f>Compras!P24</f>
        <v>1</v>
      </c>
      <c r="J24" s="22" t="s">
        <v>30</v>
      </c>
      <c r="K24" s="16">
        <f t="shared" si="0"/>
        <v>294.80624999999998</v>
      </c>
      <c r="L24" s="17">
        <f t="shared" si="2"/>
        <v>240</v>
      </c>
      <c r="M24" s="18">
        <f t="shared" si="1"/>
        <v>196.53749999999999</v>
      </c>
    </row>
    <row r="25" spans="1:13" ht="31.2" x14ac:dyDescent="0.3">
      <c r="A25" s="20">
        <v>25</v>
      </c>
      <c r="B25" s="3" t="str">
        <f>Compras!A25</f>
        <v>Sanrio-peluche Kawaii, Kuromi Melody Cinnamorol, 22CM</v>
      </c>
      <c r="C25" s="3" t="s">
        <v>86</v>
      </c>
      <c r="D25" s="3" t="s">
        <v>28</v>
      </c>
      <c r="E25" s="15">
        <f>Compras!C25</f>
        <v>105</v>
      </c>
      <c r="F25" s="6">
        <f>Compras!D25</f>
        <v>2.733333333333338E-2</v>
      </c>
      <c r="G25" s="4">
        <f>Compras!B25</f>
        <v>1</v>
      </c>
      <c r="H25" s="15">
        <f>Compras!Q25</f>
        <v>96.029999999999987</v>
      </c>
      <c r="I25" s="4">
        <f>Compras!P25</f>
        <v>1</v>
      </c>
      <c r="J25" s="22" t="s">
        <v>30</v>
      </c>
      <c r="K25" s="16">
        <f t="shared" si="0"/>
        <v>241.31562499999998</v>
      </c>
      <c r="L25" s="17">
        <f t="shared" si="2"/>
        <v>210</v>
      </c>
      <c r="M25" s="18">
        <f t="shared" si="1"/>
        <v>193.05249999999998</v>
      </c>
    </row>
    <row r="26" spans="1:13" ht="31.2" x14ac:dyDescent="0.3">
      <c r="A26" s="20">
        <v>26</v>
      </c>
      <c r="B26" s="3" t="str">
        <f>Compras!A26</f>
        <v>Sanrio-juguetes de peluche de Hello Kitty para niñas, almohada suave de Anime, Kawaii - HK 25cm</v>
      </c>
      <c r="C26" s="3" t="s">
        <v>86</v>
      </c>
      <c r="D26" s="3" t="s">
        <v>28</v>
      </c>
      <c r="E26" s="15">
        <f>Compras!C26</f>
        <v>162.31</v>
      </c>
      <c r="F26" s="6">
        <f>Compras!D26</f>
        <v>0.54469841661019036</v>
      </c>
      <c r="G26" s="4">
        <f>Compras!B26</f>
        <v>1</v>
      </c>
      <c r="H26" s="15">
        <f>Compras!Q26</f>
        <v>71.67</v>
      </c>
      <c r="I26" s="4">
        <f>Compras!P26</f>
        <v>1</v>
      </c>
      <c r="J26" s="22" t="s">
        <v>30</v>
      </c>
      <c r="K26" s="16">
        <f t="shared" si="0"/>
        <v>198.75749999999999</v>
      </c>
      <c r="L26" s="17">
        <f t="shared" si="2"/>
        <v>160</v>
      </c>
      <c r="M26" s="18">
        <f t="shared" si="1"/>
        <v>132.505</v>
      </c>
    </row>
    <row r="27" spans="1:13" ht="46.8" x14ac:dyDescent="0.3">
      <c r="A27" s="20">
        <v>27</v>
      </c>
      <c r="B27" s="3" t="str">
        <f>Compras!A27</f>
        <v>Yugui-juguete de peluche para perro, muñeco de Pacha, máquina Kulomi, venta al por mayor 25cm - HK</v>
      </c>
      <c r="C27" s="3" t="s">
        <v>89</v>
      </c>
      <c r="D27" s="3" t="s">
        <v>28</v>
      </c>
      <c r="E27" s="15">
        <f>Compras!C27</f>
        <v>99</v>
      </c>
      <c r="F27" s="6">
        <f>Compras!D27</f>
        <v>0.32424242424242422</v>
      </c>
      <c r="G27" s="4">
        <f>Compras!B27</f>
        <v>1</v>
      </c>
      <c r="H27" s="15">
        <f>Compras!Q27</f>
        <v>64.985000000000014</v>
      </c>
      <c r="I27" s="4">
        <f>Compras!P27</f>
        <v>1</v>
      </c>
      <c r="J27" s="22" t="s">
        <v>30</v>
      </c>
      <c r="K27" s="16">
        <f t="shared" si="0"/>
        <v>208.08562500000005</v>
      </c>
      <c r="L27" s="17">
        <f t="shared" si="2"/>
        <v>170</v>
      </c>
      <c r="M27" s="18">
        <f t="shared" si="1"/>
        <v>138.72375000000002</v>
      </c>
    </row>
    <row r="28" spans="1:13" ht="46.8" x14ac:dyDescent="0.3">
      <c r="A28" s="20">
        <v>28</v>
      </c>
      <c r="B28" s="3" t="str">
        <f>Compras!A28</f>
        <v>Yugui-juguete de peluche para perro, muñeco de Pacha, máquina Kulomi, venta al por mayor 25cm - Cinnamoroll</v>
      </c>
      <c r="C28" s="3" t="s">
        <v>86</v>
      </c>
      <c r="D28" s="3" t="s">
        <v>28</v>
      </c>
      <c r="E28" s="15">
        <f>Compras!C28</f>
        <v>99</v>
      </c>
      <c r="F28" s="6">
        <f>Compras!D28</f>
        <v>0.41515151515151516</v>
      </c>
      <c r="G28" s="4">
        <f>Compras!B28</f>
        <v>1</v>
      </c>
      <c r="H28" s="15">
        <f>Compras!Q28</f>
        <v>55.984999999999992</v>
      </c>
      <c r="I28" s="4">
        <f>Compras!P28</f>
        <v>1</v>
      </c>
      <c r="J28" s="22" t="s">
        <v>30</v>
      </c>
      <c r="K28" s="16">
        <f t="shared" si="0"/>
        <v>184.46062499999996</v>
      </c>
      <c r="L28" s="17">
        <f t="shared" si="2"/>
        <v>150</v>
      </c>
      <c r="M28" s="18">
        <f t="shared" si="1"/>
        <v>122.97374999999998</v>
      </c>
    </row>
    <row r="29" spans="1:13" ht="31.2" x14ac:dyDescent="0.3">
      <c r="A29" s="20">
        <v>29</v>
      </c>
      <c r="B29" s="3" t="str">
        <f>Compras!A29</f>
        <v>Sanrio-vestido transparente, peluche de Hello Kitty, 40cm</v>
      </c>
      <c r="C29" s="3" t="s">
        <v>89</v>
      </c>
      <c r="D29" s="3" t="s">
        <v>28</v>
      </c>
      <c r="E29" s="15">
        <f>Compras!C29</f>
        <v>619.39</v>
      </c>
      <c r="F29" s="6">
        <f>Compras!D29</f>
        <v>0.72569786402751091</v>
      </c>
      <c r="G29" s="4">
        <f>Compras!B29</f>
        <v>1</v>
      </c>
      <c r="H29" s="15">
        <f>Compras!Q29</f>
        <v>164.57000000000002</v>
      </c>
      <c r="I29" s="4">
        <f>Compras!P29</f>
        <v>1</v>
      </c>
      <c r="J29" s="22" t="s">
        <v>30</v>
      </c>
      <c r="K29" s="16">
        <f t="shared" si="0"/>
        <v>346.06875000000002</v>
      </c>
      <c r="L29" s="17">
        <f t="shared" si="2"/>
        <v>280</v>
      </c>
      <c r="M29" s="18">
        <f t="shared" si="1"/>
        <v>230.71250000000003</v>
      </c>
    </row>
    <row r="30" spans="1:13" ht="31.2" x14ac:dyDescent="0.3">
      <c r="A30" s="20">
        <v>30</v>
      </c>
      <c r="B30" s="3" t="str">
        <f>Compras!A30</f>
        <v>Sanrio-juguetes de peluche de Hello Kitty para niñas, almohada suave de Anime, Kawaii - HK 25cm</v>
      </c>
      <c r="C30" s="3" t="s">
        <v>89</v>
      </c>
      <c r="D30" s="3" t="s">
        <v>28</v>
      </c>
      <c r="E30" s="15">
        <f>Compras!C30</f>
        <v>162.31</v>
      </c>
      <c r="F30" s="6">
        <f>Compras!D30</f>
        <v>0.41531636990943255</v>
      </c>
      <c r="G30" s="4">
        <f>Compras!B30</f>
        <v>1</v>
      </c>
      <c r="H30" s="15">
        <f>Compras!Q30</f>
        <v>91.740000000000009</v>
      </c>
      <c r="I30" s="4">
        <f>Compras!P30</f>
        <v>1</v>
      </c>
      <c r="J30" s="22" t="s">
        <v>30</v>
      </c>
      <c r="K30" s="16">
        <f t="shared" si="0"/>
        <v>243.91500000000002</v>
      </c>
      <c r="L30" s="17">
        <f t="shared" si="2"/>
        <v>200</v>
      </c>
      <c r="M30" s="18">
        <f t="shared" si="1"/>
        <v>162.61000000000001</v>
      </c>
    </row>
    <row r="31" spans="1:13" ht="31.2" x14ac:dyDescent="0.3">
      <c r="A31" s="20">
        <v>31</v>
      </c>
      <c r="B31" s="3" t="str">
        <f>Compras!A31</f>
        <v>Pokemon Kawaii Pikachu, muñecos de peluche de 30cm</v>
      </c>
      <c r="C31" s="3" t="s">
        <v>90</v>
      </c>
      <c r="D31" s="3" t="s">
        <v>28</v>
      </c>
      <c r="E31" s="15">
        <f>Compras!C31</f>
        <v>233.46</v>
      </c>
      <c r="F31" s="6">
        <f>Compras!D31</f>
        <v>0.51212199091921529</v>
      </c>
      <c r="G31" s="4">
        <f>Compras!B31</f>
        <v>1</v>
      </c>
      <c r="H31" s="15">
        <f>Compras!Q31</f>
        <v>110.74</v>
      </c>
      <c r="I31" s="4">
        <f>Compras!P31</f>
        <v>1</v>
      </c>
      <c r="J31" s="22" t="s">
        <v>30</v>
      </c>
      <c r="K31" s="16">
        <f t="shared" si="0"/>
        <v>245.13749999999999</v>
      </c>
      <c r="L31" s="17">
        <f t="shared" si="2"/>
        <v>200</v>
      </c>
      <c r="M31" s="18">
        <f t="shared" si="1"/>
        <v>163.42499999999998</v>
      </c>
    </row>
    <row r="32" spans="1:13" ht="31.2" x14ac:dyDescent="0.3">
      <c r="A32" s="20">
        <v>32</v>
      </c>
      <c r="B32" s="3" t="str">
        <f>Compras!A32</f>
        <v>Peluche grande Kawaii Disney Lilo y Stitch, peluche almohada, 45cm</v>
      </c>
      <c r="C32" s="3" t="s">
        <v>85</v>
      </c>
      <c r="D32" s="3" t="s">
        <v>28</v>
      </c>
      <c r="E32" s="15">
        <f>Compras!C32</f>
        <v>553.33000000000004</v>
      </c>
      <c r="F32" s="6">
        <f>Compras!D32</f>
        <v>0.70560063614841051</v>
      </c>
      <c r="G32" s="4">
        <f>Compras!B32</f>
        <v>1</v>
      </c>
      <c r="H32" s="15">
        <f>Compras!Q32</f>
        <v>157.80000000000001</v>
      </c>
      <c r="I32" s="4">
        <f>Compras!P32</f>
        <v>1</v>
      </c>
      <c r="J32" s="22" t="s">
        <v>30</v>
      </c>
      <c r="K32" s="16">
        <f t="shared" si="0"/>
        <v>333.375</v>
      </c>
      <c r="L32" s="17">
        <f t="shared" si="2"/>
        <v>270</v>
      </c>
      <c r="M32" s="18">
        <f t="shared" si="1"/>
        <v>222.25</v>
      </c>
    </row>
    <row r="33" spans="1:13" ht="31.2" x14ac:dyDescent="0.3">
      <c r="A33" s="20">
        <v>33</v>
      </c>
      <c r="B33" s="3" t="str">
        <f>Compras!A33</f>
        <v>Mochila de Marvel, Spiderman, mochila bonita afelpada</v>
      </c>
      <c r="C33" s="3" t="s">
        <v>91</v>
      </c>
      <c r="D33" s="3" t="s">
        <v>28</v>
      </c>
      <c r="E33" s="15">
        <f>Compras!C33</f>
        <v>258.70999999999998</v>
      </c>
      <c r="F33" s="6">
        <f>Compras!D33</f>
        <v>0.65250666769742172</v>
      </c>
      <c r="G33" s="4">
        <f>Compras!B33</f>
        <v>1</v>
      </c>
      <c r="H33" s="15">
        <f>Compras!Q33</f>
        <v>87.23</v>
      </c>
      <c r="I33" s="4">
        <f>Compras!P33</f>
        <v>1</v>
      </c>
      <c r="J33" s="22" t="s">
        <v>30</v>
      </c>
      <c r="K33" s="16">
        <f t="shared" si="0"/>
        <v>234.56562500000004</v>
      </c>
      <c r="L33" s="17">
        <f t="shared" si="2"/>
        <v>180</v>
      </c>
      <c r="M33" s="18">
        <f t="shared" si="1"/>
        <v>134.03750000000002</v>
      </c>
    </row>
    <row r="34" spans="1:13" ht="31.2" x14ac:dyDescent="0.3">
      <c r="A34" s="20">
        <v>34</v>
      </c>
      <c r="B34" s="3" t="str">
        <f>Compras!A34</f>
        <v>Sonic, peluche suave, erizo, Amy Rose, cola de nudillo,30cm</v>
      </c>
      <c r="C34" s="3" t="s">
        <v>92</v>
      </c>
      <c r="D34" s="3" t="s">
        <v>28</v>
      </c>
      <c r="E34" s="15">
        <f>Compras!C34</f>
        <v>357.06</v>
      </c>
      <c r="F34" s="6">
        <f>Compras!D34</f>
        <v>0.71181314064863044</v>
      </c>
      <c r="G34" s="4">
        <f>Compras!B34</f>
        <v>1</v>
      </c>
      <c r="H34" s="15">
        <f>Compras!Q34</f>
        <v>99.86</v>
      </c>
      <c r="I34" s="4">
        <f>Compras!P34</f>
        <v>1</v>
      </c>
      <c r="J34" s="22" t="s">
        <v>30</v>
      </c>
      <c r="K34" s="16">
        <f t="shared" ref="K34:K65" si="3">M34* (IF(M34-H34&lt;100, IF(M34-H34&gt;80, 1.25, IF(M34-H34&gt;50, 1.5, 1.75)), IF(M34-H34&gt;150, 0.95, IF(M34-H34&gt;170, 0.9, 1))))</f>
        <v>262.19374999999997</v>
      </c>
      <c r="L34" s="17">
        <f t="shared" si="2"/>
        <v>200</v>
      </c>
      <c r="M34" s="18">
        <f t="shared" ref="M34:M65" si="4">(H34/I34) * ( IF(E34&gt;H34, IF(E34-H34&gt;100, 1.25, IF(E34-H34&gt;50, 1.5, 1.75)), IF(H34-E34&gt;100, 1.25, IF(H34-E34&gt;50, 1.5, 1.75))) ) + 25</f>
        <v>149.82499999999999</v>
      </c>
    </row>
    <row r="35" spans="1:13" x14ac:dyDescent="0.3">
      <c r="A35" s="20">
        <v>35</v>
      </c>
      <c r="B35" s="3" t="str">
        <f>Compras!A35</f>
        <v>Disney-Lilo &amp; Stitch, peluche Kawaii, 20-25CM</v>
      </c>
      <c r="C35" s="3" t="s">
        <v>85</v>
      </c>
      <c r="D35" s="3" t="s">
        <v>28</v>
      </c>
      <c r="E35" s="15">
        <f>Compras!C35</f>
        <v>183.82</v>
      </c>
      <c r="F35" s="6">
        <f>Compras!D35</f>
        <v>0.61973669894461958</v>
      </c>
      <c r="G35" s="4">
        <f>Compras!B35</f>
        <v>1</v>
      </c>
      <c r="H35" s="15">
        <f>Compras!Q35</f>
        <v>67.87</v>
      </c>
      <c r="I35" s="4">
        <f>Compras!P35</f>
        <v>1</v>
      </c>
      <c r="J35" s="22" t="s">
        <v>30</v>
      </c>
      <c r="K35" s="16">
        <f t="shared" si="3"/>
        <v>192.21562500000002</v>
      </c>
      <c r="L35" s="17">
        <f t="shared" si="2"/>
        <v>150</v>
      </c>
      <c r="M35" s="18">
        <f t="shared" si="4"/>
        <v>109.83750000000001</v>
      </c>
    </row>
    <row r="36" spans="1:13" ht="31.2" x14ac:dyDescent="0.3">
      <c r="A36" s="20">
        <v>36</v>
      </c>
      <c r="B36" s="3" t="str">
        <f>Compras!A36</f>
        <v>MINISO-oso de peluche de arcoíris para niña, juguete de peluche de 40 Cm, Multicolor</v>
      </c>
      <c r="C36" s="3" t="s">
        <v>93</v>
      </c>
      <c r="D36" s="3" t="s">
        <v>28</v>
      </c>
      <c r="E36" s="15">
        <f>Compras!C36</f>
        <v>163.16999999999999</v>
      </c>
      <c r="F36" s="6">
        <f>Compras!D36</f>
        <v>2.1327449898878408E-2</v>
      </c>
      <c r="G36" s="4">
        <f>Compras!B36</f>
        <v>1</v>
      </c>
      <c r="H36" s="15">
        <f>Compras!Q36</f>
        <v>146.97000000000003</v>
      </c>
      <c r="I36" s="4">
        <f>Compras!P36</f>
        <v>1</v>
      </c>
      <c r="J36" s="22" t="s">
        <v>30</v>
      </c>
      <c r="K36" s="16">
        <f t="shared" si="3"/>
        <v>282.19750000000005</v>
      </c>
      <c r="L36" s="17">
        <f t="shared" si="2"/>
        <v>280</v>
      </c>
      <c r="M36" s="18">
        <f t="shared" si="4"/>
        <v>282.19750000000005</v>
      </c>
    </row>
    <row r="37" spans="1:13" ht="31.2" x14ac:dyDescent="0.3">
      <c r="A37" s="20">
        <v>37</v>
      </c>
      <c r="B37" s="3" t="str">
        <f>Compras!A37</f>
        <v>MINISO-oso de peluche de arcoíris para niña, juguete de peluche de 40 Cm, Morado</v>
      </c>
      <c r="C37" s="3" t="s">
        <v>93</v>
      </c>
      <c r="D37" s="3" t="s">
        <v>28</v>
      </c>
      <c r="E37" s="15">
        <f>Compras!C37</f>
        <v>172.69</v>
      </c>
      <c r="F37" s="6">
        <f>Compras!D37</f>
        <v>3.7118536105159514E-2</v>
      </c>
      <c r="G37" s="4">
        <f>Compras!B37</f>
        <v>1</v>
      </c>
      <c r="H37" s="15">
        <f>Compras!Q37</f>
        <v>152.83999999999997</v>
      </c>
      <c r="I37" s="4">
        <f>Compras!P37</f>
        <v>1</v>
      </c>
      <c r="J37" s="22" t="s">
        <v>30</v>
      </c>
      <c r="K37" s="16">
        <f t="shared" si="3"/>
        <v>292.46999999999997</v>
      </c>
      <c r="L37" s="17">
        <f t="shared" si="2"/>
        <v>290</v>
      </c>
      <c r="M37" s="18">
        <f t="shared" si="4"/>
        <v>292.46999999999997</v>
      </c>
    </row>
    <row r="38" spans="1:13" ht="31.2" x14ac:dyDescent="0.3">
      <c r="A38" s="20">
        <v>38</v>
      </c>
      <c r="B38" s="3" t="str">
        <f>Compras!A38</f>
        <v>Sanrio-peluches Kawaii de Hello Kitty, pijama osito cariñosito, Cinnamoroll</v>
      </c>
      <c r="C38" s="3" t="s">
        <v>86</v>
      </c>
      <c r="D38" s="3" t="s">
        <v>28</v>
      </c>
      <c r="E38" s="15">
        <f>Compras!C38</f>
        <v>225.35</v>
      </c>
      <c r="F38" s="6">
        <f>Compras!D38</f>
        <v>-1.2203239405369427E-2</v>
      </c>
      <c r="G38" s="4">
        <f>Compras!B38</f>
        <v>1</v>
      </c>
      <c r="H38" s="15">
        <f>Compras!Q38</f>
        <v>209.76</v>
      </c>
      <c r="I38" s="4">
        <f>Compras!P38</f>
        <v>1</v>
      </c>
      <c r="J38" s="22" t="s">
        <v>30</v>
      </c>
      <c r="K38" s="16">
        <f t="shared" si="3"/>
        <v>372.47599999999994</v>
      </c>
      <c r="L38" s="17">
        <f t="shared" si="2"/>
        <v>380</v>
      </c>
      <c r="M38" s="18">
        <f t="shared" si="4"/>
        <v>392.08</v>
      </c>
    </row>
    <row r="39" spans="1:13" ht="31.2" x14ac:dyDescent="0.3">
      <c r="A39" s="20">
        <v>39</v>
      </c>
      <c r="B39" s="3" t="str">
        <f>Compras!A39</f>
        <v>Sanrio-peluches Kawaii de Hello Kitty, pijama osito cariñosito, HK</v>
      </c>
      <c r="C39" s="3" t="s">
        <v>89</v>
      </c>
      <c r="D39" s="3" t="s">
        <v>28</v>
      </c>
      <c r="E39" s="15">
        <f>Compras!C39</f>
        <v>225.35</v>
      </c>
      <c r="F39" s="6">
        <f>Compras!D39</f>
        <v>2.1610827601508786E-2</v>
      </c>
      <c r="G39" s="4">
        <f>Compras!B39</f>
        <v>1</v>
      </c>
      <c r="H39" s="15">
        <f>Compras!Q39</f>
        <v>202.76</v>
      </c>
      <c r="I39" s="4">
        <f>Compras!P39</f>
        <v>1</v>
      </c>
      <c r="J39" s="22" t="s">
        <v>30</v>
      </c>
      <c r="K39" s="16">
        <f t="shared" si="3"/>
        <v>360.83849999999995</v>
      </c>
      <c r="L39" s="17">
        <f t="shared" si="2"/>
        <v>370</v>
      </c>
      <c r="M39" s="18">
        <f t="shared" si="4"/>
        <v>379.83</v>
      </c>
    </row>
    <row r="40" spans="1:13" ht="31.2" x14ac:dyDescent="0.3">
      <c r="A40" s="20">
        <v>40</v>
      </c>
      <c r="B40" s="3" t="str">
        <f>Compras!A40</f>
        <v>Sanrio Kuromi Cinnamoroll Melody, peluche suave Día de San Valentín, 30cm, HK corazon</v>
      </c>
      <c r="C40" s="3" t="s">
        <v>89</v>
      </c>
      <c r="D40" s="3" t="s">
        <v>28</v>
      </c>
      <c r="E40" s="15">
        <f>Compras!C40</f>
        <v>405.4</v>
      </c>
      <c r="F40" s="6">
        <f>Compras!D40</f>
        <v>0.63613714849531333</v>
      </c>
      <c r="G40" s="4">
        <f>Compras!B40</f>
        <v>1</v>
      </c>
      <c r="H40" s="15">
        <f>Compras!Q40</f>
        <v>134.32999999999998</v>
      </c>
      <c r="I40" s="4">
        <f>Compras!P40</f>
        <v>1</v>
      </c>
      <c r="J40" s="22" t="s">
        <v>30</v>
      </c>
      <c r="K40" s="16">
        <f t="shared" si="3"/>
        <v>289.36874999999998</v>
      </c>
      <c r="L40" s="17">
        <f t="shared" si="2"/>
        <v>240</v>
      </c>
      <c r="M40" s="18">
        <f t="shared" si="4"/>
        <v>192.91249999999997</v>
      </c>
    </row>
    <row r="41" spans="1:13" ht="31.2" x14ac:dyDescent="0.3">
      <c r="A41" s="20">
        <v>41</v>
      </c>
      <c r="B41" s="3" t="str">
        <f>Compras!A41</f>
        <v>Disney's Anime grande, púrpura, San Valentín, Stich, 30cm</v>
      </c>
      <c r="C41" s="3" t="s">
        <v>85</v>
      </c>
      <c r="D41" s="3" t="s">
        <v>28</v>
      </c>
      <c r="E41" s="15">
        <f>Compras!C41</f>
        <v>361.42</v>
      </c>
      <c r="F41" s="6">
        <f>Compras!D41</f>
        <v>0.40221902495711359</v>
      </c>
      <c r="G41" s="4">
        <f>Compras!B41</f>
        <v>1</v>
      </c>
      <c r="H41" s="15">
        <f>Compras!Q41</f>
        <v>229.31</v>
      </c>
      <c r="I41" s="4">
        <f>Compras!P41</f>
        <v>1</v>
      </c>
      <c r="J41" s="22" t="s">
        <v>30</v>
      </c>
      <c r="K41" s="16">
        <f t="shared" si="3"/>
        <v>389.546875</v>
      </c>
      <c r="L41" s="17">
        <f t="shared" si="2"/>
        <v>350</v>
      </c>
      <c r="M41" s="18">
        <f t="shared" si="4"/>
        <v>311.63749999999999</v>
      </c>
    </row>
    <row r="42" spans="1:13" ht="31.2" x14ac:dyDescent="0.3">
      <c r="A42" s="20">
        <v>42</v>
      </c>
      <c r="B42" s="3" t="str">
        <f>Compras!A42</f>
        <v>Miniso-Lilo &amp; Stitch de Disney, peluche Kawaii, suave, Azul, 30cm</v>
      </c>
      <c r="C42" s="3" t="s">
        <v>85</v>
      </c>
      <c r="D42" s="3" t="s">
        <v>28</v>
      </c>
      <c r="E42" s="15">
        <f>Compras!C42</f>
        <v>383.09</v>
      </c>
      <c r="F42" s="6">
        <f>Compras!D42</f>
        <v>0.47798167532433639</v>
      </c>
      <c r="G42" s="4">
        <f>Compras!B42</f>
        <v>1</v>
      </c>
      <c r="H42" s="15">
        <f>Compras!Q42</f>
        <v>183.81</v>
      </c>
      <c r="I42" s="4">
        <f>Compras!P42</f>
        <v>1</v>
      </c>
      <c r="J42" s="22" t="s">
        <v>30</v>
      </c>
      <c r="K42" s="16">
        <f t="shared" si="3"/>
        <v>382.14374999999995</v>
      </c>
      <c r="L42" s="17">
        <f t="shared" si="2"/>
        <v>310</v>
      </c>
      <c r="M42" s="18">
        <f t="shared" si="4"/>
        <v>254.76249999999999</v>
      </c>
    </row>
    <row r="43" spans="1:13" ht="31.2" x14ac:dyDescent="0.3">
      <c r="A43" s="20">
        <v>43</v>
      </c>
      <c r="B43" s="3" t="str">
        <f>Compras!A43</f>
        <v>Bob Esponja Squarepants, peluche Patricio, Estrella rosa, Kawaii, Bob esponja, 40cm</v>
      </c>
      <c r="C43" s="3" t="s">
        <v>94</v>
      </c>
      <c r="D43" s="3" t="s">
        <v>28</v>
      </c>
      <c r="E43" s="15">
        <f>Compras!C43</f>
        <v>448.57</v>
      </c>
      <c r="F43" s="6">
        <f>Compras!D43</f>
        <v>0.6725148806206388</v>
      </c>
      <c r="G43" s="4">
        <f>Compras!B43</f>
        <v>1</v>
      </c>
      <c r="H43" s="15">
        <f>Compras!Q43</f>
        <v>134.98000000000002</v>
      </c>
      <c r="I43" s="4">
        <f>Compras!P43</f>
        <v>1</v>
      </c>
      <c r="J43" s="22" t="s">
        <v>30</v>
      </c>
      <c r="K43" s="16">
        <f t="shared" si="3"/>
        <v>290.58750000000003</v>
      </c>
      <c r="L43" s="17">
        <f t="shared" si="2"/>
        <v>240</v>
      </c>
      <c r="M43" s="18">
        <f t="shared" si="4"/>
        <v>193.72500000000002</v>
      </c>
    </row>
    <row r="44" spans="1:13" ht="31.2" x14ac:dyDescent="0.3">
      <c r="A44" s="20">
        <v>44</v>
      </c>
      <c r="B44" s="3" t="str">
        <f>Compras!A44</f>
        <v>Peluche de Lilo Stitch, Ángel, Anime, suave, 30cm, azul corazon</v>
      </c>
      <c r="C44" s="3" t="s">
        <v>85</v>
      </c>
      <c r="D44" s="3" t="s">
        <v>28</v>
      </c>
      <c r="E44" s="15">
        <f>Compras!C44</f>
        <v>225.46</v>
      </c>
      <c r="F44" s="6">
        <f>Compras!D44</f>
        <v>3.6769271711168366E-2</v>
      </c>
      <c r="G44" s="4">
        <f>Compras!B44</f>
        <v>1</v>
      </c>
      <c r="H44" s="15">
        <f>Compras!Q44</f>
        <v>199.65999999999997</v>
      </c>
      <c r="I44" s="4">
        <f>Compras!P44</f>
        <v>1</v>
      </c>
      <c r="J44" s="22" t="s">
        <v>30</v>
      </c>
      <c r="K44" s="16">
        <f t="shared" si="3"/>
        <v>355.68474999999995</v>
      </c>
      <c r="L44" s="17">
        <f t="shared" si="2"/>
        <v>360</v>
      </c>
      <c r="M44" s="18">
        <f t="shared" si="4"/>
        <v>374.40499999999997</v>
      </c>
    </row>
    <row r="45" spans="1:13" x14ac:dyDescent="0.3">
      <c r="A45" s="20">
        <v>45</v>
      </c>
      <c r="B45" s="3" t="str">
        <f>Compras!A45</f>
        <v>Disney Stitch, lindo conejo de peluche, 40cm</v>
      </c>
      <c r="C45" s="3" t="s">
        <v>85</v>
      </c>
      <c r="D45" s="3" t="s">
        <v>28</v>
      </c>
      <c r="E45" s="15">
        <f>Compras!C45</f>
        <v>278.32</v>
      </c>
      <c r="F45" s="6">
        <f>Compras!D45</f>
        <v>0.3550589249784421</v>
      </c>
      <c r="G45" s="4">
        <f>Compras!B45</f>
        <v>1</v>
      </c>
      <c r="H45" s="15">
        <f>Compras!Q45</f>
        <v>163.32</v>
      </c>
      <c r="I45" s="4">
        <f>Compras!P45</f>
        <v>1</v>
      </c>
      <c r="J45" s="22" t="s">
        <v>30</v>
      </c>
      <c r="K45" s="16">
        <f t="shared" si="3"/>
        <v>343.72499999999997</v>
      </c>
      <c r="L45" s="17">
        <f t="shared" si="2"/>
        <v>280</v>
      </c>
      <c r="M45" s="18">
        <f t="shared" si="4"/>
        <v>229.14999999999998</v>
      </c>
    </row>
    <row r="46" spans="1:13" ht="31.2" x14ac:dyDescent="0.3">
      <c r="A46" s="20">
        <v>46</v>
      </c>
      <c r="B46" s="3" t="str">
        <f>Compras!A46</f>
        <v xml:space="preserve">Sanrio Kawaii Cinnamoroll sombrero, peluche almohada suave </v>
      </c>
      <c r="C46" s="3" t="s">
        <v>86</v>
      </c>
      <c r="D46" s="3" t="s">
        <v>28</v>
      </c>
      <c r="E46" s="15">
        <f>Compras!C46</f>
        <v>548.29999999999995</v>
      </c>
      <c r="F46" s="6">
        <f>Compras!D46</f>
        <v>0.6876345066569397</v>
      </c>
      <c r="G46" s="4">
        <f>Compras!B46</f>
        <v>1</v>
      </c>
      <c r="H46" s="15">
        <f>Compras!Q46</f>
        <v>155.94000000000003</v>
      </c>
      <c r="I46" s="4">
        <f>Compras!P46</f>
        <v>1</v>
      </c>
      <c r="J46" s="22" t="s">
        <v>30</v>
      </c>
      <c r="K46" s="16">
        <f t="shared" si="3"/>
        <v>329.88750000000005</v>
      </c>
      <c r="L46" s="17">
        <f t="shared" si="2"/>
        <v>270</v>
      </c>
      <c r="M46" s="18">
        <f t="shared" si="4"/>
        <v>219.92500000000004</v>
      </c>
    </row>
    <row r="47" spans="1:13" ht="31.2" x14ac:dyDescent="0.3">
      <c r="A47" s="20">
        <v>47</v>
      </c>
      <c r="B47" s="3" t="str">
        <f>Compras!A47</f>
        <v>Sanrio Ice Cream Hello Kitty Kuromi Melody Cinnamoroll, peluche almohada, 30cm</v>
      </c>
      <c r="C47" s="3" t="s">
        <v>89</v>
      </c>
      <c r="D47" s="3" t="s">
        <v>28</v>
      </c>
      <c r="E47" s="15">
        <f>Compras!C47</f>
        <v>572.12</v>
      </c>
      <c r="F47" s="6">
        <f>Compras!D47</f>
        <v>0.66304271831084394</v>
      </c>
      <c r="G47" s="4">
        <f>Compras!B47</f>
        <v>1</v>
      </c>
      <c r="H47" s="15">
        <f>Compras!Q47</f>
        <v>178.14</v>
      </c>
      <c r="I47" s="4">
        <f>Compras!P47</f>
        <v>1</v>
      </c>
      <c r="J47" s="22" t="s">
        <v>30</v>
      </c>
      <c r="K47" s="16">
        <f t="shared" si="3"/>
        <v>371.51249999999999</v>
      </c>
      <c r="L47" s="17">
        <f t="shared" si="2"/>
        <v>300</v>
      </c>
      <c r="M47" s="18">
        <f t="shared" si="4"/>
        <v>247.67499999999998</v>
      </c>
    </row>
    <row r="48" spans="1:13" ht="31.2" x14ac:dyDescent="0.3">
      <c r="A48" s="20">
        <v>48</v>
      </c>
      <c r="B48" s="3" t="str">
        <f>Compras!A48</f>
        <v>MINISO-oso de peluche de arcoíris, peluche de 40 Cm, rosa</v>
      </c>
      <c r="C48" s="3" t="s">
        <v>86</v>
      </c>
      <c r="D48" s="3" t="s">
        <v>28</v>
      </c>
      <c r="E48" s="15">
        <f>Compras!C48</f>
        <v>177.84</v>
      </c>
      <c r="F48" s="6">
        <f>Compras!D48</f>
        <v>3.671839856050383E-2</v>
      </c>
      <c r="G48" s="4">
        <f>Compras!B48</f>
        <v>1</v>
      </c>
      <c r="H48" s="15">
        <f>Compras!Q48</f>
        <v>160.31</v>
      </c>
      <c r="I48" s="4">
        <f>Compras!P48</f>
        <v>1</v>
      </c>
      <c r="J48" s="22" t="s">
        <v>30</v>
      </c>
      <c r="K48" s="16">
        <f t="shared" si="3"/>
        <v>305.54250000000002</v>
      </c>
      <c r="L48" s="17">
        <f t="shared" si="2"/>
        <v>300</v>
      </c>
      <c r="M48" s="18">
        <f t="shared" si="4"/>
        <v>305.54250000000002</v>
      </c>
    </row>
    <row r="49" spans="1:13" ht="31.2" x14ac:dyDescent="0.3">
      <c r="A49" s="20">
        <v>49</v>
      </c>
      <c r="B49" s="3" t="str">
        <f>Compras!A49</f>
        <v>Sanrio Yugui se transforma en un juguete de peluche de fresa, almohada, Cinnamoroll</v>
      </c>
      <c r="C49" s="3" t="s">
        <v>86</v>
      </c>
      <c r="D49" s="3" t="s">
        <v>28</v>
      </c>
      <c r="E49" s="15">
        <f>Compras!C49</f>
        <v>135.66</v>
      </c>
      <c r="F49" s="6">
        <f>Compras!D49</f>
        <v>0</v>
      </c>
      <c r="G49" s="4">
        <f>Compras!B49</f>
        <v>1</v>
      </c>
      <c r="H49" s="15">
        <f>Compras!Q49</f>
        <v>126.93999999999998</v>
      </c>
      <c r="I49" s="4">
        <f>Compras!P49</f>
        <v>1</v>
      </c>
      <c r="J49" s="22" t="s">
        <v>30</v>
      </c>
      <c r="K49" s="16">
        <f t="shared" si="3"/>
        <v>247.14499999999998</v>
      </c>
      <c r="L49" s="17">
        <f t="shared" si="2"/>
        <v>240</v>
      </c>
      <c r="M49" s="18">
        <f t="shared" si="4"/>
        <v>247.14499999999998</v>
      </c>
    </row>
    <row r="50" spans="1:13" ht="31.2" x14ac:dyDescent="0.3">
      <c r="A50" s="20">
        <v>50</v>
      </c>
      <c r="B50" s="3" t="str">
        <f>Compras!A50</f>
        <v>Sanrio-almohada de felpa de Hello Kitty, cojín de cabecera</v>
      </c>
      <c r="C50" s="3" t="s">
        <v>86</v>
      </c>
      <c r="D50" s="3" t="s">
        <v>28</v>
      </c>
      <c r="E50" s="15">
        <f>Compras!C50</f>
        <v>162.12</v>
      </c>
      <c r="F50" s="6">
        <f>Compras!D50</f>
        <v>3.9106834443622028E-2</v>
      </c>
      <c r="G50" s="4">
        <f>Compras!B50</f>
        <v>1</v>
      </c>
      <c r="H50" s="15">
        <f>Compras!Q50</f>
        <v>138.51</v>
      </c>
      <c r="I50" s="4">
        <f>Compras!P50</f>
        <v>1</v>
      </c>
      <c r="J50" s="22" t="s">
        <v>30</v>
      </c>
      <c r="K50" s="16">
        <f t="shared" si="3"/>
        <v>267.39249999999998</v>
      </c>
      <c r="L50" s="17">
        <f t="shared" si="2"/>
        <v>260</v>
      </c>
      <c r="M50" s="18">
        <f t="shared" si="4"/>
        <v>267.39249999999998</v>
      </c>
    </row>
    <row r="51" spans="1:13" ht="31.2" x14ac:dyDescent="0.3">
      <c r="A51" s="20">
        <v>51</v>
      </c>
      <c r="B51" s="3" t="str">
        <f>Compras!A51</f>
        <v>Peluche de cerdo, corazón de retención, almohadas, suaves, 20cm</v>
      </c>
      <c r="C51" s="3" t="s">
        <v>87</v>
      </c>
      <c r="D51" s="3" t="s">
        <v>28</v>
      </c>
      <c r="E51" s="15">
        <f>Compras!C51</f>
        <v>181.84</v>
      </c>
      <c r="F51" s="6">
        <f>Compras!D51</f>
        <v>0.45639023317201932</v>
      </c>
      <c r="G51" s="4">
        <f>Compras!B51</f>
        <v>1</v>
      </c>
      <c r="H51" s="15">
        <f>Compras!Q51</f>
        <v>92.009999999999991</v>
      </c>
      <c r="I51" s="4">
        <f>Compras!P51</f>
        <v>1</v>
      </c>
      <c r="J51" s="22" t="s">
        <v>30</v>
      </c>
      <c r="K51" s="16">
        <f t="shared" si="3"/>
        <v>244.52249999999998</v>
      </c>
      <c r="L51" s="17">
        <f t="shared" si="2"/>
        <v>200</v>
      </c>
      <c r="M51" s="18">
        <f t="shared" si="4"/>
        <v>163.01499999999999</v>
      </c>
    </row>
    <row r="52" spans="1:13" ht="31.2" x14ac:dyDescent="0.3">
      <c r="A52" s="20">
        <v>52</v>
      </c>
      <c r="B52" s="3" t="str">
        <f>Compras!A52</f>
        <v>Sanrio-muñeco de peluche Kuromi Melody, muñeco de peluche cómodo y suave, Cinnamoroll, 20cm</v>
      </c>
      <c r="C52" s="3" t="s">
        <v>86</v>
      </c>
      <c r="D52" s="3" t="s">
        <v>28</v>
      </c>
      <c r="E52" s="15">
        <f>Compras!C52</f>
        <v>720.24</v>
      </c>
      <c r="F52" s="6">
        <f>Compras!D52</f>
        <v>0.63949516827724084</v>
      </c>
      <c r="G52" s="4">
        <f>Compras!B52</f>
        <v>1</v>
      </c>
      <c r="H52" s="15">
        <f>Compras!Q52</f>
        <v>243.75999999999996</v>
      </c>
      <c r="I52" s="4">
        <f>Compras!P52</f>
        <v>1</v>
      </c>
      <c r="J52" s="22" t="s">
        <v>30</v>
      </c>
      <c r="K52" s="16">
        <f t="shared" si="3"/>
        <v>412.12499999999989</v>
      </c>
      <c r="L52" s="17">
        <f t="shared" si="2"/>
        <v>370</v>
      </c>
      <c r="M52" s="18">
        <f t="shared" si="4"/>
        <v>329.69999999999993</v>
      </c>
    </row>
    <row r="53" spans="1:13" ht="31.2" x14ac:dyDescent="0.3">
      <c r="A53" s="20">
        <v>53</v>
      </c>
      <c r="B53" s="3" t="str">
        <f>Compras!A53</f>
        <v>Disney-figuras originales Stitch, peluche, 25cm, corazon, azul</v>
      </c>
      <c r="C53" s="3" t="s">
        <v>85</v>
      </c>
      <c r="D53" s="3" t="s">
        <v>28</v>
      </c>
      <c r="E53" s="15">
        <f>Compras!C53</f>
        <v>144.84</v>
      </c>
      <c r="F53" s="6">
        <f>Compras!D53</f>
        <v>0.46651477492405419</v>
      </c>
      <c r="G53" s="4">
        <f>Compras!B53</f>
        <v>1</v>
      </c>
      <c r="H53" s="15">
        <f>Compras!Q53</f>
        <v>71.89</v>
      </c>
      <c r="I53" s="4">
        <f>Compras!P53</f>
        <v>1</v>
      </c>
      <c r="J53" s="22" t="s">
        <v>30</v>
      </c>
      <c r="K53" s="16">
        <f t="shared" si="3"/>
        <v>199.2525</v>
      </c>
      <c r="L53" s="17">
        <f t="shared" si="2"/>
        <v>160</v>
      </c>
      <c r="M53" s="18">
        <f t="shared" si="4"/>
        <v>132.83500000000001</v>
      </c>
    </row>
    <row r="54" spans="1:13" ht="31.2" x14ac:dyDescent="0.3">
      <c r="A54" s="20">
        <v>54</v>
      </c>
      <c r="B54" s="3" t="str">
        <f>Compras!A54</f>
        <v>Disney-figuras originales Stitch, peluche, 25cm, corazon, rosa</v>
      </c>
      <c r="C54" s="3" t="s">
        <v>85</v>
      </c>
      <c r="D54" s="3" t="s">
        <v>28</v>
      </c>
      <c r="E54" s="15">
        <f>Compras!C54</f>
        <v>158.12</v>
      </c>
      <c r="F54" s="6">
        <f>Compras!D54</f>
        <v>0.46654439666076397</v>
      </c>
      <c r="G54" s="4">
        <f>Compras!B54</f>
        <v>1</v>
      </c>
      <c r="H54" s="15">
        <f>Compras!Q54</f>
        <v>78.529999999999987</v>
      </c>
      <c r="I54" s="4">
        <f>Compras!P54</f>
        <v>1</v>
      </c>
      <c r="J54" s="22" t="s">
        <v>30</v>
      </c>
      <c r="K54" s="16">
        <f t="shared" si="3"/>
        <v>214.1925</v>
      </c>
      <c r="L54" s="17">
        <f t="shared" si="2"/>
        <v>170</v>
      </c>
      <c r="M54" s="18">
        <f t="shared" si="4"/>
        <v>142.79499999999999</v>
      </c>
    </row>
    <row r="55" spans="1:13" ht="31.2" x14ac:dyDescent="0.3">
      <c r="A55" s="20">
        <v>55</v>
      </c>
      <c r="B55" s="3" t="str">
        <f>Compras!A55</f>
        <v>Sanrio Kawaii Cinnamoroll sombrero, peluche almohada suave, 25cm, Cinnamoroll</v>
      </c>
      <c r="C55" s="3" t="s">
        <v>86</v>
      </c>
      <c r="D55" s="3" t="s">
        <v>28</v>
      </c>
      <c r="E55" s="15">
        <f>Compras!C55</f>
        <v>506.83</v>
      </c>
      <c r="F55" s="6">
        <f>Compras!D55</f>
        <v>0.68798216364461451</v>
      </c>
      <c r="G55" s="4">
        <f>Compras!B55</f>
        <v>1</v>
      </c>
      <c r="H55" s="15">
        <f>Compras!Q55</f>
        <v>147.15999999999997</v>
      </c>
      <c r="I55" s="4">
        <f>Compras!P55</f>
        <v>1</v>
      </c>
      <c r="J55" s="22" t="s">
        <v>30</v>
      </c>
      <c r="K55" s="16">
        <f t="shared" si="3"/>
        <v>313.42499999999995</v>
      </c>
      <c r="L55" s="17">
        <f t="shared" si="2"/>
        <v>260</v>
      </c>
      <c r="M55" s="18">
        <f t="shared" si="4"/>
        <v>208.94999999999996</v>
      </c>
    </row>
    <row r="56" spans="1:13" x14ac:dyDescent="0.3">
      <c r="A56" s="20">
        <v>56</v>
      </c>
      <c r="B56" s="3" t="str">
        <f>Compras!A56</f>
        <v>Peluche de Snoopy , almohada de juguete, 35-65cm</v>
      </c>
      <c r="C56" s="3" t="s">
        <v>88</v>
      </c>
      <c r="D56" s="3" t="s">
        <v>28</v>
      </c>
      <c r="E56" s="15">
        <f>Compras!C56</f>
        <v>502.73</v>
      </c>
      <c r="F56" s="6">
        <f>Compras!D56</f>
        <v>0.73256022119229003</v>
      </c>
      <c r="G56" s="4">
        <f>Compras!B56</f>
        <v>1</v>
      </c>
      <c r="H56" s="15">
        <f>Compras!Q56</f>
        <v>126.35999999999999</v>
      </c>
      <c r="I56" s="4">
        <f>Compras!P56</f>
        <v>1</v>
      </c>
      <c r="J56" s="22" t="s">
        <v>30</v>
      </c>
      <c r="K56" s="16">
        <f t="shared" si="3"/>
        <v>274.42499999999995</v>
      </c>
      <c r="L56" s="17">
        <f t="shared" si="2"/>
        <v>220</v>
      </c>
      <c r="M56" s="18">
        <f t="shared" si="4"/>
        <v>182.95</v>
      </c>
    </row>
    <row r="57" spans="1:13" ht="31.2" x14ac:dyDescent="0.3">
      <c r="A57" s="20">
        <v>57</v>
      </c>
      <c r="B57" s="3" t="str">
        <f>Compras!A57</f>
        <v>Peluche The Legend of Zelda Link Boy Goblin, peluche suaves, 21-27 cm</v>
      </c>
      <c r="C57" s="3" t="s">
        <v>29</v>
      </c>
      <c r="D57" s="3" t="s">
        <v>28</v>
      </c>
      <c r="E57" s="15">
        <f>Compras!C57</f>
        <v>412.03</v>
      </c>
      <c r="F57" s="6">
        <f>Compras!D57</f>
        <v>0.58869499793704338</v>
      </c>
      <c r="G57" s="4">
        <f>Compras!B57</f>
        <v>1</v>
      </c>
      <c r="H57" s="15">
        <f>Compras!Q57</f>
        <v>157.76999999999998</v>
      </c>
      <c r="I57" s="4">
        <f>Compras!P57</f>
        <v>1</v>
      </c>
      <c r="J57" s="22" t="s">
        <v>30</v>
      </c>
      <c r="K57" s="16">
        <f t="shared" si="3"/>
        <v>333.31874999999997</v>
      </c>
      <c r="L57" s="17">
        <f t="shared" si="2"/>
        <v>270</v>
      </c>
      <c r="M57" s="18">
        <f t="shared" si="4"/>
        <v>222.21249999999998</v>
      </c>
    </row>
    <row r="58" spans="1:13" ht="31.2" x14ac:dyDescent="0.3">
      <c r="A58" s="20">
        <v>58</v>
      </c>
      <c r="B58" s="3" t="str">
        <f>Compras!A58</f>
        <v>Disney Stitch Lilo, lindo pato Stitch peluche Kawaii, 30 cm</v>
      </c>
      <c r="C58" s="3" t="s">
        <v>85</v>
      </c>
      <c r="D58" s="3" t="s">
        <v>28</v>
      </c>
      <c r="E58" s="15">
        <f>Compras!C58</f>
        <v>318.35000000000002</v>
      </c>
      <c r="F58" s="6">
        <f>Compras!D58</f>
        <v>0.35797078686979744</v>
      </c>
      <c r="G58" s="4">
        <f>Compras!B58</f>
        <v>1</v>
      </c>
      <c r="H58" s="15">
        <f>Compras!Q58</f>
        <v>190.14999999999998</v>
      </c>
      <c r="I58" s="4">
        <f>Compras!P58</f>
        <v>1</v>
      </c>
      <c r="J58" s="22" t="s">
        <v>30</v>
      </c>
      <c r="K58" s="16">
        <f t="shared" si="3"/>
        <v>394.03125</v>
      </c>
      <c r="L58" s="17">
        <f t="shared" si="2"/>
        <v>320</v>
      </c>
      <c r="M58" s="18">
        <f t="shared" si="4"/>
        <v>262.6875</v>
      </c>
    </row>
    <row r="59" spans="1:13" ht="31.2" x14ac:dyDescent="0.3">
      <c r="A59" s="20">
        <v>59</v>
      </c>
      <c r="B59" s="3" t="str">
        <f>Compras!A59</f>
        <v>Sanrio KT Kuromi Melody Love Series peluche suaves, San Valentin - Cinamorroll</v>
      </c>
      <c r="C59" s="3" t="s">
        <v>86</v>
      </c>
      <c r="D59" s="3" t="s">
        <v>28</v>
      </c>
      <c r="E59" s="15">
        <f>Compras!C59</f>
        <v>479.1</v>
      </c>
      <c r="F59" s="6">
        <f>Compras!D59</f>
        <v>0.62878313504487582</v>
      </c>
      <c r="G59" s="4">
        <f>Compras!B59</f>
        <v>1</v>
      </c>
      <c r="H59" s="15">
        <f>Compras!Q59</f>
        <v>165.62</v>
      </c>
      <c r="I59" s="4">
        <f>Compras!P59</f>
        <v>1</v>
      </c>
      <c r="J59" s="22" t="s">
        <v>30</v>
      </c>
      <c r="K59" s="16">
        <f t="shared" si="3"/>
        <v>348.03750000000002</v>
      </c>
      <c r="L59" s="17">
        <f t="shared" si="2"/>
        <v>290</v>
      </c>
      <c r="M59" s="18">
        <f t="shared" si="4"/>
        <v>232.02500000000001</v>
      </c>
    </row>
    <row r="60" spans="1:13" ht="31.2" x14ac:dyDescent="0.3">
      <c r="A60" s="20">
        <v>60</v>
      </c>
      <c r="B60" s="3" t="str">
        <f>Compras!A60</f>
        <v>Capybara-muñeco de peluche con suéter, relleno suave, 23cm</v>
      </c>
      <c r="C60" s="3" t="s">
        <v>165</v>
      </c>
      <c r="D60" s="3" t="s">
        <v>28</v>
      </c>
      <c r="E60" s="15">
        <f>Compras!C60</f>
        <v>277.83</v>
      </c>
      <c r="F60" s="6">
        <f>Compras!D60</f>
        <v>0.47838606342007706</v>
      </c>
      <c r="G60" s="4">
        <f>Compras!B60</f>
        <v>1</v>
      </c>
      <c r="H60" s="15">
        <f>Compras!Q60</f>
        <v>133.59999999999997</v>
      </c>
      <c r="I60" s="4">
        <f>Compras!P60</f>
        <v>1</v>
      </c>
      <c r="J60" s="22" t="s">
        <v>30</v>
      </c>
      <c r="K60" s="16">
        <f t="shared" si="3"/>
        <v>287.99999999999989</v>
      </c>
      <c r="L60" s="17">
        <f t="shared" si="2"/>
        <v>240</v>
      </c>
      <c r="M60" s="18">
        <f t="shared" si="4"/>
        <v>191.99999999999994</v>
      </c>
    </row>
    <row r="61" spans="1:13" ht="31.2" x14ac:dyDescent="0.3">
      <c r="A61" s="20">
        <v>61</v>
      </c>
      <c r="B61" s="3" t="str">
        <f>Compras!A61</f>
        <v>Capybara-muñeco de peluche con suéter, relleno suave, 23cm</v>
      </c>
      <c r="C61" s="3" t="s">
        <v>165</v>
      </c>
      <c r="D61" s="3" t="s">
        <v>28</v>
      </c>
      <c r="E61" s="15">
        <f>Compras!C61</f>
        <v>274.19</v>
      </c>
      <c r="F61" s="6">
        <f>Compras!D61</f>
        <v>0.46828841314417013</v>
      </c>
      <c r="G61" s="4">
        <f>Compras!B61</f>
        <v>1</v>
      </c>
      <c r="H61" s="15">
        <f>Compras!Q61</f>
        <v>134.28</v>
      </c>
      <c r="I61" s="4">
        <f>Compras!P61</f>
        <v>1</v>
      </c>
      <c r="J61" s="22" t="s">
        <v>30</v>
      </c>
      <c r="K61" s="16">
        <f t="shared" si="3"/>
        <v>289.27499999999998</v>
      </c>
      <c r="L61" s="17">
        <f t="shared" si="2"/>
        <v>240</v>
      </c>
      <c r="M61" s="18">
        <f t="shared" si="4"/>
        <v>192.85</v>
      </c>
    </row>
    <row r="62" spans="1:13" ht="31.2" x14ac:dyDescent="0.3">
      <c r="A62" s="20">
        <v>62</v>
      </c>
      <c r="B62" s="3" t="str">
        <f>Compras!A62</f>
        <v>Capybara-juguete de peluche de simulación, flor rosa</v>
      </c>
      <c r="C62" s="3" t="s">
        <v>165</v>
      </c>
      <c r="D62" s="3" t="s">
        <v>28</v>
      </c>
      <c r="E62" s="15">
        <f>Compras!C62</f>
        <v>285.02</v>
      </c>
      <c r="F62" s="6">
        <f>Compras!D62</f>
        <v>0.44821416040979573</v>
      </c>
      <c r="G62" s="4">
        <f>Compras!B62</f>
        <v>1</v>
      </c>
      <c r="H62" s="15">
        <f>Compras!Q62</f>
        <v>145.01000000000002</v>
      </c>
      <c r="I62" s="4">
        <f>Compras!P62</f>
        <v>1</v>
      </c>
      <c r="J62" s="22" t="s">
        <v>30</v>
      </c>
      <c r="K62" s="16">
        <f t="shared" si="3"/>
        <v>309.39375000000001</v>
      </c>
      <c r="L62" s="17">
        <f t="shared" si="2"/>
        <v>250</v>
      </c>
      <c r="M62" s="18">
        <f t="shared" si="4"/>
        <v>206.26250000000002</v>
      </c>
    </row>
    <row r="63" spans="1:13" ht="31.2" x14ac:dyDescent="0.3">
      <c r="A63" s="20">
        <v>63</v>
      </c>
      <c r="B63" s="3" t="str">
        <f>Compras!A63</f>
        <v>Sanrio Kuromi muñecos de peluche kawaii My Melody Cinnamoroll 40cm</v>
      </c>
      <c r="C63" s="3" t="s">
        <v>86</v>
      </c>
      <c r="D63" s="3" t="s">
        <v>28</v>
      </c>
      <c r="E63" s="15">
        <f>Compras!C63</f>
        <v>379.59</v>
      </c>
      <c r="F63" s="6">
        <f>Compras!D63</f>
        <v>0.52851761110672035</v>
      </c>
      <c r="G63" s="4">
        <f>Compras!B63</f>
        <v>1</v>
      </c>
      <c r="H63" s="15">
        <f>Compras!Q63</f>
        <v>164.84</v>
      </c>
      <c r="I63" s="4">
        <f>Compras!P63</f>
        <v>1</v>
      </c>
      <c r="J63" s="22" t="s">
        <v>30</v>
      </c>
      <c r="K63" s="16">
        <f t="shared" si="3"/>
        <v>346.57500000000005</v>
      </c>
      <c r="L63" s="17">
        <f t="shared" si="2"/>
        <v>280</v>
      </c>
      <c r="M63" s="18">
        <f t="shared" si="4"/>
        <v>231.05</v>
      </c>
    </row>
    <row r="64" spans="1:13" ht="31.2" x14ac:dyDescent="0.3">
      <c r="A64" s="20">
        <v>64</v>
      </c>
      <c r="B64" s="3" t="str">
        <f>Compras!A64</f>
        <v>MINISO Sanrio-Kuromi, peluche suave, cojín de almohada, 35 cm</v>
      </c>
      <c r="C64" s="3" t="s">
        <v>86</v>
      </c>
      <c r="D64" s="3" t="s">
        <v>28</v>
      </c>
      <c r="E64" s="15">
        <f>Compras!C64</f>
        <v>585.80999999999995</v>
      </c>
      <c r="F64" s="6">
        <f>Compras!D64</f>
        <v>0.5845239924207507</v>
      </c>
      <c r="G64" s="4">
        <f>Compras!B64</f>
        <v>1</v>
      </c>
      <c r="H64" s="15">
        <f>Compras!Q64</f>
        <v>224.13</v>
      </c>
      <c r="I64" s="4">
        <f>Compras!P64</f>
        <v>1</v>
      </c>
      <c r="J64" s="22" t="s">
        <v>30</v>
      </c>
      <c r="K64" s="16">
        <f t="shared" si="3"/>
        <v>381.453125</v>
      </c>
      <c r="L64" s="17">
        <f t="shared" si="2"/>
        <v>340</v>
      </c>
      <c r="M64" s="18">
        <f t="shared" si="4"/>
        <v>305.16250000000002</v>
      </c>
    </row>
    <row r="65" spans="1:13" ht="31.2" x14ac:dyDescent="0.3">
      <c r="A65" s="20">
        <v>65</v>
      </c>
      <c r="B65" s="3" t="str">
        <f>Compras!A65</f>
        <v>Sanrio Kawaii Cinnamoroll peluche almohada, flor nice 35 cm</v>
      </c>
      <c r="C65" s="3" t="s">
        <v>86</v>
      </c>
      <c r="D65" s="3" t="s">
        <v>28</v>
      </c>
      <c r="E65" s="15">
        <f>Compras!C65</f>
        <v>445.86</v>
      </c>
      <c r="F65" s="6">
        <f>Compras!D65</f>
        <v>0.58031669133808816</v>
      </c>
      <c r="G65" s="4">
        <f>Compras!B65</f>
        <v>1</v>
      </c>
      <c r="H65" s="15">
        <f>Compras!Q65</f>
        <v>174.06</v>
      </c>
      <c r="I65" s="4">
        <f>Compras!P65</f>
        <v>1</v>
      </c>
      <c r="J65" s="22" t="s">
        <v>30</v>
      </c>
      <c r="K65" s="16">
        <f t="shared" si="3"/>
        <v>363.86249999999995</v>
      </c>
      <c r="L65" s="17">
        <f t="shared" si="2"/>
        <v>300</v>
      </c>
      <c r="M65" s="18">
        <f t="shared" si="4"/>
        <v>242.57499999999999</v>
      </c>
    </row>
    <row r="66" spans="1:13" ht="31.2" x14ac:dyDescent="0.3">
      <c r="A66" s="20">
        <v>66</v>
      </c>
      <c r="B66" s="3" t="str">
        <f>Compras!A66</f>
        <v>Muñeco de peluche de 25-55cm, MINISO Garfield, 35 cm</v>
      </c>
      <c r="C66" s="3" t="s">
        <v>166</v>
      </c>
      <c r="D66" s="3" t="s">
        <v>28</v>
      </c>
      <c r="E66" s="15">
        <f>Compras!C66</f>
        <v>234.38</v>
      </c>
      <c r="F66" s="6">
        <f>Compras!D66</f>
        <v>0.43817731888386374</v>
      </c>
      <c r="G66" s="4">
        <f>Compras!B66</f>
        <v>1</v>
      </c>
      <c r="H66" s="15">
        <f>Compras!Q66</f>
        <v>121.35</v>
      </c>
      <c r="I66" s="4">
        <f>Compras!P66</f>
        <v>1</v>
      </c>
      <c r="J66" s="22" t="s">
        <v>30</v>
      </c>
      <c r="K66" s="16">
        <f t="shared" ref="K66:K89" si="5">M66* (IF(M66-H66&lt;100, IF(M66-H66&gt;80, 1.25, IF(M66-H66&gt;50, 1.5, 1.75)), IF(M66-H66&gt;150, 0.95, IF(M66-H66&gt;170, 0.9, 1))))</f>
        <v>265.03125</v>
      </c>
      <c r="L66" s="17">
        <f t="shared" si="2"/>
        <v>220</v>
      </c>
      <c r="M66" s="18">
        <f t="shared" ref="M66:M89" si="6">(H66/I66) * ( IF(E66&gt;H66, IF(E66-H66&gt;100, 1.25, IF(E66-H66&gt;50, 1.5, 1.75)), IF(H66-E66&gt;100, 1.25, IF(H66-E66&gt;50, 1.5, 1.75))) ) + 25</f>
        <v>176.6875</v>
      </c>
    </row>
    <row r="67" spans="1:13" x14ac:dyDescent="0.3">
      <c r="A67" s="20">
        <v>67</v>
      </c>
      <c r="B67" s="3" t="str">
        <f>Compras!A67</f>
        <v>Snoopy Kawaii, peluche suave, 40 cm</v>
      </c>
      <c r="C67" s="3" t="s">
        <v>88</v>
      </c>
      <c r="D67" s="3" t="s">
        <v>28</v>
      </c>
      <c r="E67" s="15">
        <f>Compras!C67</f>
        <v>189.29</v>
      </c>
      <c r="F67" s="6">
        <f>Compras!D67</f>
        <v>0</v>
      </c>
      <c r="G67" s="4">
        <f>Compras!B67</f>
        <v>1</v>
      </c>
      <c r="H67" s="15">
        <f>Compras!Q67</f>
        <v>176.16000000000003</v>
      </c>
      <c r="I67" s="4">
        <f>Compras!P67</f>
        <v>1</v>
      </c>
      <c r="J67" s="22" t="s">
        <v>30</v>
      </c>
      <c r="K67" s="16">
        <f t="shared" si="5"/>
        <v>316.61599999999999</v>
      </c>
      <c r="L67" s="17">
        <f t="shared" si="2"/>
        <v>320</v>
      </c>
      <c r="M67" s="18">
        <f t="shared" si="6"/>
        <v>333.28000000000003</v>
      </c>
    </row>
    <row r="68" spans="1:13" x14ac:dyDescent="0.3">
      <c r="A68" s="20">
        <v>68</v>
      </c>
      <c r="B68" s="3" t="str">
        <f>Compras!A68</f>
        <v>MINISO peluche Snoopy almohada 40cm</v>
      </c>
      <c r="C68" s="3" t="s">
        <v>88</v>
      </c>
      <c r="D68" s="3" t="s">
        <v>28</v>
      </c>
      <c r="E68" s="15">
        <f>Compras!C68</f>
        <v>475.75</v>
      </c>
      <c r="F68" s="6">
        <f>Compras!D68</f>
        <v>0.4181187598528639</v>
      </c>
      <c r="G68" s="4">
        <f>Compras!B68</f>
        <v>1</v>
      </c>
      <c r="H68" s="15">
        <f>Compras!Q68</f>
        <v>254.89</v>
      </c>
      <c r="I68" s="4">
        <f>Compras!P68</f>
        <v>1</v>
      </c>
      <c r="J68" s="22" t="s">
        <v>30</v>
      </c>
      <c r="K68" s="16">
        <f t="shared" si="5"/>
        <v>429.51562499999994</v>
      </c>
      <c r="L68" s="17">
        <f t="shared" ref="L68:L89" si="7">IF(((K68+M68)/2)&lt;10,ROUNDDOWN(((K68+M68)/2),0),ROUNDDOWN(((K68+M68)/2),-1))</f>
        <v>380</v>
      </c>
      <c r="M68" s="18">
        <f t="shared" si="6"/>
        <v>343.61249999999995</v>
      </c>
    </row>
    <row r="69" spans="1:13" x14ac:dyDescent="0.3">
      <c r="A69" s="20">
        <v>69</v>
      </c>
      <c r="B69" s="3" t="str">
        <f>Compras!A69</f>
        <v>Capybara llavero rosa 15 cm</v>
      </c>
      <c r="C69" s="3" t="s">
        <v>165</v>
      </c>
      <c r="D69" s="3" t="s">
        <v>28</v>
      </c>
      <c r="E69" s="15">
        <f>Compras!C69</f>
        <v>90</v>
      </c>
      <c r="F69" s="6">
        <f>Compras!D69</f>
        <v>0.44444444444444442</v>
      </c>
      <c r="G69" s="4">
        <f>Compras!B69</f>
        <v>4</v>
      </c>
      <c r="H69" s="15">
        <f>Compras!Q69</f>
        <v>50</v>
      </c>
      <c r="I69" s="4">
        <f>Compras!P69</f>
        <v>1</v>
      </c>
      <c r="J69" s="21" t="s">
        <v>30</v>
      </c>
      <c r="K69" s="16">
        <f t="shared" si="5"/>
        <v>168.75</v>
      </c>
      <c r="L69" s="17">
        <f t="shared" si="7"/>
        <v>140</v>
      </c>
      <c r="M69" s="18">
        <f t="shared" si="6"/>
        <v>112.5</v>
      </c>
    </row>
    <row r="70" spans="1:13" ht="31.2" x14ac:dyDescent="0.3">
      <c r="A70" s="20">
        <v>70</v>
      </c>
      <c r="B70" s="3" t="str">
        <f>Compras!A70</f>
        <v>Peluche Sullivan, Monsters University Inc, playera OK, 25 cm</v>
      </c>
      <c r="C70" s="3" t="s">
        <v>85</v>
      </c>
      <c r="D70" s="3" t="s">
        <v>28</v>
      </c>
      <c r="E70" s="15">
        <f>Compras!C70</f>
        <v>150</v>
      </c>
      <c r="F70" s="6">
        <f>Compras!D70</f>
        <v>0.26666666666666666</v>
      </c>
      <c r="G70" s="4">
        <f>Compras!B70</f>
        <v>1</v>
      </c>
      <c r="H70" s="15">
        <f>Compras!Q70</f>
        <v>110</v>
      </c>
      <c r="I70" s="4">
        <f>Compras!P70</f>
        <v>1</v>
      </c>
      <c r="J70" s="21" t="s">
        <v>30</v>
      </c>
      <c r="K70" s="16">
        <f t="shared" si="5"/>
        <v>217.5</v>
      </c>
      <c r="L70" s="17">
        <f t="shared" si="7"/>
        <v>210</v>
      </c>
      <c r="M70" s="18">
        <f t="shared" si="6"/>
        <v>217.5</v>
      </c>
    </row>
    <row r="71" spans="1:13" ht="31.2" x14ac:dyDescent="0.3">
      <c r="A71" s="20">
        <v>71</v>
      </c>
      <c r="B71" s="3" t="str">
        <f>Compras!A71</f>
        <v>Peluche Sullivan, Monsters University Inc, playera OK, 35 cm</v>
      </c>
      <c r="C71" s="3" t="s">
        <v>85</v>
      </c>
      <c r="D71" s="3" t="s">
        <v>28</v>
      </c>
      <c r="E71" s="15">
        <f>Compras!C71</f>
        <v>200</v>
      </c>
      <c r="F71" s="6">
        <f>Compras!D71</f>
        <v>0.22500000000000001</v>
      </c>
      <c r="G71" s="4">
        <f>Compras!B71</f>
        <v>1</v>
      </c>
      <c r="H71" s="15">
        <f>Compras!Q71</f>
        <v>155</v>
      </c>
      <c r="I71" s="4">
        <f>Compras!P71</f>
        <v>1</v>
      </c>
      <c r="J71" s="21" t="s">
        <v>30</v>
      </c>
      <c r="K71" s="16">
        <f t="shared" si="5"/>
        <v>296.25</v>
      </c>
      <c r="L71" s="17">
        <f t="shared" si="7"/>
        <v>290</v>
      </c>
      <c r="M71" s="18">
        <f t="shared" si="6"/>
        <v>296.25</v>
      </c>
    </row>
    <row r="72" spans="1:13" x14ac:dyDescent="0.3">
      <c r="A72" s="20">
        <v>72</v>
      </c>
      <c r="B72" s="3" t="str">
        <f>Compras!A72</f>
        <v>Peluche Kawaii Stitch, peluche almohada lila, 45cm</v>
      </c>
      <c r="C72" s="3" t="s">
        <v>85</v>
      </c>
      <c r="D72" s="3" t="s">
        <v>28</v>
      </c>
      <c r="E72" s="15">
        <f>Compras!C72</f>
        <v>290</v>
      </c>
      <c r="F72" s="6">
        <f>Compras!D72</f>
        <v>0.34482758620689657</v>
      </c>
      <c r="G72" s="4">
        <f>Compras!B72</f>
        <v>1</v>
      </c>
      <c r="H72" s="15">
        <f>Compras!Q72</f>
        <v>190</v>
      </c>
      <c r="I72" s="4">
        <f>Compras!P72</f>
        <v>1</v>
      </c>
      <c r="J72" s="21" t="s">
        <v>30</v>
      </c>
      <c r="K72" s="16">
        <f t="shared" si="5"/>
        <v>310</v>
      </c>
      <c r="L72" s="17">
        <f t="shared" si="7"/>
        <v>310</v>
      </c>
      <c r="M72" s="18">
        <f t="shared" si="6"/>
        <v>310</v>
      </c>
    </row>
    <row r="73" spans="1:13" x14ac:dyDescent="0.3">
      <c r="A73" s="20">
        <v>73</v>
      </c>
      <c r="B73" s="3" t="s">
        <v>175</v>
      </c>
      <c r="C73" s="3" t="s">
        <v>174</v>
      </c>
      <c r="D73" s="3" t="s">
        <v>28</v>
      </c>
      <c r="E73" s="15">
        <v>60.52</v>
      </c>
      <c r="F73" s="6">
        <v>0</v>
      </c>
      <c r="G73" s="4">
        <f>Compras!B73</f>
        <v>1</v>
      </c>
      <c r="H73" s="15">
        <v>56.68</v>
      </c>
      <c r="I73" s="4">
        <f>Compras!P73</f>
        <v>1</v>
      </c>
      <c r="J73" s="21" t="s">
        <v>30</v>
      </c>
      <c r="K73" s="16">
        <f t="shared" si="5"/>
        <v>186.285</v>
      </c>
      <c r="L73" s="17">
        <f t="shared" si="7"/>
        <v>150</v>
      </c>
      <c r="M73" s="18">
        <f t="shared" si="6"/>
        <v>124.19</v>
      </c>
    </row>
    <row r="74" spans="1:13" x14ac:dyDescent="0.3">
      <c r="A74" s="20">
        <v>74</v>
      </c>
      <c r="B74" s="3" t="s">
        <v>176</v>
      </c>
      <c r="C74" s="3" t="s">
        <v>174</v>
      </c>
      <c r="D74" s="3" t="s">
        <v>28</v>
      </c>
      <c r="E74" s="15">
        <v>83.44</v>
      </c>
      <c r="F74" s="6">
        <v>0</v>
      </c>
      <c r="G74" s="4">
        <f>Compras!B74</f>
        <v>1</v>
      </c>
      <c r="H74" s="15">
        <v>78.099999999999994</v>
      </c>
      <c r="I74" s="4">
        <f>Compras!P74</f>
        <v>1</v>
      </c>
      <c r="J74" s="21" t="s">
        <v>30</v>
      </c>
      <c r="K74" s="16">
        <f t="shared" si="5"/>
        <v>202.09374999999997</v>
      </c>
      <c r="L74" s="17">
        <f t="shared" si="7"/>
        <v>180</v>
      </c>
      <c r="M74" s="18">
        <f t="shared" si="6"/>
        <v>161.67499999999998</v>
      </c>
    </row>
    <row r="75" spans="1:13" x14ac:dyDescent="0.3">
      <c r="A75" s="20">
        <v>75</v>
      </c>
      <c r="B75" s="3" t="s">
        <v>177</v>
      </c>
      <c r="C75" s="3" t="s">
        <v>178</v>
      </c>
      <c r="D75" s="3" t="s">
        <v>28</v>
      </c>
      <c r="E75" s="15">
        <v>109.67</v>
      </c>
      <c r="F75" s="6">
        <v>0</v>
      </c>
      <c r="G75" s="4">
        <f>Compras!B75</f>
        <v>1</v>
      </c>
      <c r="H75" s="15">
        <v>102.6</v>
      </c>
      <c r="I75" s="4">
        <f>Compras!P75</f>
        <v>1</v>
      </c>
      <c r="J75" s="21" t="s">
        <v>30</v>
      </c>
      <c r="K75" s="16">
        <f t="shared" si="5"/>
        <v>204.54999999999998</v>
      </c>
      <c r="L75" s="17">
        <f t="shared" si="7"/>
        <v>200</v>
      </c>
      <c r="M75" s="18">
        <f t="shared" si="6"/>
        <v>204.54999999999998</v>
      </c>
    </row>
    <row r="76" spans="1:13" x14ac:dyDescent="0.3">
      <c r="A76" s="20">
        <v>76</v>
      </c>
      <c r="B76" s="3" t="s">
        <v>179</v>
      </c>
      <c r="C76" s="3" t="s">
        <v>180</v>
      </c>
      <c r="D76" s="3" t="s">
        <v>181</v>
      </c>
      <c r="E76" s="15">
        <v>62.92</v>
      </c>
      <c r="F76" s="6">
        <v>0</v>
      </c>
      <c r="G76" s="4">
        <v>2</v>
      </c>
      <c r="H76" s="15">
        <v>58.91</v>
      </c>
      <c r="I76" s="4">
        <f>Compras!P76</f>
        <v>1</v>
      </c>
      <c r="J76" s="21" t="s">
        <v>30</v>
      </c>
      <c r="K76" s="16">
        <f t="shared" si="5"/>
        <v>192.13875000000002</v>
      </c>
      <c r="L76" s="17">
        <f t="shared" si="7"/>
        <v>160</v>
      </c>
      <c r="M76" s="18">
        <f t="shared" si="6"/>
        <v>128.0925</v>
      </c>
    </row>
    <row r="77" spans="1:13" x14ac:dyDescent="0.3">
      <c r="A77" s="20">
        <v>77</v>
      </c>
      <c r="B77" s="3" t="s">
        <v>183</v>
      </c>
      <c r="C77" s="3" t="s">
        <v>182</v>
      </c>
      <c r="D77" s="3" t="s">
        <v>181</v>
      </c>
      <c r="E77" s="15">
        <v>55.55</v>
      </c>
      <c r="F77" s="6">
        <v>0</v>
      </c>
      <c r="G77" s="4">
        <f>Compras!B77</f>
        <v>1</v>
      </c>
      <c r="H77" s="15">
        <v>52.58</v>
      </c>
      <c r="I77" s="4">
        <f>Compras!P77</f>
        <v>1</v>
      </c>
      <c r="J77" s="21" t="s">
        <v>30</v>
      </c>
      <c r="K77" s="16">
        <f t="shared" si="5"/>
        <v>175.52250000000001</v>
      </c>
      <c r="L77" s="17">
        <f t="shared" si="7"/>
        <v>140</v>
      </c>
      <c r="M77" s="18">
        <f t="shared" si="6"/>
        <v>117.015</v>
      </c>
    </row>
    <row r="78" spans="1:13" x14ac:dyDescent="0.3">
      <c r="A78" s="20">
        <v>78</v>
      </c>
      <c r="B78" s="3" t="s">
        <v>184</v>
      </c>
      <c r="C78" s="3" t="s">
        <v>182</v>
      </c>
      <c r="D78" s="3" t="s">
        <v>181</v>
      </c>
      <c r="E78" s="15">
        <v>66.95</v>
      </c>
      <c r="F78" s="6">
        <f>Compras!D78</f>
        <v>0</v>
      </c>
      <c r="G78" s="4">
        <v>1</v>
      </c>
      <c r="H78" s="15">
        <v>63.44</v>
      </c>
      <c r="I78" s="4">
        <v>1</v>
      </c>
      <c r="J78" s="21" t="s">
        <v>30</v>
      </c>
      <c r="K78" s="16">
        <f t="shared" si="5"/>
        <v>204.02999999999997</v>
      </c>
      <c r="L78" s="17">
        <f t="shared" si="7"/>
        <v>170</v>
      </c>
      <c r="M78" s="18">
        <f t="shared" si="6"/>
        <v>136.01999999999998</v>
      </c>
    </row>
    <row r="79" spans="1:13" x14ac:dyDescent="0.3">
      <c r="A79" s="20">
        <v>79</v>
      </c>
      <c r="B79" s="3" t="s">
        <v>185</v>
      </c>
      <c r="C79" s="3" t="s">
        <v>182</v>
      </c>
      <c r="D79" s="3" t="s">
        <v>181</v>
      </c>
      <c r="E79" s="15">
        <v>69.16</v>
      </c>
      <c r="F79" s="6">
        <f>Compras!D79</f>
        <v>0</v>
      </c>
      <c r="G79" s="4">
        <v>1</v>
      </c>
      <c r="H79" s="15">
        <v>64.709999999999994</v>
      </c>
      <c r="I79" s="4">
        <v>1</v>
      </c>
      <c r="J79" s="21" t="s">
        <v>30</v>
      </c>
      <c r="K79" s="16">
        <f t="shared" si="5"/>
        <v>207.36375000000001</v>
      </c>
      <c r="L79" s="17">
        <f t="shared" si="7"/>
        <v>170</v>
      </c>
      <c r="M79" s="18">
        <f t="shared" si="6"/>
        <v>138.24250000000001</v>
      </c>
    </row>
    <row r="80" spans="1:13" x14ac:dyDescent="0.3">
      <c r="A80" s="20">
        <v>80</v>
      </c>
      <c r="B80" s="3" t="s">
        <v>186</v>
      </c>
      <c r="C80" s="3" t="s">
        <v>174</v>
      </c>
      <c r="D80" s="3" t="s">
        <v>28</v>
      </c>
      <c r="E80" s="15">
        <v>86.21</v>
      </c>
      <c r="F80" s="6">
        <f>Compras!D80</f>
        <v>0</v>
      </c>
      <c r="G80" s="4">
        <v>1</v>
      </c>
      <c r="H80" s="15">
        <v>80.790000000000006</v>
      </c>
      <c r="I80" s="4">
        <v>1</v>
      </c>
      <c r="J80" s="21" t="s">
        <v>30</v>
      </c>
      <c r="K80" s="16">
        <f t="shared" si="5"/>
        <v>207.97812500000003</v>
      </c>
      <c r="L80" s="17">
        <f t="shared" si="7"/>
        <v>180</v>
      </c>
      <c r="M80" s="18">
        <f t="shared" si="6"/>
        <v>166.38250000000002</v>
      </c>
    </row>
    <row r="81" spans="1:13" x14ac:dyDescent="0.3">
      <c r="A81" s="20">
        <v>81</v>
      </c>
      <c r="B81" s="3">
        <f>Compras!A81</f>
        <v>0</v>
      </c>
      <c r="C81" s="3" t="s">
        <v>29</v>
      </c>
      <c r="D81" s="3" t="s">
        <v>28</v>
      </c>
      <c r="E81" s="15">
        <f>Compras!C81</f>
        <v>0</v>
      </c>
      <c r="F81" s="6">
        <f>Compras!D81</f>
        <v>0</v>
      </c>
      <c r="G81" s="4">
        <f>Compras!B81</f>
        <v>0</v>
      </c>
      <c r="H81" s="15">
        <f>Compras!Q81</f>
        <v>0</v>
      </c>
      <c r="I81" s="4">
        <f>Compras!P81</f>
        <v>0</v>
      </c>
      <c r="J81" s="21" t="s">
        <v>30</v>
      </c>
      <c r="K81" s="16" t="e">
        <f t="shared" si="5"/>
        <v>#DIV/0!</v>
      </c>
      <c r="L81" s="17" t="e">
        <f t="shared" si="7"/>
        <v>#DIV/0!</v>
      </c>
      <c r="M81" s="18" t="e">
        <f t="shared" si="6"/>
        <v>#DIV/0!</v>
      </c>
    </row>
    <row r="82" spans="1:13" x14ac:dyDescent="0.3">
      <c r="A82" s="20">
        <v>82</v>
      </c>
      <c r="B82" s="3">
        <f>Compras!A82</f>
        <v>0</v>
      </c>
      <c r="C82" s="3" t="s">
        <v>29</v>
      </c>
      <c r="D82" s="3" t="s">
        <v>28</v>
      </c>
      <c r="E82" s="15">
        <f>Compras!C82</f>
        <v>0</v>
      </c>
      <c r="F82" s="6">
        <f>Compras!D82</f>
        <v>0</v>
      </c>
      <c r="G82" s="4">
        <f>Compras!B82</f>
        <v>0</v>
      </c>
      <c r="H82" s="15">
        <f>Compras!Q82</f>
        <v>0</v>
      </c>
      <c r="I82" s="4">
        <f>Compras!P82</f>
        <v>0</v>
      </c>
      <c r="J82" s="21" t="s">
        <v>30</v>
      </c>
      <c r="K82" s="16" t="e">
        <f t="shared" si="5"/>
        <v>#DIV/0!</v>
      </c>
      <c r="L82" s="17" t="e">
        <f t="shared" si="7"/>
        <v>#DIV/0!</v>
      </c>
      <c r="M82" s="18" t="e">
        <f t="shared" si="6"/>
        <v>#DIV/0!</v>
      </c>
    </row>
    <row r="83" spans="1:13" x14ac:dyDescent="0.3">
      <c r="A83" s="20">
        <v>83</v>
      </c>
      <c r="B83" s="3">
        <f>Compras!A83</f>
        <v>0</v>
      </c>
      <c r="C83" s="3" t="s">
        <v>29</v>
      </c>
      <c r="D83" s="3" t="s">
        <v>28</v>
      </c>
      <c r="E83" s="15">
        <f>Compras!C83</f>
        <v>0</v>
      </c>
      <c r="F83" s="6">
        <f>Compras!D83</f>
        <v>0</v>
      </c>
      <c r="G83" s="4">
        <f>Compras!B83</f>
        <v>0</v>
      </c>
      <c r="H83" s="15">
        <f>Compras!Q83</f>
        <v>0</v>
      </c>
      <c r="I83" s="4">
        <f>Compras!P83</f>
        <v>0</v>
      </c>
      <c r="J83" s="21" t="s">
        <v>30</v>
      </c>
      <c r="K83" s="16" t="e">
        <f t="shared" si="5"/>
        <v>#DIV/0!</v>
      </c>
      <c r="L83" s="17" t="e">
        <f t="shared" si="7"/>
        <v>#DIV/0!</v>
      </c>
      <c r="M83" s="18" t="e">
        <f t="shared" si="6"/>
        <v>#DIV/0!</v>
      </c>
    </row>
    <row r="84" spans="1:13" x14ac:dyDescent="0.3">
      <c r="A84" s="20">
        <v>84</v>
      </c>
      <c r="B84" s="3">
        <f>Compras!A84</f>
        <v>0</v>
      </c>
      <c r="C84" s="3" t="s">
        <v>29</v>
      </c>
      <c r="D84" s="3" t="s">
        <v>28</v>
      </c>
      <c r="E84" s="15">
        <f>Compras!C84</f>
        <v>0</v>
      </c>
      <c r="F84" s="6">
        <f>Compras!D84</f>
        <v>0</v>
      </c>
      <c r="G84" s="4">
        <f>Compras!B84</f>
        <v>0</v>
      </c>
      <c r="H84" s="15">
        <f>Compras!Q84</f>
        <v>0</v>
      </c>
      <c r="I84" s="4">
        <f>Compras!P84</f>
        <v>0</v>
      </c>
      <c r="J84" s="21" t="s">
        <v>30</v>
      </c>
      <c r="K84" s="16" t="e">
        <f t="shared" si="5"/>
        <v>#DIV/0!</v>
      </c>
      <c r="L84" s="17" t="e">
        <f t="shared" si="7"/>
        <v>#DIV/0!</v>
      </c>
      <c r="M84" s="18" t="e">
        <f t="shared" si="6"/>
        <v>#DIV/0!</v>
      </c>
    </row>
    <row r="85" spans="1:13" x14ac:dyDescent="0.3">
      <c r="A85" s="20">
        <v>85</v>
      </c>
      <c r="B85" s="3">
        <f>Compras!A85</f>
        <v>0</v>
      </c>
      <c r="C85" s="3" t="s">
        <v>29</v>
      </c>
      <c r="D85" s="3" t="s">
        <v>28</v>
      </c>
      <c r="E85" s="15">
        <f>Compras!C85</f>
        <v>0</v>
      </c>
      <c r="F85" s="6">
        <f>Compras!D85</f>
        <v>0</v>
      </c>
      <c r="G85" s="4">
        <f>Compras!B85</f>
        <v>0</v>
      </c>
      <c r="H85" s="15">
        <f>Compras!Q85</f>
        <v>0</v>
      </c>
      <c r="I85" s="4">
        <f>Compras!P85</f>
        <v>0</v>
      </c>
      <c r="J85" s="21" t="s">
        <v>30</v>
      </c>
      <c r="K85" s="16" t="e">
        <f t="shared" si="5"/>
        <v>#DIV/0!</v>
      </c>
      <c r="L85" s="17" t="e">
        <f t="shared" si="7"/>
        <v>#DIV/0!</v>
      </c>
      <c r="M85" s="18" t="e">
        <f t="shared" si="6"/>
        <v>#DIV/0!</v>
      </c>
    </row>
    <row r="86" spans="1:13" x14ac:dyDescent="0.3">
      <c r="A86" s="20">
        <v>86</v>
      </c>
      <c r="B86" s="3">
        <f>Compras!A86</f>
        <v>0</v>
      </c>
      <c r="C86" s="3" t="s">
        <v>29</v>
      </c>
      <c r="D86" s="3" t="s">
        <v>28</v>
      </c>
      <c r="E86" s="15">
        <f>Compras!C86</f>
        <v>0</v>
      </c>
      <c r="F86" s="6">
        <f>Compras!D86</f>
        <v>0</v>
      </c>
      <c r="G86" s="4">
        <f>Compras!B86</f>
        <v>0</v>
      </c>
      <c r="H86" s="15">
        <f>Compras!Q86</f>
        <v>0</v>
      </c>
      <c r="I86" s="4">
        <f>Compras!P86</f>
        <v>0</v>
      </c>
      <c r="J86" s="21" t="s">
        <v>30</v>
      </c>
      <c r="K86" s="16" t="e">
        <f t="shared" si="5"/>
        <v>#DIV/0!</v>
      </c>
      <c r="L86" s="17" t="e">
        <f t="shared" si="7"/>
        <v>#DIV/0!</v>
      </c>
      <c r="M86" s="18" t="e">
        <f t="shared" si="6"/>
        <v>#DIV/0!</v>
      </c>
    </row>
    <row r="87" spans="1:13" x14ac:dyDescent="0.3">
      <c r="A87" s="20">
        <v>87</v>
      </c>
      <c r="B87" s="3">
        <f>Compras!A87</f>
        <v>0</v>
      </c>
      <c r="C87" s="3" t="s">
        <v>29</v>
      </c>
      <c r="D87" s="3" t="s">
        <v>28</v>
      </c>
      <c r="E87" s="15">
        <f>Compras!C87</f>
        <v>0</v>
      </c>
      <c r="F87" s="6">
        <f>Compras!D87</f>
        <v>0</v>
      </c>
      <c r="G87" s="4">
        <f>Compras!B87</f>
        <v>0</v>
      </c>
      <c r="H87" s="15">
        <f>Compras!Q87</f>
        <v>0</v>
      </c>
      <c r="I87" s="4">
        <f>Compras!P87</f>
        <v>0</v>
      </c>
      <c r="J87" s="21" t="s">
        <v>30</v>
      </c>
      <c r="K87" s="16" t="e">
        <f t="shared" si="5"/>
        <v>#DIV/0!</v>
      </c>
      <c r="L87" s="17" t="e">
        <f t="shared" si="7"/>
        <v>#DIV/0!</v>
      </c>
      <c r="M87" s="18" t="e">
        <f t="shared" si="6"/>
        <v>#DIV/0!</v>
      </c>
    </row>
    <row r="88" spans="1:13" x14ac:dyDescent="0.3">
      <c r="A88" s="20">
        <v>88</v>
      </c>
      <c r="B88" s="3">
        <f>Compras!A88</f>
        <v>0</v>
      </c>
      <c r="C88" s="3" t="s">
        <v>29</v>
      </c>
      <c r="D88" s="3" t="s">
        <v>28</v>
      </c>
      <c r="E88" s="15">
        <f>Compras!C88</f>
        <v>0</v>
      </c>
      <c r="F88" s="6">
        <f>Compras!D88</f>
        <v>0</v>
      </c>
      <c r="G88" s="4">
        <f>Compras!B88</f>
        <v>0</v>
      </c>
      <c r="H88" s="15">
        <f>Compras!Q88</f>
        <v>0</v>
      </c>
      <c r="I88" s="4">
        <f>Compras!P88</f>
        <v>0</v>
      </c>
      <c r="J88" s="21" t="s">
        <v>30</v>
      </c>
      <c r="K88" s="16" t="e">
        <f t="shared" si="5"/>
        <v>#DIV/0!</v>
      </c>
      <c r="L88" s="17" t="e">
        <f t="shared" si="7"/>
        <v>#DIV/0!</v>
      </c>
      <c r="M88" s="18" t="e">
        <f t="shared" si="6"/>
        <v>#DIV/0!</v>
      </c>
    </row>
    <row r="89" spans="1:13" x14ac:dyDescent="0.3">
      <c r="A89" s="20">
        <v>89</v>
      </c>
      <c r="B89" s="3">
        <f>Compras!A89</f>
        <v>0</v>
      </c>
      <c r="C89" s="3" t="s">
        <v>29</v>
      </c>
      <c r="D89" s="3" t="s">
        <v>28</v>
      </c>
      <c r="E89" s="15">
        <f>Compras!C89</f>
        <v>0</v>
      </c>
      <c r="F89" s="6">
        <f>Compras!D89</f>
        <v>0</v>
      </c>
      <c r="G89" s="4">
        <f>Compras!B89</f>
        <v>0</v>
      </c>
      <c r="H89" s="15">
        <f>Compras!Q89</f>
        <v>0</v>
      </c>
      <c r="I89" s="4">
        <f>Compras!P89</f>
        <v>0</v>
      </c>
      <c r="J89" s="21" t="s">
        <v>30</v>
      </c>
      <c r="K89" s="16" t="e">
        <f t="shared" si="5"/>
        <v>#DIV/0!</v>
      </c>
      <c r="L89" s="17" t="e">
        <f t="shared" si="7"/>
        <v>#DIV/0!</v>
      </c>
      <c r="M89" s="18" t="e">
        <f t="shared" si="6"/>
        <v>#DIV/0!</v>
      </c>
    </row>
  </sheetData>
  <autoFilter ref="A1:M2" xr:uid="{00000000-0009-0000-0000-000001000000}">
    <sortState xmlns:xlrd2="http://schemas.microsoft.com/office/spreadsheetml/2017/richdata2" ref="A2:M89">
      <sortCondition ref="A1:A2"/>
    </sortState>
  </autoFilter>
  <hyperlinks>
    <hyperlink ref="J2" r:id="rId1" xr:uid="{DD045F4C-0143-4A0F-92F2-B9D2EF9B781F}"/>
    <hyperlink ref="J3" r:id="rId2" xr:uid="{B17CD82A-3A1B-4E8D-AA80-B8CC914C8821}"/>
    <hyperlink ref="J4" r:id="rId3" xr:uid="{DF700325-CF60-4D65-B530-621D6B1349C8}"/>
    <hyperlink ref="J5" r:id="rId4" xr:uid="{10AB15E7-B46E-41AA-ABFE-86BA01F1F098}"/>
    <hyperlink ref="J6" r:id="rId5" xr:uid="{0BA36E67-1DAB-4CB5-A218-AE9339FCCD96}"/>
    <hyperlink ref="J7" r:id="rId6" xr:uid="{B04E4831-0AE5-421A-A632-7D5677D45670}"/>
    <hyperlink ref="J8" r:id="rId7" xr:uid="{EFC9FF08-0925-47DA-9DCB-BE99D5690843}"/>
    <hyperlink ref="J9" r:id="rId8" xr:uid="{8C626879-2989-4C46-AABB-92F83DB36AB7}"/>
    <hyperlink ref="J10" r:id="rId9" xr:uid="{7106FC9D-9B2B-48D5-BE5F-65AE0E8403FA}"/>
    <hyperlink ref="J11" r:id="rId10" xr:uid="{14756E9A-37BE-415B-B2AD-082021EA4CBF}"/>
    <hyperlink ref="J12" r:id="rId11" xr:uid="{043E7805-EBE8-464B-A4D9-B988D6704A4B}"/>
    <hyperlink ref="J13" r:id="rId12" xr:uid="{62558AF9-7A09-459F-A70D-990958308247}"/>
    <hyperlink ref="J14" r:id="rId13" xr:uid="{72AEA889-A64A-4887-AF6D-719448B51E35}"/>
    <hyperlink ref="J15" r:id="rId14" xr:uid="{8AB1828F-ECAB-4A1C-BDFF-5BE8AF48BCE8}"/>
    <hyperlink ref="J16" r:id="rId15" xr:uid="{C0F17FAB-10D2-48EA-96BA-6C6E57B8FCF8}"/>
    <hyperlink ref="J17" r:id="rId16" xr:uid="{4DF3104C-A3F4-4096-B2A0-90F7D2E30C67}"/>
    <hyperlink ref="J18" r:id="rId17" xr:uid="{D318756E-ECC5-499F-AB99-DE1A64734B44}"/>
    <hyperlink ref="J20" r:id="rId18" xr:uid="{D34F100E-702D-444D-B1E8-1DCD46E5118C}"/>
    <hyperlink ref="J19" r:id="rId19" xr:uid="{20FF212C-6329-4341-B000-4978E169DFEB}"/>
    <hyperlink ref="J21" r:id="rId20" xr:uid="{F24B6B9A-7A96-4F8C-8235-2D98615FA4EA}"/>
    <hyperlink ref="J22" r:id="rId21" xr:uid="{53650277-1FFE-409E-A4F9-6E98D333DE25}"/>
    <hyperlink ref="J23" r:id="rId22" xr:uid="{8F9F9654-852F-41D6-9FED-289DEF0C9731}"/>
    <hyperlink ref="J24" r:id="rId23" xr:uid="{D0379181-BB2D-4196-8133-237170186487}"/>
    <hyperlink ref="J25" r:id="rId24" xr:uid="{106BD153-8EEE-4404-83AC-508662DBDAED}"/>
    <hyperlink ref="J26" r:id="rId25" xr:uid="{B4251CAA-E6DA-4314-BD13-775DF337B6EA}"/>
    <hyperlink ref="J27" r:id="rId26" xr:uid="{45ACB87D-C700-4532-89F7-86062CD7FEB9}"/>
    <hyperlink ref="J28" r:id="rId27" xr:uid="{AA4A22E5-F80C-4D79-A05D-CD4E58521C3B}"/>
    <hyperlink ref="J29" r:id="rId28" xr:uid="{0AB4A934-21C5-425B-A49D-944684EB2F83}"/>
    <hyperlink ref="J30" r:id="rId29" xr:uid="{99DA6673-8B18-4F9B-9CD1-B782C8785F98}"/>
    <hyperlink ref="J31" r:id="rId30" xr:uid="{A5F26E6E-1160-4198-9043-F019CB34C003}"/>
    <hyperlink ref="J32" r:id="rId31" xr:uid="{FFCF9C08-C536-46B2-9F5A-527ED1E00225}"/>
    <hyperlink ref="J33" r:id="rId32" xr:uid="{C7771F59-CA6F-4184-8DB0-32D271AABC3C}"/>
    <hyperlink ref="J34" r:id="rId33" xr:uid="{CBC7E416-4F3D-4CE5-A9FE-E81208ABFA2E}"/>
    <hyperlink ref="J35" r:id="rId34" xr:uid="{93A11AA5-ED19-43A8-9895-71AF445B4B05}"/>
    <hyperlink ref="J36" r:id="rId35" xr:uid="{AA32E55E-076B-421A-9838-82605E023F32}"/>
    <hyperlink ref="J37" r:id="rId36" xr:uid="{19A7F762-D2F0-4767-ADD8-501CF35BDBDE}"/>
    <hyperlink ref="J38" r:id="rId37" xr:uid="{7CF09831-55BD-436F-A707-24324E0C19C2}"/>
    <hyperlink ref="J39" r:id="rId38" xr:uid="{64B0973D-8B1A-44BE-88C1-0749F11C7A8B}"/>
    <hyperlink ref="J40" r:id="rId39" xr:uid="{B7E1362B-331E-41F0-8274-BBBD9B83CC07}"/>
    <hyperlink ref="J41" r:id="rId40" xr:uid="{79B35A2D-2474-4215-9518-0B6D467AB299}"/>
    <hyperlink ref="J42" r:id="rId41" xr:uid="{DE02FABB-5C86-4D4C-A07D-BC06C1A2C04A}"/>
    <hyperlink ref="J43" r:id="rId42" xr:uid="{7F757378-6264-4E42-AA57-BD2E36FA68D9}"/>
    <hyperlink ref="J44" r:id="rId43" xr:uid="{1D273783-AB35-4E94-9F19-7ACC0F9F910D}"/>
    <hyperlink ref="J45" r:id="rId44" xr:uid="{EB8FE930-D2D9-450E-A26B-8E6D17A69EBC}"/>
    <hyperlink ref="J46" r:id="rId45" xr:uid="{0D3A920F-D5C2-4C0A-A326-33AF64DFF87D}"/>
    <hyperlink ref="J47" r:id="rId46" xr:uid="{510FB11A-5E98-4123-A19E-CC5B37E1F2B4}"/>
    <hyperlink ref="J55" r:id="rId47" xr:uid="{B6BD6969-12FC-4C1D-8805-E4C063E5F8A9}"/>
    <hyperlink ref="J48" r:id="rId48" xr:uid="{B39CB483-6C03-4411-AEF9-8A27E1D1C792}"/>
    <hyperlink ref="J49" r:id="rId49" xr:uid="{9F6213B6-A221-4616-BE21-FDC6A503B473}"/>
    <hyperlink ref="J50" r:id="rId50" xr:uid="{41BB8C7B-C4A0-42FE-89D3-626D8928687C}"/>
    <hyperlink ref="J51" r:id="rId51" xr:uid="{9D583E3A-C9D0-47E1-8E45-41785DF26063}"/>
    <hyperlink ref="J52" r:id="rId52" xr:uid="{AD0F1593-08BD-4B9E-B172-82F5486BECFB}"/>
    <hyperlink ref="J54" r:id="rId53" xr:uid="{A59E0FB2-1CD5-44B3-B93A-E31A6512C47A}"/>
    <hyperlink ref="J53" r:id="rId54" xr:uid="{8BFD8D54-F914-4D06-AD23-5D444289A975}"/>
    <hyperlink ref="J56" r:id="rId55" xr:uid="{9547AF92-19A5-4215-8F7D-EE3293BFD8D9}"/>
    <hyperlink ref="J57" r:id="rId56" xr:uid="{CB4276AC-094D-4F33-BBDE-C031ADC3824B}"/>
    <hyperlink ref="J58" r:id="rId57" xr:uid="{E3BACE35-9269-4BCE-A786-08E05779D537}"/>
    <hyperlink ref="J59" r:id="rId58" xr:uid="{C812852B-B774-4A8B-88EE-3A95A527B14F}"/>
    <hyperlink ref="J62" r:id="rId59" xr:uid="{3CBCB4A6-FF77-400E-8ACA-45E36134A1D0}"/>
    <hyperlink ref="J61" r:id="rId60" xr:uid="{C8750F01-C244-48EC-B8E0-A26F0D5A318A}"/>
    <hyperlink ref="J60" r:id="rId61" xr:uid="{5002EFCE-B55F-4242-B249-D6843EC90E12}"/>
    <hyperlink ref="J63" r:id="rId62" xr:uid="{5C79A880-2307-497B-920E-4201A35BAB0B}"/>
    <hyperlink ref="J64" r:id="rId63" xr:uid="{FC3F3AEF-CF14-4030-A2DF-2586A3DC2E13}"/>
    <hyperlink ref="J65" r:id="rId64" xr:uid="{BF26EC20-C825-421B-9C15-161BC04C6F3F}"/>
    <hyperlink ref="J66" r:id="rId65" xr:uid="{00871506-C79F-445E-A110-251394D92FED}"/>
    <hyperlink ref="J67" r:id="rId66" xr:uid="{158AEFDB-EF97-451D-99AC-5660D6D1596B}"/>
    <hyperlink ref="J68" r:id="rId67" xr:uid="{20326941-9DCF-49F4-8184-EA9D903A41A1}"/>
  </hyperlinks>
  <pageMargins left="0.7" right="0.7" top="0.75" bottom="0.75" header="0.3" footer="0.3"/>
  <picture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Compras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Tlachino</dc:creator>
  <cp:lastModifiedBy>Marco Tlachino Macuitl</cp:lastModifiedBy>
  <dcterms:created xsi:type="dcterms:W3CDTF">2024-02-04T04:41:10Z</dcterms:created>
  <dcterms:modified xsi:type="dcterms:W3CDTF">2025-02-22T20:59:59Z</dcterms:modified>
</cp:coreProperties>
</file>