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GitProyects\pythonDataIngestionProcess\data_processed\"/>
    </mc:Choice>
  </mc:AlternateContent>
  <xr:revisionPtr revIDLastSave="0" documentId="13_ncr:1_{2FE0EDF7-E5AD-4DE9-AFFB-F8C4C055B09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mpras" sheetId="2" r:id="rId1"/>
    <sheet name="Precios" sheetId="3" r:id="rId2"/>
  </sheets>
  <definedNames>
    <definedName name="_xlnm._FilterDatabase" localSheetId="1" hidden="1">Precios!$A$1:$M$1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3" l="1"/>
  <c r="O27" i="2" l="1"/>
  <c r="I27" i="2"/>
  <c r="Q27" i="2" s="1"/>
  <c r="T27" i="2" s="1"/>
  <c r="G27" i="2"/>
  <c r="D27" i="2"/>
  <c r="O26" i="2"/>
  <c r="I26" i="2"/>
  <c r="G26" i="2"/>
  <c r="D26" i="2"/>
  <c r="O25" i="2"/>
  <c r="I25" i="2"/>
  <c r="G25" i="2"/>
  <c r="D25" i="2"/>
  <c r="O24" i="2"/>
  <c r="I24" i="2"/>
  <c r="Q24" i="2" s="1"/>
  <c r="T24" i="2" s="1"/>
  <c r="G24" i="2"/>
  <c r="D24" i="2"/>
  <c r="O23" i="2"/>
  <c r="I23" i="2"/>
  <c r="Q23" i="2" s="1"/>
  <c r="T23" i="2" s="1"/>
  <c r="G23" i="2"/>
  <c r="D23" i="2"/>
  <c r="O22" i="2"/>
  <c r="I22" i="2"/>
  <c r="G22" i="2"/>
  <c r="D22" i="2"/>
  <c r="O21" i="2"/>
  <c r="I21" i="2"/>
  <c r="G21" i="2"/>
  <c r="D21" i="2"/>
  <c r="O20" i="2"/>
  <c r="I20" i="2"/>
  <c r="Q20" i="2" s="1"/>
  <c r="T20" i="2" s="1"/>
  <c r="G20" i="2"/>
  <c r="D20" i="2"/>
  <c r="O19" i="2"/>
  <c r="I19" i="2"/>
  <c r="G19" i="2"/>
  <c r="D19" i="2"/>
  <c r="O18" i="2"/>
  <c r="I18" i="2"/>
  <c r="G18" i="2"/>
  <c r="D18" i="2"/>
  <c r="O17" i="2"/>
  <c r="I17" i="2"/>
  <c r="Q17" i="2" s="1"/>
  <c r="T17" i="2" s="1"/>
  <c r="G17" i="2"/>
  <c r="D17" i="2"/>
  <c r="O16" i="2"/>
  <c r="I16" i="2"/>
  <c r="Q16" i="2" s="1"/>
  <c r="G16" i="2"/>
  <c r="D16" i="2"/>
  <c r="O15" i="2"/>
  <c r="I15" i="2"/>
  <c r="Q15" i="2" s="1"/>
  <c r="T15" i="2" s="1"/>
  <c r="G15" i="2"/>
  <c r="D15" i="2"/>
  <c r="O14" i="2"/>
  <c r="I14" i="2"/>
  <c r="G14" i="2"/>
  <c r="D14" i="2"/>
  <c r="Q13" i="2"/>
  <c r="T13" i="2" s="1"/>
  <c r="G13" i="2"/>
  <c r="D13" i="2"/>
  <c r="O12" i="2"/>
  <c r="I12" i="2"/>
  <c r="Q12" i="2" s="1"/>
  <c r="T12" i="2" s="1"/>
  <c r="G12" i="2"/>
  <c r="D12" i="2"/>
  <c r="O11" i="2"/>
  <c r="I11" i="2"/>
  <c r="G11" i="2"/>
  <c r="D11" i="2"/>
  <c r="O10" i="2"/>
  <c r="I10" i="2"/>
  <c r="G10" i="2"/>
  <c r="D10" i="2"/>
  <c r="O9" i="2"/>
  <c r="I9" i="2"/>
  <c r="G9" i="2"/>
  <c r="D9" i="2"/>
  <c r="O8" i="2"/>
  <c r="I8" i="2"/>
  <c r="Q8" i="2" s="1"/>
  <c r="T8" i="2" s="1"/>
  <c r="G8" i="2"/>
  <c r="D8" i="2"/>
  <c r="O7" i="2"/>
  <c r="Q7" i="2" s="1"/>
  <c r="T7" i="2" s="1"/>
  <c r="G7" i="2"/>
  <c r="D7" i="2"/>
  <c r="O6" i="2"/>
  <c r="Q6" i="2" s="1"/>
  <c r="T6" i="2" s="1"/>
  <c r="G6" i="2"/>
  <c r="D6" i="2"/>
  <c r="O5" i="2"/>
  <c r="Q5" i="2" s="1"/>
  <c r="T5" i="2" s="1"/>
  <c r="G5" i="2"/>
  <c r="D5" i="2"/>
  <c r="O4" i="2"/>
  <c r="Q4" i="2" s="1"/>
  <c r="T4" i="2" s="1"/>
  <c r="G4" i="2"/>
  <c r="D4" i="2"/>
  <c r="O3" i="2"/>
  <c r="I3" i="2"/>
  <c r="Q3" i="2" s="1"/>
  <c r="T3" i="2" s="1"/>
  <c r="G3" i="2"/>
  <c r="D3" i="2"/>
  <c r="O2" i="2"/>
  <c r="I2" i="2"/>
  <c r="G2" i="2"/>
  <c r="D2" i="2"/>
  <c r="Q22" i="2" l="1"/>
  <c r="T22" i="2" s="1"/>
  <c r="T16" i="2"/>
  <c r="H16" i="3"/>
  <c r="Q14" i="2"/>
  <c r="T14" i="2" s="1"/>
  <c r="Q11" i="2"/>
  <c r="T11" i="2" s="1"/>
  <c r="Q9" i="2"/>
  <c r="T9" i="2" s="1"/>
  <c r="Q21" i="2"/>
  <c r="T21" i="2" s="1"/>
  <c r="Q25" i="2"/>
  <c r="T25" i="2" s="1"/>
  <c r="Q10" i="2"/>
  <c r="T10" i="2" s="1"/>
  <c r="Q18" i="2"/>
  <c r="T18" i="2" s="1"/>
  <c r="Q26" i="2"/>
  <c r="T26" i="2" s="1"/>
  <c r="Q2" i="2"/>
  <c r="T2" i="2" s="1"/>
  <c r="Q19" i="2"/>
  <c r="T19" i="2" s="1"/>
  <c r="B2" i="3" l="1"/>
  <c r="E2" i="3"/>
  <c r="F2" i="3"/>
  <c r="G2" i="3"/>
  <c r="H2" i="3"/>
  <c r="I2" i="3"/>
  <c r="B3" i="3"/>
  <c r="E3" i="3"/>
  <c r="F3" i="3"/>
  <c r="G3" i="3"/>
  <c r="H3" i="3"/>
  <c r="I3" i="3"/>
  <c r="B4" i="3"/>
  <c r="E4" i="3"/>
  <c r="F4" i="3"/>
  <c r="G4" i="3"/>
  <c r="H4" i="3"/>
  <c r="I4" i="3"/>
  <c r="B5" i="3"/>
  <c r="E5" i="3"/>
  <c r="F5" i="3"/>
  <c r="G5" i="3"/>
  <c r="H5" i="3"/>
  <c r="I5" i="3"/>
  <c r="B6" i="3"/>
  <c r="E6" i="3"/>
  <c r="F6" i="3"/>
  <c r="G6" i="3"/>
  <c r="H6" i="3"/>
  <c r="I6" i="3"/>
  <c r="B7" i="3"/>
  <c r="E7" i="3"/>
  <c r="F7" i="3"/>
  <c r="G7" i="3"/>
  <c r="H7" i="3"/>
  <c r="I7" i="3"/>
  <c r="B8" i="3"/>
  <c r="E8" i="3"/>
  <c r="F8" i="3"/>
  <c r="G8" i="3"/>
  <c r="H8" i="3"/>
  <c r="I8" i="3"/>
  <c r="B9" i="3"/>
  <c r="E9" i="3"/>
  <c r="F9" i="3"/>
  <c r="G9" i="3"/>
  <c r="H9" i="3"/>
  <c r="I9" i="3"/>
  <c r="B10" i="3"/>
  <c r="E10" i="3"/>
  <c r="F10" i="3"/>
  <c r="G10" i="3"/>
  <c r="H10" i="3"/>
  <c r="I10" i="3"/>
  <c r="B11" i="3"/>
  <c r="E11" i="3"/>
  <c r="F11" i="3"/>
  <c r="G11" i="3"/>
  <c r="H11" i="3"/>
  <c r="I11" i="3"/>
  <c r="B12" i="3"/>
  <c r="E12" i="3"/>
  <c r="F12" i="3"/>
  <c r="G12" i="3"/>
  <c r="H12" i="3"/>
  <c r="I12" i="3"/>
  <c r="B13" i="3"/>
  <c r="E13" i="3"/>
  <c r="F13" i="3"/>
  <c r="G13" i="3"/>
  <c r="H13" i="3"/>
  <c r="I13" i="3"/>
  <c r="B14" i="3"/>
  <c r="E14" i="3"/>
  <c r="F14" i="3"/>
  <c r="G14" i="3"/>
  <c r="H14" i="3"/>
  <c r="I14" i="3"/>
  <c r="B15" i="3"/>
  <c r="E15" i="3"/>
  <c r="F15" i="3"/>
  <c r="G15" i="3"/>
  <c r="H15" i="3"/>
  <c r="I15" i="3"/>
  <c r="B16" i="3"/>
  <c r="E16" i="3"/>
  <c r="F16" i="3"/>
  <c r="G16" i="3"/>
  <c r="B17" i="3"/>
  <c r="E17" i="3"/>
  <c r="F17" i="3"/>
  <c r="G17" i="3"/>
  <c r="H17" i="3"/>
  <c r="I17" i="3"/>
  <c r="B18" i="3"/>
  <c r="E18" i="3"/>
  <c r="F18" i="3"/>
  <c r="G18" i="3"/>
  <c r="H18" i="3"/>
  <c r="I18" i="3"/>
  <c r="B19" i="3"/>
  <c r="E19" i="3"/>
  <c r="F19" i="3"/>
  <c r="G19" i="3"/>
  <c r="H19" i="3"/>
  <c r="I19" i="3"/>
  <c r="B20" i="3"/>
  <c r="E20" i="3"/>
  <c r="F20" i="3"/>
  <c r="G20" i="3"/>
  <c r="H20" i="3"/>
  <c r="I20" i="3"/>
  <c r="B21" i="3"/>
  <c r="E21" i="3"/>
  <c r="F21" i="3"/>
  <c r="G21" i="3"/>
  <c r="H21" i="3"/>
  <c r="I21" i="3"/>
  <c r="B22" i="3"/>
  <c r="E22" i="3"/>
  <c r="F22" i="3"/>
  <c r="G22" i="3"/>
  <c r="H22" i="3"/>
  <c r="I22" i="3"/>
  <c r="B23" i="3"/>
  <c r="E23" i="3"/>
  <c r="F23" i="3"/>
  <c r="G23" i="3"/>
  <c r="H23" i="3"/>
  <c r="I23" i="3"/>
  <c r="B24" i="3"/>
  <c r="E24" i="3"/>
  <c r="F24" i="3"/>
  <c r="G24" i="3"/>
  <c r="H24" i="3"/>
  <c r="I24" i="3"/>
  <c r="B25" i="3"/>
  <c r="E25" i="3"/>
  <c r="F25" i="3"/>
  <c r="G25" i="3"/>
  <c r="H25" i="3"/>
  <c r="I25" i="3"/>
  <c r="B26" i="3"/>
  <c r="E26" i="3"/>
  <c r="F26" i="3"/>
  <c r="G26" i="3"/>
  <c r="H26" i="3"/>
  <c r="I26" i="3"/>
  <c r="B27" i="3"/>
  <c r="E27" i="3"/>
  <c r="F27" i="3"/>
  <c r="G27" i="3"/>
  <c r="H27" i="3"/>
  <c r="I27" i="3"/>
  <c r="M5" i="3" l="1"/>
  <c r="K5" i="3" s="1"/>
  <c r="L5" i="3" s="1"/>
  <c r="M3" i="3"/>
  <c r="K3" i="3" s="1"/>
  <c r="L3" i="3" s="1"/>
  <c r="M24" i="3"/>
  <c r="K24" i="3" s="1"/>
  <c r="L24" i="3" s="1"/>
  <c r="M8" i="3"/>
  <c r="K8" i="3" s="1"/>
  <c r="L8" i="3" s="1"/>
  <c r="M26" i="3"/>
  <c r="K26" i="3" s="1"/>
  <c r="L26" i="3" s="1"/>
  <c r="M22" i="3"/>
  <c r="K22" i="3" s="1"/>
  <c r="L22" i="3" s="1"/>
  <c r="M19" i="3"/>
  <c r="K19" i="3" s="1"/>
  <c r="L19" i="3" s="1"/>
  <c r="M25" i="3"/>
  <c r="K25" i="3" s="1"/>
  <c r="L25" i="3" s="1"/>
  <c r="M10" i="3"/>
  <c r="K10" i="3" s="1"/>
  <c r="L10" i="3" s="1"/>
  <c r="M12" i="3"/>
  <c r="K12" i="3" s="1"/>
  <c r="L12" i="3" s="1"/>
  <c r="M15" i="3"/>
  <c r="K15" i="3" s="1"/>
  <c r="L15" i="3" s="1"/>
  <c r="M21" i="3"/>
  <c r="K21" i="3" s="1"/>
  <c r="L21" i="3" s="1"/>
  <c r="M18" i="3"/>
  <c r="K18" i="3" s="1"/>
  <c r="L18" i="3" s="1"/>
  <c r="M7" i="3"/>
  <c r="K7" i="3" s="1"/>
  <c r="L7" i="3" s="1"/>
  <c r="M6" i="3"/>
  <c r="K6" i="3" s="1"/>
  <c r="L6" i="3" s="1"/>
  <c r="M11" i="3"/>
  <c r="K11" i="3" s="1"/>
  <c r="L11" i="3" s="1"/>
  <c r="M13" i="3"/>
  <c r="K13" i="3" s="1"/>
  <c r="L13" i="3" s="1"/>
  <c r="M17" i="3"/>
  <c r="K17" i="3" s="1"/>
  <c r="L17" i="3" s="1"/>
  <c r="M14" i="3"/>
  <c r="K14" i="3" s="1"/>
  <c r="L14" i="3" s="1"/>
  <c r="M9" i="3"/>
  <c r="K9" i="3" s="1"/>
  <c r="L9" i="3" s="1"/>
  <c r="M2" i="3"/>
  <c r="K2" i="3" s="1"/>
  <c r="L2" i="3" s="1"/>
  <c r="M16" i="3"/>
  <c r="K16" i="3" s="1"/>
  <c r="L16" i="3" s="1"/>
  <c r="M20" i="3"/>
  <c r="K20" i="3" s="1"/>
  <c r="L20" i="3" s="1"/>
  <c r="M27" i="3"/>
  <c r="K27" i="3" s="1"/>
  <c r="L27" i="3" s="1"/>
  <c r="M23" i="3"/>
  <c r="K23" i="3" s="1"/>
  <c r="L23" i="3" s="1"/>
  <c r="M4" i="3"/>
  <c r="K4" i="3" s="1"/>
  <c r="L4" i="3" s="1"/>
</calcChain>
</file>

<file path=xl/sharedStrings.xml><?xml version="1.0" encoding="utf-8"?>
<sst xmlns="http://schemas.openxmlformats.org/spreadsheetml/2006/main" count="161" uniqueCount="90">
  <si>
    <t>Descripción</t>
  </si>
  <si>
    <t>Cant</t>
  </si>
  <si>
    <t>Precio</t>
  </si>
  <si>
    <t>% Desc</t>
  </si>
  <si>
    <t>C. Unit US</t>
  </si>
  <si>
    <t>C. Unit</t>
  </si>
  <si>
    <t>Total Cmpr</t>
  </si>
  <si>
    <t>Env US</t>
  </si>
  <si>
    <t>Envio</t>
  </si>
  <si>
    <t>Fch Cmpr</t>
  </si>
  <si>
    <t>Fch Entrga</t>
  </si>
  <si>
    <t>Euro</t>
  </si>
  <si>
    <t>Dólar</t>
  </si>
  <si>
    <t>Dsc US</t>
  </si>
  <si>
    <t>Desct</t>
  </si>
  <si>
    <t>Pzs</t>
  </si>
  <si>
    <t>Costo Final</t>
  </si>
  <si>
    <t>Liga</t>
  </si>
  <si>
    <t>TOTAL DESC</t>
  </si>
  <si>
    <t>TOTAL CMPRS</t>
  </si>
  <si>
    <t>No</t>
  </si>
  <si>
    <t>Marca</t>
  </si>
  <si>
    <t>Categoria</t>
  </si>
  <si>
    <t>P. Tienda</t>
  </si>
  <si>
    <t>% Desc Cmpr</t>
  </si>
  <si>
    <t>P. Venta</t>
  </si>
  <si>
    <t>P. Oferta</t>
  </si>
  <si>
    <t>Calc</t>
  </si>
  <si>
    <t>Peluche</t>
  </si>
  <si>
    <t>Preview</t>
  </si>
  <si>
    <t>Cmpr Final</t>
  </si>
  <si>
    <t>SANRIO</t>
  </si>
  <si>
    <t>Disney</t>
  </si>
  <si>
    <t>Hello Kitty</t>
  </si>
  <si>
    <t>Cerdito</t>
  </si>
  <si>
    <t>Sanrio-juguetes de peluche de Hello Kitty para niñas, almohada suave de Anime, Kawaii - HK 25cm</t>
  </si>
  <si>
    <t>https://es.aliexpress.com/item/1005007205794900.html?spm=a2g0o.order_detail.order_detail_item.3.162039d3qr6eZW&amp;gatewayAdapt=glo2esp</t>
  </si>
  <si>
    <t>Pokemon Kawaii Pikachu, muñecos de peluche de 30cm</t>
  </si>
  <si>
    <t>https://es.aliexpress.com/item/1005007296047999.html?spm=a2g0o.order_detail.order_detail_item.6.162039d3qr6eZW&amp;gatewayAdapt=glo2esp</t>
  </si>
  <si>
    <t>Peluche grande Kawaii Disney Lilo y Stitch, peluche almohada, 45cm</t>
  </si>
  <si>
    <t>https://es.aliexpress.com/item/1005006793014667.html?spm=a2g0o.order_detail.order_detail_item.3.207739d3kYdWCp&amp;gatewayAdapt=glo2esp</t>
  </si>
  <si>
    <t>Mochila de Marvel, Spiderman, mochila bonita afelpada</t>
  </si>
  <si>
    <t>https://es.aliexpress.com/item/1005007451872252.html?spm=a2g0o.order_detail.order_detail_item.3.794839d33lgbAU&amp;gatewayAdapt=glo2esp</t>
  </si>
  <si>
    <t>Sonic, peluche suave, erizo, Amy Rose, cola de nudillo,30cm</t>
  </si>
  <si>
    <t>https://es.aliexpress.com/item/1005007077236884.html?spm=a2g0o.order_detail.order_detail_item.3.3ba439d3et0XZf&amp;gatewayAdapt=glo2esp</t>
  </si>
  <si>
    <t>Disney-Lilo &amp; Stitch, peluche Kawaii, 20-25CM</t>
  </si>
  <si>
    <t>https://es.aliexpress.com/item/1005007255322278.html?spm=a2g0o.order_detail.order_detail_item.3.3d0239d3wF23Cz&amp;gatewayAdapt=glo2esp</t>
  </si>
  <si>
    <t>MINISO-oso de peluche de arcoíris para niña, juguete de peluche de 40 Cm, Multicolor</t>
  </si>
  <si>
    <t>https://es.aliexpress.com/item/1005007476769059.html?spm=a2g0o.order_detail.order_detail_item.3.a7e039d3zbmBw4&amp;gatewayAdapt=glo2esp</t>
  </si>
  <si>
    <t>MINISO-oso de peluche de arcoíris para niña, juguete de peluche de 40 Cm, Morado</t>
  </si>
  <si>
    <t>Sanrio-peluches Kawaii de Hello Kitty, pijama osito cariñosito, Cinnamoroll</t>
  </si>
  <si>
    <t>}https://es.aliexpress.com/item/1005007483803308.html?spm=a2g0o.order_detail.order_detail_item.3.303a39d3FLUoqW&amp;gatewayAdapt=glo2esp</t>
  </si>
  <si>
    <t>Sanrio-peluches Kawaii de Hello Kitty, pijama osito cariñosito, HK</t>
  </si>
  <si>
    <t>Sanrio Kuromi Cinnamoroll Melody, peluche suave Día de San Valentín, 30cm, HK corazon</t>
  </si>
  <si>
    <t>https://es.aliexpress.com/item/1005008149664520.html?spm=a2g0o.order_detail.order_detail_item.3.5e2c39d3a2hu22&amp;gatewayAdapt=glo2esp</t>
  </si>
  <si>
    <t>Disney's Anime grande, púrpura, San Valentín, Stich, 30cm</t>
  </si>
  <si>
    <t>https://es.aliexpress.com/item/1005008011489111.html?spm=a2g0o.order_detail.order_detail_item.3.657a39d3gepFwO&amp;gatewayAdapt=glo2esp</t>
  </si>
  <si>
    <t>Miniso-Lilo &amp; Stitch de Disney, peluche Kawaii, suave, Azul, 30cm</t>
  </si>
  <si>
    <t>https://es.aliexpress.com/item/1005007292459485.html?spm=a2g0o.order_detail.order_detail_item.3.6fd239d3OEObkf&amp;gatewayAdapt=glo2esp</t>
  </si>
  <si>
    <t>Bob Esponja Squarepants, peluche Patricio, Estrella rosa, Kawaii, Bob esponja, 40cm</t>
  </si>
  <si>
    <t>https://es.aliexpress.com/item/1005007550314179.html?spm=a2g0o.order_detail.order_detail_item.3.9c6039d3ZNf5Nf&amp;gatewayAdapt=glo2esp</t>
  </si>
  <si>
    <t>Peluche de Lilo Stitch, Ángel, Anime, suave, 30cm, azul corazon</t>
  </si>
  <si>
    <t>https://es.aliexpress.com/item/1005007799447721.html?spm=a2g0o.order_detail.order_detail_item.3.10fb39d3SMJ3xG&amp;gatewayAdapt=glo2esp</t>
  </si>
  <si>
    <t>Disney Stitch, lindo conejo de peluche, 40cm</t>
  </si>
  <si>
    <t>https://es.aliexpress.com/item/1005007862756052.html?spm=a2g0o.order_detail.order_detail_item.3.224d39d3kfcwS8&amp;gatewayAdapt=glo2esp</t>
  </si>
  <si>
    <t xml:space="preserve">Sanrio Kawaii Cinnamoroll sombrero, peluche almohada suave </t>
  </si>
  <si>
    <t>https://es.aliexpress.com/item/1005006906829756.html?spm=a2g0o.order_detail.order_detail_item.3.419a39d3C1vk48&amp;gatewayAdapt=glo2esp</t>
  </si>
  <si>
    <t>Sanrio Ice Cream Hello Kitty Kuromi Melody Cinnamoroll, peluche almohada, 30cm</t>
  </si>
  <si>
    <t>https://es.aliexpress.com/item/1005007302134948.html?spm=a2g0o.order_detail.order_detail_item.3.34b439d3Aqnzo7&amp;gatewayAdapt=glo2esp</t>
  </si>
  <si>
    <t>MINISO-oso de peluche de arcoíris, peluche de 40 Cm, rosa</t>
  </si>
  <si>
    <t>https://es.aliexpress.com/item/1005007476769059.html?spm=a2g0o.order_detail.order_detail_item.3.18f239d3mCxSIb&amp;gatewayAdapt=glo2esp</t>
  </si>
  <si>
    <t>Sanrio Yugui se transforma en un juguete de peluche de fresa, almohada, Cinnamoroll</t>
  </si>
  <si>
    <t>https://es.aliexpress.com/item/1005008300880893.html?spm=a2g0o.order_detail.order_detail_item.2.573639d3khwPIa&amp;gatewayAdapt=glo2esp</t>
  </si>
  <si>
    <t>Sanrio-almohada de felpa de Hello Kitty, cojín de cabecera</t>
  </si>
  <si>
    <t>https://es.aliexpress.com/item/1005007169033457.html?spm=a2g0o.order_detail.order_detail_item.2.652739d32x0xqv&amp;gatewayAdapt=glo2esp</t>
  </si>
  <si>
    <t>Peluche de cerdo, corazón de retención, almohadas, suaves, 20cm</t>
  </si>
  <si>
    <t>https://es.aliexpress.com/item/1005006628444371.html?spm=a2g0o.order_detail.order_detail_item.3.23da39d3WPGRyV&amp;gatewayAdapt=glo2esp</t>
  </si>
  <si>
    <t>Sanrio-muñeco de peluche Kuromi Melody, muñeco de peluche cómodo y suave, Cinnamoroll, 20cm</t>
  </si>
  <si>
    <t>https://es.aliexpress.com/item/1005006263181072.html?spm=a2g0o.order_detail.order_detail_item.3.495e39d3JkiFa7&amp;gatewayAdapt=glo2esp</t>
  </si>
  <si>
    <t>Disney-figuras originales Stitch, peluche, 25cm, corazon, azul</t>
  </si>
  <si>
    <t>https://es.aliexpress.com/item/1005007255301825.html?spm=a2g0o.order_detail.order_detail_item.3.9a5939d3Hr54ou&amp;gatewayAdapt=glo2esp</t>
  </si>
  <si>
    <t>Disney-figuras originales Stitch, peluche, 25cm, corazon, rosa</t>
  </si>
  <si>
    <t>Sanrio Kawaii Cinnamoroll sombrero, peluche almohada suave, 25cm, Cinnamoroll</t>
  </si>
  <si>
    <t>https://es.aliexpress.com/item/1005006906829756.html?spm=a2g0o.order_detail.order_detail_item.3.2d4739d3aXEhNH&amp;gatewayAdapt=glo2esp</t>
  </si>
  <si>
    <t>Bob Esponja</t>
  </si>
  <si>
    <t>MARVEL</t>
  </si>
  <si>
    <t>Pokemon</t>
  </si>
  <si>
    <t>Sonic</t>
  </si>
  <si>
    <t>Ositos Cariñositos</t>
  </si>
  <si>
    <t>MINISO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</si>
</sst>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44" formatCode="_-&quot;$&quot;* #,##0.00_-;\-&quot;$&quot;* #,##0.00_-;_-&quot;$&quot;* &quot;-&quot;??_-;_-@_-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1">
    <xf numFmtId="0" fontId="0" fillId="0" borderId="0" xfId="0"/>
    <xf numFmtId="0" fontId="4" fillId="0" borderId="0" xfId="0" applyFont="1" applyAlignment="1">
      <alignment horizontal="center" vertical="center"/>
    </xf>
    <xf numFmtId="44" fontId="4" fillId="0" borderId="0" xfId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left" vertical="center"/>
    </xf>
    <xf numFmtId="9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4" fillId="0" borderId="0" xfId="1" applyFont="1" applyAlignment="1">
      <alignment horizontal="center" vertical="center"/>
    </xf>
    <xf numFmtId="14" fontId="0" fillId="0" borderId="0" xfId="1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44" fontId="5" fillId="0" borderId="0" xfId="1" applyFont="1" applyAlignment="1">
      <alignment horizontal="center" vertical="center"/>
    </xf>
    <xf numFmtId="0" fontId="3" fillId="0" borderId="0" xfId="2" applyAlignment="1">
      <alignment horizontal="left" vertical="center"/>
    </xf>
    <xf numFmtId="0" fontId="0" fillId="0" borderId="0" xfId="0" applyAlignment="1">
      <alignment horizontal="left" vertical="center"/>
    </xf>
    <xf numFmtId="44" fontId="0" fillId="0" borderId="0" xfId="0" applyNumberFormat="1" applyAlignment="1">
      <alignment horizontal="left" vertical="center"/>
    </xf>
    <xf numFmtId="6" fontId="6" fillId="0" borderId="0" xfId="0" applyNumberFormat="1" applyFont="1" applyAlignment="1">
      <alignment horizontal="left" vertical="center"/>
    </xf>
    <xf numFmtId="6" fontId="7" fillId="0" borderId="0" xfId="0" applyNumberFormat="1" applyFont="1" applyAlignment="1">
      <alignment horizontal="center" vertical="center"/>
    </xf>
    <xf numFmtId="6" fontId="8" fillId="0" borderId="0" xfId="0" applyNumberFormat="1" applyFont="1" applyAlignment="1">
      <alignment horizontal="right" vertical="center"/>
    </xf>
    <xf numFmtId="0" fontId="9" fillId="0" borderId="0" xfId="0" applyFont="1"/>
    <xf numFmtId="1" fontId="0" fillId="0" borderId="0" xfId="0" applyNumberFormat="1" applyAlignment="1">
      <alignment horizontal="center" vertical="center"/>
    </xf>
    <xf numFmtId="6" fontId="3" fillId="2" borderId="0" xfId="2" applyNumberFormat="1" applyFill="1" applyAlignment="1">
      <alignment horizontal="center" vertical="center"/>
    </xf>
  </cellXfs>
  <cellStyles count="6">
    <cellStyle name="Hipervínculo" xfId="2" builtinId="8"/>
    <cellStyle name="Hipervínculo 2" xfId="5" xr:uid="{21EF05F3-1E2C-49C4-9AE2-9AB640736CFA}"/>
    <cellStyle name="Moneda" xfId="1" builtinId="4"/>
    <cellStyle name="Moneda 2" xfId="4" xr:uid="{ECA1117B-34B7-458A-826A-858B495450D6}"/>
    <cellStyle name="Normal" xfId="0" builtinId="0"/>
    <cellStyle name="Normal 2" xfId="3" xr:uid="{B57AF322-3F49-48C4-B167-E3A6159316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s.aliexpress.com/item/1005008149664520.html?spm=a2g0o.order_detail.order_detail_item.3.5e2c39d3a2hu22&amp;gatewayAdapt=glo2esp" TargetMode="External"/><Relationship Id="rId13" Type="http://schemas.openxmlformats.org/officeDocument/2006/relationships/hyperlink" Target="https://es.aliexpress.com/item/1005006906829756.html?spm=a2g0o.order_detail.order_detail_item.3.419a39d3C1vk48&amp;gatewayAdapt=glo2esp" TargetMode="External"/><Relationship Id="rId18" Type="http://schemas.openxmlformats.org/officeDocument/2006/relationships/hyperlink" Target="https://es.aliexpress.com/item/1005006628444371.html?spm=a2g0o.order_detail.order_detail_item.3.23da39d3WPGRyV&amp;gatewayAdapt=glo2esp" TargetMode="External"/><Relationship Id="rId3" Type="http://schemas.openxmlformats.org/officeDocument/2006/relationships/hyperlink" Target="https://es.aliexpress.com/item/1005006793014667.html?spm=a2g0o.order_detail.order_detail_item.3.207739d3kYdWCp&amp;gatewayAdapt=glo2esp" TargetMode="External"/><Relationship Id="rId21" Type="http://schemas.openxmlformats.org/officeDocument/2006/relationships/hyperlink" Target="https://es.aliexpress.com/item/1005006906829756.html?spm=a2g0o.order_detail.order_detail_item.3.2d4739d3aXEhNH&amp;gatewayAdapt=glo2esp" TargetMode="External"/><Relationship Id="rId7" Type="http://schemas.openxmlformats.org/officeDocument/2006/relationships/hyperlink" Target="https://es.aliexpress.com/item/1005007476769059.html?spm=a2g0o.order_detail.order_detail_item.3.a7e039d3zbmBw4&amp;gatewayAdapt=glo2esp" TargetMode="External"/><Relationship Id="rId12" Type="http://schemas.openxmlformats.org/officeDocument/2006/relationships/hyperlink" Target="https://es.aliexpress.com/item/1005007799447721.html?spm=a2g0o.order_detail.order_detail_item.3.10fb39d3SMJ3xG&amp;gatewayAdapt=glo2esp" TargetMode="External"/><Relationship Id="rId17" Type="http://schemas.openxmlformats.org/officeDocument/2006/relationships/hyperlink" Target="https://es.aliexpress.com/item/1005007169033457.html?spm=a2g0o.order_detail.order_detail_item.2.652739d32x0xqv&amp;gatewayAdapt=glo2esp" TargetMode="External"/><Relationship Id="rId2" Type="http://schemas.openxmlformats.org/officeDocument/2006/relationships/hyperlink" Target="https://es.aliexpress.com/item/1005007296047999.html?spm=a2g0o.order_detail.order_detail_item.6.162039d3qr6eZW&amp;gatewayAdapt=glo2esp" TargetMode="External"/><Relationship Id="rId16" Type="http://schemas.openxmlformats.org/officeDocument/2006/relationships/hyperlink" Target="https://es.aliexpress.com/item/1005008300880893.html?spm=a2g0o.order_detail.order_detail_item.2.573639d3khwPIa&amp;gatewayAdapt=glo2esp" TargetMode="External"/><Relationship Id="rId20" Type="http://schemas.openxmlformats.org/officeDocument/2006/relationships/hyperlink" Target="https://es.aliexpress.com/item/1005007255301825.html?spm=a2g0o.order_detail.order_detail_item.3.9a5939d3Hr54ou&amp;gatewayAdapt=glo2esp" TargetMode="External"/><Relationship Id="rId1" Type="http://schemas.openxmlformats.org/officeDocument/2006/relationships/hyperlink" Target="https://es.aliexpress.com/item/1005007205794900.html?spm=a2g0o.order_detail.order_detail_item.3.162039d3qr6eZW&amp;gatewayAdapt=glo2esp" TargetMode="External"/><Relationship Id="rId6" Type="http://schemas.openxmlformats.org/officeDocument/2006/relationships/hyperlink" Target="https://es.aliexpress.com/item/1005007255322278.html?spm=a2g0o.order_detail.order_detail_item.3.3d0239d3wF23Cz&amp;gatewayAdapt=glo2esp" TargetMode="External"/><Relationship Id="rId11" Type="http://schemas.openxmlformats.org/officeDocument/2006/relationships/hyperlink" Target="https://es.aliexpress.com/item/1005007550314179.html?spm=a2g0o.order_detail.order_detail_item.3.9c6039d3ZNf5Nf&amp;gatewayAdapt=glo2esp" TargetMode="External"/><Relationship Id="rId5" Type="http://schemas.openxmlformats.org/officeDocument/2006/relationships/hyperlink" Target="https://es.aliexpress.com/item/1005007077236884.html?spm=a2g0o.order_detail.order_detail_item.3.3ba439d3et0XZf&amp;gatewayAdapt=glo2esp" TargetMode="External"/><Relationship Id="rId15" Type="http://schemas.openxmlformats.org/officeDocument/2006/relationships/hyperlink" Target="https://es.aliexpress.com/item/1005007476769059.html?spm=a2g0o.order_detail.order_detail_item.3.18f239d3mCxSIb&amp;gatewayAdapt=glo2esp" TargetMode="External"/><Relationship Id="rId10" Type="http://schemas.openxmlformats.org/officeDocument/2006/relationships/hyperlink" Target="https://es.aliexpress.com/item/1005007292459485.html?spm=a2g0o.order_detail.order_detail_item.3.6fd239d3OEObkf&amp;gatewayAdapt=glo2esp" TargetMode="External"/><Relationship Id="rId19" Type="http://schemas.openxmlformats.org/officeDocument/2006/relationships/hyperlink" Target="https://es.aliexpress.com/item/1005006263181072.html?spm=a2g0o.order_detail.order_detail_item.3.495e39d3JkiFa7&amp;gatewayAdapt=glo2esp" TargetMode="External"/><Relationship Id="rId4" Type="http://schemas.openxmlformats.org/officeDocument/2006/relationships/hyperlink" Target="https://es.aliexpress.com/item/1005007451872252.html?spm=a2g0o.order_detail.order_detail_item.3.794839d33lgbAU&amp;gatewayAdapt=glo2esp" TargetMode="External"/><Relationship Id="rId9" Type="http://schemas.openxmlformats.org/officeDocument/2006/relationships/hyperlink" Target="https://es.aliexpress.com/item/1005008011489111.html?spm=a2g0o.order_detail.order_detail_item.3.657a39d3gepFwO&amp;gatewayAdapt=glo2esp" TargetMode="External"/><Relationship Id="rId14" Type="http://schemas.openxmlformats.org/officeDocument/2006/relationships/hyperlink" Target="https://es.aliexpress.com/item/1005007302134948.html?spm=a2g0o.order_detail.order_detail_item.3.34b439d3Aqnzo7&amp;gatewayAdapt=glo2esp" TargetMode="External"/><Relationship Id="rId22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9l-XBU50dC5xm6D90rDOmxdrGP4BfZWl/view?usp=drive_link" TargetMode="External"/><Relationship Id="rId13" Type="http://schemas.openxmlformats.org/officeDocument/2006/relationships/hyperlink" Target="https://drive.google.com/file/d/1pnpq1Zfa-YTrfrEmaQyICpQ-ezqLBL68/view?usp=drive_link" TargetMode="External"/><Relationship Id="rId18" Type="http://schemas.openxmlformats.org/officeDocument/2006/relationships/hyperlink" Target="https://drive.google.com/file/d/1KzjPW1S5ZvsqqdS7mClcEi1aQ9JoWLjh/view?usp=drive_link" TargetMode="External"/><Relationship Id="rId26" Type="http://schemas.openxmlformats.org/officeDocument/2006/relationships/hyperlink" Target="https://drive.google.com/file/d/1YaaKaCUPF-PDnmVtIkZ-ME39iDoWQoZl/view?usp=drive_link" TargetMode="External"/><Relationship Id="rId3" Type="http://schemas.openxmlformats.org/officeDocument/2006/relationships/hyperlink" Target="https://drive.google.com/file/d/1U6XkWExrfC1SaVk97j1zHY2mK6fESl9h/view?usp=drive_link" TargetMode="External"/><Relationship Id="rId21" Type="http://schemas.openxmlformats.org/officeDocument/2006/relationships/hyperlink" Target="https://drive.google.com/file/d/1jon13Q3F8zeI83IOTBT_kPh9vy9IhHjP/view?usp=drive_link" TargetMode="External"/><Relationship Id="rId7" Type="http://schemas.openxmlformats.org/officeDocument/2006/relationships/hyperlink" Target="https://drive.google.com/file/d/1l8MZOh0OeKN_iSzUgrvjHumM-wvUgn1Q/view?usp=drive_link" TargetMode="External"/><Relationship Id="rId12" Type="http://schemas.openxmlformats.org/officeDocument/2006/relationships/hyperlink" Target="https://drive.google.com/file/d/1_tPNc7tDwpOTgqhsR1rjojUFmB_WuWmC/view?usp=drive_link" TargetMode="External"/><Relationship Id="rId17" Type="http://schemas.openxmlformats.org/officeDocument/2006/relationships/hyperlink" Target="https://drive.google.com/file/d/19h6s1C4w3_XoAmptp32FlpYzddp4MMEy/view?usp=drive_link" TargetMode="External"/><Relationship Id="rId25" Type="http://schemas.openxmlformats.org/officeDocument/2006/relationships/hyperlink" Target="https://drive.google.com/file/d/1n8bg6gqYro3uU2RFX_llY1h8a578CuVd/view?usp=drive_link" TargetMode="External"/><Relationship Id="rId2" Type="http://schemas.openxmlformats.org/officeDocument/2006/relationships/hyperlink" Target="https://drive.google.com/file/d/1IuA1a5uyHVv3Mr2tasEHyPoMDAXGMxFD/view?usp=drive_link" TargetMode="External"/><Relationship Id="rId16" Type="http://schemas.openxmlformats.org/officeDocument/2006/relationships/hyperlink" Target="https://drive.google.com/file/d/1XYxrHtbEmJGPkzOIjRC9kDnaZ2HJa6wL/view?usp=drive_link" TargetMode="External"/><Relationship Id="rId20" Type="http://schemas.openxmlformats.org/officeDocument/2006/relationships/hyperlink" Target="https://drive.google.com/file/d/19l-XBU50dC5xm6D90rDOmxdrGP4BfZWl/view?usp=drive_link" TargetMode="External"/><Relationship Id="rId1" Type="http://schemas.openxmlformats.org/officeDocument/2006/relationships/hyperlink" Target="https://drive.google.com/file/d/1dvpwHqz30gYRVGxQgjH0yZaIXifJdMr6/view?usp=drive_link" TargetMode="External"/><Relationship Id="rId6" Type="http://schemas.openxmlformats.org/officeDocument/2006/relationships/hyperlink" Target="https://drive.google.com/file/d/10B8qJmR2__okAVmqzTVeqPM7aQAwjSfv/view?usp=drive_link" TargetMode="External"/><Relationship Id="rId11" Type="http://schemas.openxmlformats.org/officeDocument/2006/relationships/hyperlink" Target="https://drive.google.com/file/d/1KhYsVqhzlso1xN-151-hM-HP1utU8I8p/view?usp=drive_link" TargetMode="External"/><Relationship Id="rId24" Type="http://schemas.openxmlformats.org/officeDocument/2006/relationships/hyperlink" Target="https://drive.google.com/file/d/1MO3sc--Xd-EnCb5u8etqEkR7pkyOR8zH/view?usp=drive_link" TargetMode="External"/><Relationship Id="rId5" Type="http://schemas.openxmlformats.org/officeDocument/2006/relationships/hyperlink" Target="https://drive.google.com/file/d/1phv5CpJblTLMZkpNBBbqespNmlWFgfEt/view?usp=drive_link" TargetMode="External"/><Relationship Id="rId15" Type="http://schemas.openxmlformats.org/officeDocument/2006/relationships/hyperlink" Target="https://drive.google.com/file/d/1cMDygezMnjF0BFD0p64GcftmJNdO0b2b/view?usp=drive_link" TargetMode="External"/><Relationship Id="rId23" Type="http://schemas.openxmlformats.org/officeDocument/2006/relationships/hyperlink" Target="https://drive.google.com/file/d/1aDQwWg_OVwDuJz7SyYnW6_rJoKDG_2FW/view?usp=drive_link" TargetMode="External"/><Relationship Id="rId10" Type="http://schemas.openxmlformats.org/officeDocument/2006/relationships/hyperlink" Target="https://drive.google.com/file/d/1J9YfOZmDt5S2XnudD2myPKclOQUD7w8n/view?usp=drive_link" TargetMode="External"/><Relationship Id="rId19" Type="http://schemas.openxmlformats.org/officeDocument/2006/relationships/hyperlink" Target="https://drive.google.com/file/d/1KIS4f-6wNAwDA85y1IJPmSqU0jOotME7/view?usp=drive_link" TargetMode="External"/><Relationship Id="rId4" Type="http://schemas.openxmlformats.org/officeDocument/2006/relationships/hyperlink" Target="https://drive.google.com/file/d/160EEpt47ib4XG4sjtZ0o-dWgyCoIk3j1/view?usp=drive_link" TargetMode="External"/><Relationship Id="rId9" Type="http://schemas.openxmlformats.org/officeDocument/2006/relationships/hyperlink" Target="https://drive.google.com/file/d/1J9YfOZmDt5S2XnudD2myPKclOQUD7w8n/view?usp=drive_link" TargetMode="External"/><Relationship Id="rId14" Type="http://schemas.openxmlformats.org/officeDocument/2006/relationships/hyperlink" Target="https://drive.google.com/file/d/158CHBkx1qJsNLHjQ9mPgwBbWPK6A7IAy/view?usp=drive_link" TargetMode="External"/><Relationship Id="rId22" Type="http://schemas.openxmlformats.org/officeDocument/2006/relationships/hyperlink" Target="https://drive.google.com/file/d/15hYc-Wnw1nqklclkdxqR-7jReGR9D7Tm/view?usp=drive_link" TargetMode="External"/><Relationship Id="rId27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zoomScaleNormal="100" workbookViewId="0">
      <pane ySplit="1" topLeftCell="A2" activePane="bottomLeft" state="frozen"/>
      <selection pane="bottomLeft" activeCell="A2" sqref="A2:XFD25"/>
    </sheetView>
  </sheetViews>
  <sheetFormatPr baseColWidth="10" defaultColWidth="10.69921875" defaultRowHeight="15.6" x14ac:dyDescent="0.3"/>
  <cols>
    <col min="1" max="1" width="33.69921875" style="18" customWidth="1"/>
    <col min="2" max="2" width="4.69921875" style="18" bestFit="1" customWidth="1"/>
    <col min="3" max="3" width="10.09765625" style="18" bestFit="1" customWidth="1"/>
    <col min="4" max="4" width="6.5" style="18" bestFit="1" customWidth="1"/>
    <col min="5" max="5" width="8.69921875" style="18" bestFit="1" customWidth="1"/>
    <col min="6" max="6" width="10.09765625" style="18" bestFit="1" customWidth="1"/>
    <col min="7" max="7" width="9.5" style="18" bestFit="1" customWidth="1"/>
    <col min="8" max="8" width="6.19921875" style="18" bestFit="1" customWidth="1"/>
    <col min="9" max="9" width="8.69921875" style="18" bestFit="1" customWidth="1"/>
    <col min="10" max="11" width="10.69921875" style="18" bestFit="1" customWidth="1"/>
    <col min="12" max="12" width="7.09765625" style="18" bestFit="1" customWidth="1"/>
    <col min="13" max="13" width="8" style="18" bestFit="1" customWidth="1"/>
    <col min="14" max="14" width="6.19921875" style="18" bestFit="1" customWidth="1"/>
    <col min="15" max="15" width="7.09765625" style="18" bestFit="1" customWidth="1"/>
    <col min="16" max="16" width="4.5" style="18" bestFit="1" customWidth="1"/>
    <col min="17" max="17" width="9.5" style="18" bestFit="1" customWidth="1"/>
    <col min="18" max="18" width="10.69921875" style="18"/>
    <col min="19" max="19" width="10.19921875" style="18" bestFit="1" customWidth="1"/>
    <col min="20" max="20" width="10.19921875" style="18" customWidth="1"/>
    <col min="21" max="21" width="11.796875" style="18" bestFit="1" customWidth="1"/>
    <col min="22" max="16384" width="10.69921875" style="18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30</v>
      </c>
      <c r="U1" s="1" t="s">
        <v>19</v>
      </c>
    </row>
    <row r="2" spans="1:21" ht="46.8" x14ac:dyDescent="0.3">
      <c r="A2" s="3" t="s">
        <v>35</v>
      </c>
      <c r="B2" s="4">
        <v>1</v>
      </c>
      <c r="C2" s="5">
        <v>162.31</v>
      </c>
      <c r="D2" s="6">
        <f t="shared" ref="D2:D27" si="0">(((C2-F2)*100)/C2)/100</f>
        <v>0.41531636990943255</v>
      </c>
      <c r="E2" s="7">
        <v>0</v>
      </c>
      <c r="F2" s="7">
        <v>94.9</v>
      </c>
      <c r="G2" s="8">
        <f t="shared" ref="G2:G10" si="1">B2*F2</f>
        <v>94.9</v>
      </c>
      <c r="H2" s="7">
        <v>0</v>
      </c>
      <c r="I2" s="7">
        <f>37.59/2</f>
        <v>18.795000000000002</v>
      </c>
      <c r="J2" s="9">
        <v>45371</v>
      </c>
      <c r="K2" s="9"/>
      <c r="L2" s="5"/>
      <c r="M2" s="7">
        <v>20.5</v>
      </c>
      <c r="N2" s="5"/>
      <c r="O2" s="11">
        <f>(12.49+31.42)/2</f>
        <v>21.955000000000002</v>
      </c>
      <c r="P2" s="4">
        <v>1</v>
      </c>
      <c r="Q2" s="8">
        <f t="shared" ref="Q2:Q10" si="2">F2+(I2/B2)-(O2/B2)</f>
        <v>91.740000000000009</v>
      </c>
      <c r="R2" s="12" t="s">
        <v>36</v>
      </c>
      <c r="S2" s="13"/>
      <c r="T2" s="8">
        <f t="shared" ref="T2:T17" si="3">B2*Q2</f>
        <v>91.740000000000009</v>
      </c>
    </row>
    <row r="3" spans="1:21" ht="31.2" x14ac:dyDescent="0.3">
      <c r="A3" s="3" t="s">
        <v>37</v>
      </c>
      <c r="B3" s="4">
        <v>1</v>
      </c>
      <c r="C3" s="5">
        <v>233.46</v>
      </c>
      <c r="D3" s="6">
        <f t="shared" si="0"/>
        <v>0.51212199091921529</v>
      </c>
      <c r="E3" s="7">
        <v>0</v>
      </c>
      <c r="F3" s="7">
        <v>113.9</v>
      </c>
      <c r="G3" s="8">
        <f t="shared" si="1"/>
        <v>113.9</v>
      </c>
      <c r="H3" s="7">
        <v>0</v>
      </c>
      <c r="I3" s="7">
        <f>37.59/2</f>
        <v>18.795000000000002</v>
      </c>
      <c r="J3" s="9">
        <v>45371</v>
      </c>
      <c r="K3" s="9"/>
      <c r="L3" s="5"/>
      <c r="M3" s="7">
        <v>20.5</v>
      </c>
      <c r="N3" s="5"/>
      <c r="O3" s="11">
        <f>(12.49+31.42)/2</f>
        <v>21.955000000000002</v>
      </c>
      <c r="P3" s="4">
        <v>1</v>
      </c>
      <c r="Q3" s="8">
        <f t="shared" si="2"/>
        <v>110.74</v>
      </c>
      <c r="R3" s="12" t="s">
        <v>38</v>
      </c>
      <c r="S3" s="13"/>
      <c r="T3" s="8">
        <f t="shared" si="3"/>
        <v>110.74</v>
      </c>
    </row>
    <row r="4" spans="1:21" ht="31.2" x14ac:dyDescent="0.3">
      <c r="A4" s="3" t="s">
        <v>39</v>
      </c>
      <c r="B4" s="4">
        <v>1</v>
      </c>
      <c r="C4" s="5">
        <v>553.33000000000004</v>
      </c>
      <c r="D4" s="6">
        <f t="shared" si="0"/>
        <v>0.70560063614841051</v>
      </c>
      <c r="E4" s="7">
        <v>0</v>
      </c>
      <c r="F4" s="7">
        <v>162.9</v>
      </c>
      <c r="G4" s="8">
        <f t="shared" si="1"/>
        <v>162.9</v>
      </c>
      <c r="H4" s="7">
        <v>0</v>
      </c>
      <c r="I4" s="7">
        <v>29.16</v>
      </c>
      <c r="J4" s="9">
        <v>45371</v>
      </c>
      <c r="K4" s="9"/>
      <c r="L4" s="5"/>
      <c r="M4" s="7">
        <v>20.5</v>
      </c>
      <c r="N4" s="5"/>
      <c r="O4" s="11">
        <f>9.74+24.52</f>
        <v>34.26</v>
      </c>
      <c r="P4" s="4">
        <v>1</v>
      </c>
      <c r="Q4" s="8">
        <f t="shared" si="2"/>
        <v>157.80000000000001</v>
      </c>
      <c r="R4" s="12" t="s">
        <v>40</v>
      </c>
      <c r="S4" s="13"/>
      <c r="T4" s="8">
        <f t="shared" si="3"/>
        <v>157.80000000000001</v>
      </c>
    </row>
    <row r="5" spans="1:21" ht="31.2" x14ac:dyDescent="0.3">
      <c r="A5" s="3" t="s">
        <v>41</v>
      </c>
      <c r="B5" s="4">
        <v>1</v>
      </c>
      <c r="C5" s="5">
        <v>258.70999999999998</v>
      </c>
      <c r="D5" s="6">
        <f t="shared" si="0"/>
        <v>0.65250666769742172</v>
      </c>
      <c r="E5" s="7">
        <v>0</v>
      </c>
      <c r="F5" s="7">
        <v>89.9</v>
      </c>
      <c r="G5" s="8">
        <f t="shared" si="1"/>
        <v>89.9</v>
      </c>
      <c r="H5" s="7">
        <v>0</v>
      </c>
      <c r="I5" s="7">
        <v>16.25</v>
      </c>
      <c r="J5" s="9">
        <v>45371</v>
      </c>
      <c r="K5" s="9"/>
      <c r="L5" s="5"/>
      <c r="M5" s="7">
        <v>20.5</v>
      </c>
      <c r="N5" s="5"/>
      <c r="O5" s="11">
        <f>5.39+13.53</f>
        <v>18.919999999999998</v>
      </c>
      <c r="P5" s="4">
        <v>1</v>
      </c>
      <c r="Q5" s="8">
        <f t="shared" si="2"/>
        <v>87.23</v>
      </c>
      <c r="R5" s="12" t="s">
        <v>42</v>
      </c>
      <c r="S5" s="13"/>
      <c r="T5" s="8">
        <f t="shared" si="3"/>
        <v>87.23</v>
      </c>
    </row>
    <row r="6" spans="1:21" ht="31.2" x14ac:dyDescent="0.3">
      <c r="A6" s="3" t="s">
        <v>43</v>
      </c>
      <c r="B6" s="4">
        <v>1</v>
      </c>
      <c r="C6" s="5">
        <v>357.06</v>
      </c>
      <c r="D6" s="6">
        <f t="shared" si="0"/>
        <v>0.71181314064863044</v>
      </c>
      <c r="E6" s="7">
        <v>0</v>
      </c>
      <c r="F6" s="7">
        <v>102.9</v>
      </c>
      <c r="G6" s="8">
        <f t="shared" si="1"/>
        <v>102.9</v>
      </c>
      <c r="H6" s="7">
        <v>0</v>
      </c>
      <c r="I6" s="7">
        <v>18.579999999999998</v>
      </c>
      <c r="J6" s="9">
        <v>45371</v>
      </c>
      <c r="K6" s="9"/>
      <c r="L6" s="5"/>
      <c r="M6" s="7">
        <v>20.5</v>
      </c>
      <c r="N6" s="5"/>
      <c r="O6" s="11">
        <f>6.14+15.48</f>
        <v>21.62</v>
      </c>
      <c r="P6" s="4">
        <v>1</v>
      </c>
      <c r="Q6" s="8">
        <f t="shared" si="2"/>
        <v>99.86</v>
      </c>
      <c r="R6" s="12" t="s">
        <v>44</v>
      </c>
      <c r="S6" s="13"/>
      <c r="T6" s="8">
        <f t="shared" si="3"/>
        <v>99.86</v>
      </c>
    </row>
    <row r="7" spans="1:21" ht="31.2" x14ac:dyDescent="0.3">
      <c r="A7" s="3" t="s">
        <v>45</v>
      </c>
      <c r="B7" s="4">
        <v>1</v>
      </c>
      <c r="C7" s="5">
        <v>183.82</v>
      </c>
      <c r="D7" s="6">
        <f t="shared" si="0"/>
        <v>0.61973669894461958</v>
      </c>
      <c r="E7" s="7">
        <v>0</v>
      </c>
      <c r="F7" s="7">
        <v>69.900000000000006</v>
      </c>
      <c r="G7" s="8">
        <f t="shared" si="1"/>
        <v>69.900000000000006</v>
      </c>
      <c r="H7" s="7">
        <v>0</v>
      </c>
      <c r="I7" s="7">
        <v>12.66</v>
      </c>
      <c r="J7" s="9">
        <v>45371</v>
      </c>
      <c r="K7" s="9"/>
      <c r="L7" s="5"/>
      <c r="M7" s="7">
        <v>20.5</v>
      </c>
      <c r="N7" s="5"/>
      <c r="O7" s="11">
        <f>4.17+10.52</f>
        <v>14.69</v>
      </c>
      <c r="P7" s="4">
        <v>1</v>
      </c>
      <c r="Q7" s="8">
        <f t="shared" si="2"/>
        <v>67.87</v>
      </c>
      <c r="R7" s="12" t="s">
        <v>46</v>
      </c>
      <c r="S7" s="13"/>
      <c r="T7" s="8">
        <f t="shared" si="3"/>
        <v>67.87</v>
      </c>
    </row>
    <row r="8" spans="1:21" ht="46.8" x14ac:dyDescent="0.3">
      <c r="A8" s="3" t="s">
        <v>47</v>
      </c>
      <c r="B8" s="4">
        <v>1</v>
      </c>
      <c r="C8" s="5">
        <v>163.16999999999999</v>
      </c>
      <c r="D8" s="6">
        <f t="shared" si="0"/>
        <v>2.1327449898878408E-2</v>
      </c>
      <c r="E8" s="7">
        <v>0</v>
      </c>
      <c r="F8" s="7">
        <v>159.69</v>
      </c>
      <c r="G8" s="8">
        <f t="shared" si="1"/>
        <v>159.69</v>
      </c>
      <c r="H8" s="7">
        <v>0</v>
      </c>
      <c r="I8" s="7">
        <f>0.01+26.6</f>
        <v>26.610000000000003</v>
      </c>
      <c r="J8" s="9">
        <v>45371</v>
      </c>
      <c r="K8" s="9"/>
      <c r="L8" s="5"/>
      <c r="M8" s="7">
        <v>20.5</v>
      </c>
      <c r="N8" s="5"/>
      <c r="O8" s="11">
        <f>16.96+22.37</f>
        <v>39.33</v>
      </c>
      <c r="P8" s="4">
        <v>1</v>
      </c>
      <c r="Q8" s="8">
        <f t="shared" si="2"/>
        <v>146.97000000000003</v>
      </c>
      <c r="R8" s="12" t="s">
        <v>48</v>
      </c>
      <c r="S8" s="13"/>
      <c r="T8" s="8">
        <f t="shared" si="3"/>
        <v>146.97000000000003</v>
      </c>
    </row>
    <row r="9" spans="1:21" ht="46.8" x14ac:dyDescent="0.3">
      <c r="A9" s="3" t="s">
        <v>49</v>
      </c>
      <c r="B9" s="4">
        <v>1</v>
      </c>
      <c r="C9" s="5">
        <v>172.69</v>
      </c>
      <c r="D9" s="6">
        <f t="shared" si="0"/>
        <v>3.7118536105159514E-2</v>
      </c>
      <c r="E9" s="7">
        <v>0</v>
      </c>
      <c r="F9" s="7">
        <v>166.28</v>
      </c>
      <c r="G9" s="8">
        <f t="shared" si="1"/>
        <v>166.28</v>
      </c>
      <c r="H9" s="7">
        <v>0</v>
      </c>
      <c r="I9" s="7">
        <f>0.01+28.28</f>
        <v>28.290000000000003</v>
      </c>
      <c r="J9" s="9">
        <v>45371</v>
      </c>
      <c r="K9" s="9"/>
      <c r="L9" s="5"/>
      <c r="M9" s="7">
        <v>20.5</v>
      </c>
      <c r="N9" s="5"/>
      <c r="O9" s="11">
        <f>18+23.73</f>
        <v>41.730000000000004</v>
      </c>
      <c r="P9" s="4">
        <v>1</v>
      </c>
      <c r="Q9" s="8">
        <f t="shared" si="2"/>
        <v>152.83999999999997</v>
      </c>
      <c r="R9" s="12"/>
      <c r="S9" s="13"/>
      <c r="T9" s="8">
        <f t="shared" si="3"/>
        <v>152.83999999999997</v>
      </c>
    </row>
    <row r="10" spans="1:21" ht="31.2" x14ac:dyDescent="0.3">
      <c r="A10" s="3" t="s">
        <v>50</v>
      </c>
      <c r="B10" s="4">
        <v>1</v>
      </c>
      <c r="C10" s="5">
        <v>225.35</v>
      </c>
      <c r="D10" s="6">
        <f t="shared" si="0"/>
        <v>-1.2203239405369427E-2</v>
      </c>
      <c r="E10" s="7">
        <v>0</v>
      </c>
      <c r="F10" s="7">
        <v>228.1</v>
      </c>
      <c r="G10" s="8">
        <f t="shared" si="1"/>
        <v>228.1</v>
      </c>
      <c r="H10" s="7">
        <v>0</v>
      </c>
      <c r="I10" s="7">
        <f>0.03+38.86</f>
        <v>38.89</v>
      </c>
      <c r="J10" s="9">
        <v>45371</v>
      </c>
      <c r="K10" s="9"/>
      <c r="L10" s="5"/>
      <c r="M10" s="7">
        <v>20.5</v>
      </c>
      <c r="N10" s="5"/>
      <c r="O10" s="11">
        <f>24.69+32.54</f>
        <v>57.230000000000004</v>
      </c>
      <c r="P10" s="4">
        <v>1</v>
      </c>
      <c r="Q10" s="8">
        <f t="shared" si="2"/>
        <v>209.76</v>
      </c>
      <c r="R10" s="12" t="s">
        <v>51</v>
      </c>
      <c r="S10" s="13"/>
      <c r="T10" s="8">
        <f t="shared" si="3"/>
        <v>209.76</v>
      </c>
    </row>
    <row r="11" spans="1:21" ht="31.2" x14ac:dyDescent="0.3">
      <c r="A11" s="3" t="s">
        <v>52</v>
      </c>
      <c r="B11" s="4">
        <v>1</v>
      </c>
      <c r="C11" s="5">
        <v>225.35</v>
      </c>
      <c r="D11" s="6">
        <f t="shared" si="0"/>
        <v>2.1610827601508786E-2</v>
      </c>
      <c r="E11" s="7">
        <v>0</v>
      </c>
      <c r="F11" s="7">
        <v>220.48</v>
      </c>
      <c r="G11" s="8">
        <f t="shared" ref="G11:G27" si="4">B11*F11</f>
        <v>220.48</v>
      </c>
      <c r="H11" s="7">
        <v>0</v>
      </c>
      <c r="I11" s="7">
        <f>0.03+37.58</f>
        <v>37.61</v>
      </c>
      <c r="J11" s="9">
        <v>45371</v>
      </c>
      <c r="K11" s="9"/>
      <c r="L11" s="5"/>
      <c r="M11" s="7">
        <v>20.5</v>
      </c>
      <c r="N11" s="5"/>
      <c r="O11" s="11">
        <f>23.86+31.47</f>
        <v>55.33</v>
      </c>
      <c r="P11" s="4">
        <v>1</v>
      </c>
      <c r="Q11" s="8">
        <f t="shared" ref="Q11:Q27" si="5">F11+(I11/B11)-(O11/B11)</f>
        <v>202.76</v>
      </c>
      <c r="R11" s="12"/>
      <c r="S11" s="13"/>
      <c r="T11" s="8">
        <f t="shared" si="3"/>
        <v>202.76</v>
      </c>
    </row>
    <row r="12" spans="1:21" ht="46.8" x14ac:dyDescent="0.3">
      <c r="A12" s="3" t="s">
        <v>53</v>
      </c>
      <c r="B12" s="4">
        <v>1</v>
      </c>
      <c r="C12" s="5">
        <v>405.4</v>
      </c>
      <c r="D12" s="6">
        <f t="shared" si="0"/>
        <v>0.63613714849531333</v>
      </c>
      <c r="E12" s="7">
        <v>0</v>
      </c>
      <c r="F12" s="7">
        <v>147.51</v>
      </c>
      <c r="G12" s="8">
        <f t="shared" si="4"/>
        <v>147.51</v>
      </c>
      <c r="H12" s="7">
        <v>0</v>
      </c>
      <c r="I12" s="7">
        <f>0.02+24.93</f>
        <v>24.95</v>
      </c>
      <c r="J12" s="9">
        <v>45371</v>
      </c>
      <c r="K12" s="9"/>
      <c r="L12" s="5"/>
      <c r="M12" s="7">
        <v>20.5</v>
      </c>
      <c r="N12" s="5"/>
      <c r="O12" s="11">
        <f>1.48+15.81+20.84</f>
        <v>38.129999999999995</v>
      </c>
      <c r="P12" s="4">
        <v>1</v>
      </c>
      <c r="Q12" s="8">
        <f t="shared" si="5"/>
        <v>134.32999999999998</v>
      </c>
      <c r="R12" s="12" t="s">
        <v>54</v>
      </c>
      <c r="S12" s="13"/>
      <c r="T12" s="8">
        <f t="shared" si="3"/>
        <v>134.32999999999998</v>
      </c>
    </row>
    <row r="13" spans="1:21" ht="31.2" x14ac:dyDescent="0.3">
      <c r="A13" s="3" t="s">
        <v>55</v>
      </c>
      <c r="B13" s="4">
        <v>1</v>
      </c>
      <c r="C13" s="5">
        <v>361.42</v>
      </c>
      <c r="D13" s="6">
        <f t="shared" si="0"/>
        <v>0.40221902495711359</v>
      </c>
      <c r="E13" s="7">
        <v>0</v>
      </c>
      <c r="F13" s="7">
        <v>216.05</v>
      </c>
      <c r="G13" s="8">
        <f t="shared" si="4"/>
        <v>216.05</v>
      </c>
      <c r="H13" s="7">
        <v>0</v>
      </c>
      <c r="I13" s="7">
        <v>36.64</v>
      </c>
      <c r="J13" s="9">
        <v>45371</v>
      </c>
      <c r="K13" s="9"/>
      <c r="L13" s="5"/>
      <c r="M13" s="7">
        <v>20.5</v>
      </c>
      <c r="N13" s="5"/>
      <c r="O13" s="11">
        <v>23.38</v>
      </c>
      <c r="P13" s="4">
        <v>1</v>
      </c>
      <c r="Q13" s="8">
        <f t="shared" si="5"/>
        <v>229.31</v>
      </c>
      <c r="R13" s="12" t="s">
        <v>56</v>
      </c>
      <c r="S13" s="13"/>
      <c r="T13" s="8">
        <f t="shared" si="3"/>
        <v>229.31</v>
      </c>
    </row>
    <row r="14" spans="1:21" ht="31.2" x14ac:dyDescent="0.3">
      <c r="A14" s="3" t="s">
        <v>57</v>
      </c>
      <c r="B14" s="4">
        <v>1</v>
      </c>
      <c r="C14" s="5">
        <v>383.09</v>
      </c>
      <c r="D14" s="6">
        <f t="shared" si="0"/>
        <v>0.47798167532433639</v>
      </c>
      <c r="E14" s="7">
        <v>0</v>
      </c>
      <c r="F14" s="7">
        <v>199.98</v>
      </c>
      <c r="G14" s="8">
        <f t="shared" si="4"/>
        <v>199.98</v>
      </c>
      <c r="H14" s="7">
        <v>0</v>
      </c>
      <c r="I14" s="7">
        <f>0.02+34</f>
        <v>34.020000000000003</v>
      </c>
      <c r="J14" s="9">
        <v>45371</v>
      </c>
      <c r="K14" s="9"/>
      <c r="L14" s="5"/>
      <c r="M14" s="7">
        <v>20.5</v>
      </c>
      <c r="N14" s="5"/>
      <c r="O14" s="11">
        <f>21.64+28.55</f>
        <v>50.19</v>
      </c>
      <c r="P14" s="4">
        <v>1</v>
      </c>
      <c r="Q14" s="8">
        <f t="shared" si="5"/>
        <v>183.81</v>
      </c>
      <c r="R14" s="12" t="s">
        <v>58</v>
      </c>
      <c r="S14" s="13"/>
      <c r="T14" s="8">
        <f t="shared" si="3"/>
        <v>183.81</v>
      </c>
    </row>
    <row r="15" spans="1:21" ht="46.8" x14ac:dyDescent="0.3">
      <c r="A15" s="3" t="s">
        <v>59</v>
      </c>
      <c r="B15" s="4">
        <v>1</v>
      </c>
      <c r="C15" s="5">
        <v>448.57</v>
      </c>
      <c r="D15" s="6">
        <f t="shared" si="0"/>
        <v>0.6725148806206388</v>
      </c>
      <c r="E15" s="7">
        <v>0</v>
      </c>
      <c r="F15" s="7">
        <v>146.9</v>
      </c>
      <c r="G15" s="8">
        <f t="shared" si="4"/>
        <v>146.9</v>
      </c>
      <c r="H15" s="7">
        <v>0</v>
      </c>
      <c r="I15" s="7">
        <f>0.01+24.92</f>
        <v>24.930000000000003</v>
      </c>
      <c r="J15" s="9">
        <v>45371</v>
      </c>
      <c r="K15" s="9"/>
      <c r="L15" s="5"/>
      <c r="M15" s="7">
        <v>20.5</v>
      </c>
      <c r="N15" s="5"/>
      <c r="O15" s="11">
        <f>15.9+20.95</f>
        <v>36.85</v>
      </c>
      <c r="P15" s="4">
        <v>1</v>
      </c>
      <c r="Q15" s="8">
        <f t="shared" si="5"/>
        <v>134.98000000000002</v>
      </c>
      <c r="R15" s="12" t="s">
        <v>60</v>
      </c>
      <c r="S15" s="13"/>
      <c r="T15" s="8">
        <f t="shared" si="3"/>
        <v>134.98000000000002</v>
      </c>
    </row>
    <row r="16" spans="1:21" ht="31.2" x14ac:dyDescent="0.3">
      <c r="A16" s="3" t="s">
        <v>61</v>
      </c>
      <c r="B16" s="4">
        <v>1</v>
      </c>
      <c r="C16" s="5">
        <v>225.46</v>
      </c>
      <c r="D16" s="6">
        <f t="shared" si="0"/>
        <v>3.6769271711168366E-2</v>
      </c>
      <c r="E16" s="7">
        <v>0</v>
      </c>
      <c r="F16" s="7">
        <v>217.17</v>
      </c>
      <c r="G16" s="8">
        <f t="shared" si="4"/>
        <v>217.17</v>
      </c>
      <c r="H16" s="7">
        <v>0</v>
      </c>
      <c r="I16" s="7">
        <f>0.02+36.95</f>
        <v>36.970000000000006</v>
      </c>
      <c r="J16" s="9">
        <v>45371</v>
      </c>
      <c r="K16" s="9"/>
      <c r="L16" s="5"/>
      <c r="M16" s="7">
        <v>20.5</v>
      </c>
      <c r="N16" s="5"/>
      <c r="O16" s="11">
        <f>23.5+30.98</f>
        <v>54.480000000000004</v>
      </c>
      <c r="P16" s="4">
        <v>1</v>
      </c>
      <c r="Q16" s="8">
        <f t="shared" si="5"/>
        <v>199.65999999999997</v>
      </c>
      <c r="R16" s="12" t="s">
        <v>62</v>
      </c>
      <c r="S16" s="13"/>
      <c r="T16" s="8">
        <f t="shared" si="3"/>
        <v>199.65999999999997</v>
      </c>
    </row>
    <row r="17" spans="1:20" ht="31.2" x14ac:dyDescent="0.3">
      <c r="A17" s="3" t="s">
        <v>63</v>
      </c>
      <c r="B17" s="4">
        <v>1</v>
      </c>
      <c r="C17" s="5">
        <v>278.32</v>
      </c>
      <c r="D17" s="6">
        <f t="shared" si="0"/>
        <v>0.3550589249784421</v>
      </c>
      <c r="E17" s="7">
        <v>0</v>
      </c>
      <c r="F17" s="7">
        <v>179.5</v>
      </c>
      <c r="G17" s="8">
        <f t="shared" si="4"/>
        <v>179.5</v>
      </c>
      <c r="H17" s="7">
        <v>0</v>
      </c>
      <c r="I17" s="7">
        <f>0.01+30.2</f>
        <v>30.21</v>
      </c>
      <c r="J17" s="9">
        <v>45371</v>
      </c>
      <c r="K17" s="9"/>
      <c r="L17" s="5"/>
      <c r="M17" s="7">
        <v>20.5</v>
      </c>
      <c r="N17" s="5"/>
      <c r="O17" s="11">
        <f>1.8+19.23+25.36</f>
        <v>46.39</v>
      </c>
      <c r="P17" s="4">
        <v>1</v>
      </c>
      <c r="Q17" s="8">
        <f t="shared" si="5"/>
        <v>163.32</v>
      </c>
      <c r="R17" s="12" t="s">
        <v>64</v>
      </c>
      <c r="S17" s="13"/>
      <c r="T17" s="8">
        <f t="shared" si="3"/>
        <v>163.32</v>
      </c>
    </row>
    <row r="18" spans="1:20" ht="31.2" x14ac:dyDescent="0.3">
      <c r="A18" s="3" t="s">
        <v>65</v>
      </c>
      <c r="B18" s="4">
        <v>1</v>
      </c>
      <c r="C18" s="5">
        <v>548.29999999999995</v>
      </c>
      <c r="D18" s="6">
        <f t="shared" si="0"/>
        <v>0.6876345066569397</v>
      </c>
      <c r="E18" s="7">
        <v>0</v>
      </c>
      <c r="F18" s="7">
        <v>171.27</v>
      </c>
      <c r="G18" s="8">
        <f t="shared" si="4"/>
        <v>171.27</v>
      </c>
      <c r="H18" s="7">
        <v>0</v>
      </c>
      <c r="I18" s="7">
        <f>0.03+28.92</f>
        <v>28.950000000000003</v>
      </c>
      <c r="J18" s="9">
        <v>45371</v>
      </c>
      <c r="K18" s="9"/>
      <c r="L18" s="5"/>
      <c r="M18" s="7">
        <v>20.5</v>
      </c>
      <c r="N18" s="5"/>
      <c r="O18" s="11">
        <f>1.71+18.35+24.22</f>
        <v>44.28</v>
      </c>
      <c r="P18" s="4">
        <v>1</v>
      </c>
      <c r="Q18" s="8">
        <f t="shared" si="5"/>
        <v>155.94000000000003</v>
      </c>
      <c r="R18" s="12" t="s">
        <v>66</v>
      </c>
      <c r="S18" s="13"/>
      <c r="T18" s="8">
        <f t="shared" ref="T18:T27" si="6">B18*Q18</f>
        <v>155.94000000000003</v>
      </c>
    </row>
    <row r="19" spans="1:20" ht="46.8" x14ac:dyDescent="0.3">
      <c r="A19" s="3" t="s">
        <v>67</v>
      </c>
      <c r="B19" s="4">
        <v>1</v>
      </c>
      <c r="C19" s="5">
        <v>572.12</v>
      </c>
      <c r="D19" s="6">
        <f t="shared" si="0"/>
        <v>0.66304271831084394</v>
      </c>
      <c r="E19" s="7">
        <v>0</v>
      </c>
      <c r="F19" s="7">
        <v>192.78</v>
      </c>
      <c r="G19" s="8">
        <f t="shared" si="4"/>
        <v>192.78</v>
      </c>
      <c r="H19" s="7">
        <v>0</v>
      </c>
      <c r="I19" s="7">
        <f>0.07+33.97</f>
        <v>34.04</v>
      </c>
      <c r="J19" s="9">
        <v>45374</v>
      </c>
      <c r="K19" s="9"/>
      <c r="L19" s="5"/>
      <c r="M19" s="7">
        <v>20.38</v>
      </c>
      <c r="N19" s="5"/>
      <c r="O19" s="11">
        <f>1.98+18.11+28.59</f>
        <v>48.68</v>
      </c>
      <c r="P19" s="4">
        <v>1</v>
      </c>
      <c r="Q19" s="8">
        <f t="shared" si="5"/>
        <v>178.14</v>
      </c>
      <c r="R19" s="12" t="s">
        <v>68</v>
      </c>
      <c r="S19" s="13"/>
      <c r="T19" s="8">
        <f t="shared" si="6"/>
        <v>178.14</v>
      </c>
    </row>
    <row r="20" spans="1:20" ht="31.2" x14ac:dyDescent="0.3">
      <c r="A20" s="3" t="s">
        <v>69</v>
      </c>
      <c r="B20" s="4">
        <v>1</v>
      </c>
      <c r="C20" s="5">
        <v>177.84</v>
      </c>
      <c r="D20" s="6">
        <f t="shared" si="0"/>
        <v>3.671839856050383E-2</v>
      </c>
      <c r="E20" s="7">
        <v>0</v>
      </c>
      <c r="F20" s="7">
        <v>171.31</v>
      </c>
      <c r="G20" s="8">
        <f t="shared" si="4"/>
        <v>171.31</v>
      </c>
      <c r="H20" s="7">
        <v>0</v>
      </c>
      <c r="I20" s="7">
        <f>0.05+29.6</f>
        <v>29.650000000000002</v>
      </c>
      <c r="J20" s="9">
        <v>45374</v>
      </c>
      <c r="K20" s="9"/>
      <c r="L20" s="5"/>
      <c r="M20" s="7">
        <v>20.38</v>
      </c>
      <c r="N20" s="5"/>
      <c r="O20" s="11">
        <f>15.77+24.88</f>
        <v>40.65</v>
      </c>
      <c r="P20" s="4">
        <v>1</v>
      </c>
      <c r="Q20" s="8">
        <f t="shared" si="5"/>
        <v>160.31</v>
      </c>
      <c r="R20" s="12" t="s">
        <v>70</v>
      </c>
      <c r="S20" s="13"/>
      <c r="T20" s="8">
        <f t="shared" si="6"/>
        <v>160.31</v>
      </c>
    </row>
    <row r="21" spans="1:20" ht="46.8" x14ac:dyDescent="0.3">
      <c r="A21" s="3" t="s">
        <v>71</v>
      </c>
      <c r="B21" s="4">
        <v>1</v>
      </c>
      <c r="C21" s="7">
        <v>135.66</v>
      </c>
      <c r="D21" s="6">
        <f t="shared" si="0"/>
        <v>0</v>
      </c>
      <c r="E21" s="7">
        <v>0</v>
      </c>
      <c r="F21" s="7">
        <v>135.66</v>
      </c>
      <c r="G21" s="8">
        <f t="shared" si="4"/>
        <v>135.66</v>
      </c>
      <c r="H21" s="7">
        <v>0</v>
      </c>
      <c r="I21" s="7">
        <f>0.01+23.41</f>
        <v>23.42</v>
      </c>
      <c r="J21" s="9">
        <v>45374</v>
      </c>
      <c r="K21" s="9"/>
      <c r="L21" s="5"/>
      <c r="M21" s="7">
        <v>20.38</v>
      </c>
      <c r="N21" s="5"/>
      <c r="O21" s="11">
        <f>12.49+19.65</f>
        <v>32.14</v>
      </c>
      <c r="P21" s="4">
        <v>1</v>
      </c>
      <c r="Q21" s="8">
        <f t="shared" si="5"/>
        <v>126.93999999999998</v>
      </c>
      <c r="R21" s="12" t="s">
        <v>72</v>
      </c>
      <c r="S21" s="13"/>
      <c r="T21" s="8">
        <f t="shared" si="6"/>
        <v>126.93999999999998</v>
      </c>
    </row>
    <row r="22" spans="1:20" ht="31.2" x14ac:dyDescent="0.3">
      <c r="A22" s="3" t="s">
        <v>73</v>
      </c>
      <c r="B22" s="4">
        <v>1</v>
      </c>
      <c r="C22" s="5">
        <v>162.12</v>
      </c>
      <c r="D22" s="6">
        <f t="shared" si="0"/>
        <v>3.9106834443622028E-2</v>
      </c>
      <c r="E22" s="7">
        <v>0</v>
      </c>
      <c r="F22" s="7">
        <v>155.78</v>
      </c>
      <c r="G22" s="8">
        <f t="shared" si="4"/>
        <v>155.78</v>
      </c>
      <c r="H22" s="7">
        <v>0</v>
      </c>
      <c r="I22" s="7">
        <f>0.04+25.62</f>
        <v>25.66</v>
      </c>
      <c r="J22" s="9">
        <v>45374</v>
      </c>
      <c r="K22" s="9"/>
      <c r="L22" s="5"/>
      <c r="M22" s="7">
        <v>20.38</v>
      </c>
      <c r="N22" s="5"/>
      <c r="O22" s="11">
        <f>7.79+13.63+21.51</f>
        <v>42.930000000000007</v>
      </c>
      <c r="P22" s="4">
        <v>1</v>
      </c>
      <c r="Q22" s="8">
        <f t="shared" si="5"/>
        <v>138.51</v>
      </c>
      <c r="R22" s="12" t="s">
        <v>74</v>
      </c>
      <c r="S22" s="13"/>
      <c r="T22" s="8">
        <f t="shared" si="6"/>
        <v>138.51</v>
      </c>
    </row>
    <row r="23" spans="1:20" ht="31.2" x14ac:dyDescent="0.3">
      <c r="A23" s="3" t="s">
        <v>75</v>
      </c>
      <c r="B23" s="4">
        <v>1</v>
      </c>
      <c r="C23" s="5">
        <v>181.84</v>
      </c>
      <c r="D23" s="6">
        <f t="shared" si="0"/>
        <v>0.45639023317201932</v>
      </c>
      <c r="E23" s="7">
        <v>0</v>
      </c>
      <c r="F23" s="7">
        <v>98.85</v>
      </c>
      <c r="G23" s="8">
        <f t="shared" si="4"/>
        <v>98.85</v>
      </c>
      <c r="H23" s="7">
        <v>0</v>
      </c>
      <c r="I23" s="7">
        <f>0.03+17.08</f>
        <v>17.11</v>
      </c>
      <c r="J23" s="9">
        <v>45374</v>
      </c>
      <c r="K23" s="9"/>
      <c r="L23" s="5"/>
      <c r="M23" s="7">
        <v>20.38</v>
      </c>
      <c r="N23" s="5"/>
      <c r="O23" s="11">
        <f>0.98+8.71+14.26</f>
        <v>23.950000000000003</v>
      </c>
      <c r="P23" s="4">
        <v>1</v>
      </c>
      <c r="Q23" s="8">
        <f t="shared" si="5"/>
        <v>92.009999999999991</v>
      </c>
      <c r="R23" s="12" t="s">
        <v>76</v>
      </c>
      <c r="S23" s="13"/>
      <c r="T23" s="8">
        <f t="shared" si="6"/>
        <v>92.009999999999991</v>
      </c>
    </row>
    <row r="24" spans="1:20" ht="46.8" x14ac:dyDescent="0.3">
      <c r="A24" s="3" t="s">
        <v>77</v>
      </c>
      <c r="B24" s="4">
        <v>1</v>
      </c>
      <c r="C24" s="5">
        <v>720.24</v>
      </c>
      <c r="D24" s="6">
        <f t="shared" si="0"/>
        <v>0.63949516827724084</v>
      </c>
      <c r="E24" s="7">
        <v>0</v>
      </c>
      <c r="F24" s="7">
        <v>259.64999999999998</v>
      </c>
      <c r="G24" s="8">
        <f t="shared" si="4"/>
        <v>259.64999999999998</v>
      </c>
      <c r="H24" s="7">
        <v>0</v>
      </c>
      <c r="I24" s="7">
        <f>0.06+45.01</f>
        <v>45.07</v>
      </c>
      <c r="J24" s="9">
        <v>45374</v>
      </c>
      <c r="K24" s="9"/>
      <c r="L24" s="5"/>
      <c r="M24" s="7">
        <v>20.38</v>
      </c>
      <c r="N24" s="5"/>
      <c r="O24" s="11">
        <f>23.11+37.85</f>
        <v>60.96</v>
      </c>
      <c r="P24" s="4">
        <v>1</v>
      </c>
      <c r="Q24" s="8">
        <f t="shared" si="5"/>
        <v>243.75999999999996</v>
      </c>
      <c r="R24" s="12" t="s">
        <v>78</v>
      </c>
      <c r="S24" s="13"/>
      <c r="T24" s="8">
        <f t="shared" si="6"/>
        <v>243.75999999999996</v>
      </c>
    </row>
    <row r="25" spans="1:20" ht="31.2" x14ac:dyDescent="0.3">
      <c r="A25" s="3" t="s">
        <v>79</v>
      </c>
      <c r="B25" s="4">
        <v>1</v>
      </c>
      <c r="C25" s="5">
        <v>144.84</v>
      </c>
      <c r="D25" s="6">
        <f t="shared" si="0"/>
        <v>0.46651477492405419</v>
      </c>
      <c r="E25" s="7">
        <v>0</v>
      </c>
      <c r="F25" s="7">
        <v>77.27</v>
      </c>
      <c r="G25" s="8">
        <f t="shared" si="4"/>
        <v>77.27</v>
      </c>
      <c r="H25" s="7">
        <v>0</v>
      </c>
      <c r="I25" s="7">
        <f>0.02+13.35</f>
        <v>13.37</v>
      </c>
      <c r="J25" s="9">
        <v>45374</v>
      </c>
      <c r="K25" s="9"/>
      <c r="L25" s="5"/>
      <c r="M25" s="7">
        <v>20.38</v>
      </c>
      <c r="N25" s="5"/>
      <c r="O25" s="11">
        <f>0.78+6.81+11.16</f>
        <v>18.75</v>
      </c>
      <c r="P25" s="4">
        <v>1</v>
      </c>
      <c r="Q25" s="8">
        <f t="shared" si="5"/>
        <v>71.89</v>
      </c>
      <c r="R25" s="12" t="s">
        <v>80</v>
      </c>
      <c r="S25" s="13"/>
      <c r="T25" s="8">
        <f t="shared" si="6"/>
        <v>71.89</v>
      </c>
    </row>
    <row r="26" spans="1:20" ht="31.2" x14ac:dyDescent="0.3">
      <c r="A26" s="3" t="s">
        <v>81</v>
      </c>
      <c r="B26" s="4">
        <v>1</v>
      </c>
      <c r="C26" s="5">
        <v>158.12</v>
      </c>
      <c r="D26" s="6">
        <f t="shared" si="0"/>
        <v>0.46654439666076397</v>
      </c>
      <c r="E26" s="7">
        <v>0</v>
      </c>
      <c r="F26" s="7">
        <v>84.35</v>
      </c>
      <c r="G26" s="8">
        <f t="shared" si="4"/>
        <v>84.35</v>
      </c>
      <c r="H26" s="7">
        <v>0</v>
      </c>
      <c r="I26" s="7">
        <f>0.02+14.58</f>
        <v>14.6</v>
      </c>
      <c r="J26" s="9">
        <v>45374</v>
      </c>
      <c r="K26" s="9"/>
      <c r="L26" s="5"/>
      <c r="M26" s="7">
        <v>20.38</v>
      </c>
      <c r="N26" s="5"/>
      <c r="O26" s="11">
        <f>0.83+7.43+12.16</f>
        <v>20.420000000000002</v>
      </c>
      <c r="P26" s="4">
        <v>1</v>
      </c>
      <c r="Q26" s="8">
        <f t="shared" si="5"/>
        <v>78.529999999999987</v>
      </c>
      <c r="R26" s="12"/>
      <c r="S26" s="13"/>
      <c r="T26" s="8">
        <f t="shared" si="6"/>
        <v>78.529999999999987</v>
      </c>
    </row>
    <row r="27" spans="1:20" ht="46.8" x14ac:dyDescent="0.3">
      <c r="A27" s="3" t="s">
        <v>82</v>
      </c>
      <c r="B27" s="4">
        <v>1</v>
      </c>
      <c r="C27" s="5">
        <v>506.83</v>
      </c>
      <c r="D27" s="6">
        <f t="shared" si="0"/>
        <v>0.68798216364461451</v>
      </c>
      <c r="E27" s="7">
        <v>0</v>
      </c>
      <c r="F27" s="7">
        <v>158.13999999999999</v>
      </c>
      <c r="G27" s="8">
        <f t="shared" si="4"/>
        <v>158.13999999999999</v>
      </c>
      <c r="H27" s="7">
        <v>0</v>
      </c>
      <c r="I27" s="7">
        <f>0.05+27.3</f>
        <v>27.35</v>
      </c>
      <c r="J27" s="9">
        <v>45374</v>
      </c>
      <c r="K27" s="9"/>
      <c r="L27" s="5"/>
      <c r="M27" s="7">
        <v>20.38</v>
      </c>
      <c r="N27" s="5"/>
      <c r="O27" s="11">
        <f>1.58+13.94+22.81</f>
        <v>38.33</v>
      </c>
      <c r="P27" s="4">
        <v>1</v>
      </c>
      <c r="Q27" s="8">
        <f t="shared" si="5"/>
        <v>147.15999999999997</v>
      </c>
      <c r="R27" s="12" t="s">
        <v>83</v>
      </c>
      <c r="S27" s="13"/>
      <c r="T27" s="8">
        <f t="shared" si="6"/>
        <v>147.15999999999997</v>
      </c>
    </row>
    <row r="28" spans="1:20" x14ac:dyDescent="0.3">
      <c r="S28" s="13"/>
    </row>
  </sheetData>
  <hyperlinks>
    <hyperlink ref="R2" r:id="rId1" xr:uid="{1D90BD46-05A8-40CC-AFF9-7B10ABB4D0AF}"/>
    <hyperlink ref="R3" r:id="rId2" xr:uid="{47572F15-8261-4B17-8B89-70ADC5E4ECFC}"/>
    <hyperlink ref="R4" r:id="rId3" xr:uid="{B20D487A-6A85-4F91-8D04-3B1C0FEFDBB7}"/>
    <hyperlink ref="R5" r:id="rId4" xr:uid="{445DBC85-0CDC-4D40-BCD8-A1C3830E8BD3}"/>
    <hyperlink ref="R6" r:id="rId5" xr:uid="{FE797FC6-298A-49E6-8983-3131A6DE52DC}"/>
    <hyperlink ref="R7" r:id="rId6" xr:uid="{4705ADD9-992B-4D51-9A82-DB70E9CA1DA4}"/>
    <hyperlink ref="R8" r:id="rId7" xr:uid="{AB5F85D1-4887-44EB-8190-4F39E2E4F732}"/>
    <hyperlink ref="R12" r:id="rId8" xr:uid="{5344684B-475D-4BA5-B8A5-9D95FA7C3481}"/>
    <hyperlink ref="R13" r:id="rId9" xr:uid="{FA8E64FE-1C4F-4EB5-BA0A-5A4D9A660BD6}"/>
    <hyperlink ref="R14" r:id="rId10" xr:uid="{FB0C24B4-7077-4EEA-98C1-5B35B3594316}"/>
    <hyperlink ref="R15" r:id="rId11" xr:uid="{6B55364D-92EB-441D-92AD-8138E3023EB7}"/>
    <hyperlink ref="R16" r:id="rId12" xr:uid="{45D81CF7-0751-45C8-AF37-C87E9CFA4665}"/>
    <hyperlink ref="R18" r:id="rId13" xr:uid="{557061CD-6AE3-49A8-B632-E070C11037A6}"/>
    <hyperlink ref="R19" r:id="rId14" xr:uid="{49629B91-4608-4B8A-8690-B43825A507A9}"/>
    <hyperlink ref="R20" r:id="rId15" xr:uid="{8DDB5D96-1D6C-4D07-B9B6-BF60D56435CE}"/>
    <hyperlink ref="R21" r:id="rId16" xr:uid="{CF93F079-78C5-4BBF-9441-0DE4FC9272D4}"/>
    <hyperlink ref="R22" r:id="rId17" xr:uid="{D8FD6CF1-A652-4164-B0D0-9F97FB55FA2A}"/>
    <hyperlink ref="R23" r:id="rId18" xr:uid="{449446F5-429C-4B62-BBEF-96F6A6840955}"/>
    <hyperlink ref="R24" r:id="rId19" xr:uid="{560D0A54-857F-4BD3-ACCB-98775DE75195}"/>
    <hyperlink ref="R25" r:id="rId20" xr:uid="{52491BE4-8116-42C4-806E-C05722CC0BB3}"/>
    <hyperlink ref="R27" r:id="rId21" xr:uid="{55BCEB5F-1092-40B2-9575-F9C20F8EAA80}"/>
  </hyperlinks>
  <pageMargins left="0.7" right="0.7" top="0.75" bottom="0.75" header="0.3" footer="0.3"/>
  <picture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10" defaultColWidth="10.69921875" defaultRowHeight="15.6" x14ac:dyDescent="0.3"/>
  <cols>
    <col min="1" max="1" width="7.09765625" style="18" bestFit="1" customWidth="1"/>
    <col min="2" max="2" width="44.796875" style="18" customWidth="1"/>
    <col min="3" max="4" width="13.5" style="18" bestFit="1" customWidth="1"/>
    <col min="5" max="5" width="13.19921875" style="18" bestFit="1" customWidth="1"/>
    <col min="6" max="6" width="16" style="18" bestFit="1" customWidth="1"/>
    <col min="7" max="7" width="9.69921875" style="18" bestFit="1" customWidth="1"/>
    <col min="8" max="8" width="11.296875" style="18" bestFit="1" customWidth="1"/>
    <col min="9" max="9" width="8.5" style="18" bestFit="1" customWidth="1"/>
    <col min="10" max="10" width="8.5" style="18" customWidth="1"/>
    <col min="11" max="11" width="12.69921875" style="18" bestFit="1" customWidth="1"/>
    <col min="12" max="12" width="12.796875" style="18" bestFit="1" customWidth="1"/>
    <col min="13" max="13" width="9.296875" style="18" bestFit="1" customWidth="1"/>
    <col min="14" max="16384" width="10.69921875" style="18"/>
  </cols>
  <sheetData>
    <row r="1" spans="1:13" x14ac:dyDescent="0.3">
      <c r="A1" s="10" t="s">
        <v>20</v>
      </c>
      <c r="B1" s="1" t="s">
        <v>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1</v>
      </c>
      <c r="H1" s="1" t="s">
        <v>5</v>
      </c>
      <c r="I1" s="1" t="s">
        <v>15</v>
      </c>
      <c r="J1" s="1" t="s">
        <v>29</v>
      </c>
      <c r="K1" s="1" t="s">
        <v>25</v>
      </c>
      <c r="L1" s="1" t="s">
        <v>26</v>
      </c>
      <c r="M1" s="1" t="s">
        <v>27</v>
      </c>
    </row>
    <row r="2" spans="1:13" ht="31.2" x14ac:dyDescent="0.3">
      <c r="A2" s="19">
        <v>82</v>
      </c>
      <c r="B2" s="3" t="str">
        <f>Compras!A2</f>
        <v>Sanrio-juguetes de peluche de Hello Kitty para niñas, almohada suave de Anime, Kawaii - HK 25cm</v>
      </c>
      <c r="C2" s="3" t="s">
        <v>33</v>
      </c>
      <c r="D2" s="3" t="s">
        <v>28</v>
      </c>
      <c r="E2" s="14">
        <f>Compras!C2</f>
        <v>162.31</v>
      </c>
      <c r="F2" s="6">
        <f>Compras!D2</f>
        <v>0.41531636990943255</v>
      </c>
      <c r="G2" s="4">
        <f>Compras!B2</f>
        <v>1</v>
      </c>
      <c r="H2" s="14">
        <f>Compras!Q2</f>
        <v>91.740000000000009</v>
      </c>
      <c r="I2" s="4">
        <f>Compras!P2</f>
        <v>1</v>
      </c>
      <c r="J2" s="20" t="s">
        <v>29</v>
      </c>
      <c r="K2" s="15">
        <f t="shared" ref="K2:K27" si="0">M2* (IF(M2-H2&lt;100, IF(M2-H2&gt;80, 1.25, IF(M2-H2&gt;50, 1.5, 1.75)), IF(M2-H2&gt;150, 0.95, IF(M2-H2&gt;170, 0.9, 1))))</f>
        <v>243.91500000000002</v>
      </c>
      <c r="L2" s="16">
        <f t="shared" ref="L2:L27" si="1">(K2+M2)/2</f>
        <v>203.26250000000002</v>
      </c>
      <c r="M2" s="17">
        <f t="shared" ref="M2:M27" si="2">(H2/I2) * ( IF(E2&gt;H2, IF(E2-H2&gt;100, 1.25, IF(E2-H2&gt;50, 1.5, 1.75)), IF(H2-E2&gt;100, 1.25, IF(H2-E2&gt;50, 1.5, 1.75))) ) + 25</f>
        <v>162.61000000000001</v>
      </c>
    </row>
    <row r="3" spans="1:13" ht="31.2" x14ac:dyDescent="0.3">
      <c r="A3" s="19">
        <v>83</v>
      </c>
      <c r="B3" s="3" t="str">
        <f>Compras!A3</f>
        <v>Pokemon Kawaii Pikachu, muñecos de peluche de 30cm</v>
      </c>
      <c r="C3" s="3" t="s">
        <v>86</v>
      </c>
      <c r="D3" s="3" t="s">
        <v>28</v>
      </c>
      <c r="E3" s="14">
        <f>Compras!C3</f>
        <v>233.46</v>
      </c>
      <c r="F3" s="6">
        <f>Compras!D3</f>
        <v>0.51212199091921529</v>
      </c>
      <c r="G3" s="4">
        <f>Compras!B3</f>
        <v>1</v>
      </c>
      <c r="H3" s="14">
        <f>Compras!Q3</f>
        <v>110.74</v>
      </c>
      <c r="I3" s="4">
        <f>Compras!P3</f>
        <v>1</v>
      </c>
      <c r="J3" s="20" t="s">
        <v>29</v>
      </c>
      <c r="K3" s="15">
        <f t="shared" si="0"/>
        <v>245.13749999999999</v>
      </c>
      <c r="L3" s="16">
        <f t="shared" si="1"/>
        <v>204.28125</v>
      </c>
      <c r="M3" s="17">
        <f t="shared" si="2"/>
        <v>163.42499999999998</v>
      </c>
    </row>
    <row r="4" spans="1:13" ht="31.2" x14ac:dyDescent="0.3">
      <c r="A4" s="19">
        <v>84</v>
      </c>
      <c r="B4" s="3" t="str">
        <f>Compras!A4</f>
        <v>Peluche grande Kawaii Disney Lilo y Stitch, peluche almohada, 45cm</v>
      </c>
      <c r="C4" s="3" t="s">
        <v>32</v>
      </c>
      <c r="D4" s="3" t="s">
        <v>28</v>
      </c>
      <c r="E4" s="14">
        <f>Compras!C4</f>
        <v>553.33000000000004</v>
      </c>
      <c r="F4" s="6">
        <f>Compras!D4</f>
        <v>0.70560063614841051</v>
      </c>
      <c r="G4" s="4">
        <f>Compras!B4</f>
        <v>1</v>
      </c>
      <c r="H4" s="14">
        <f>Compras!Q4</f>
        <v>157.80000000000001</v>
      </c>
      <c r="I4" s="4">
        <f>Compras!P4</f>
        <v>1</v>
      </c>
      <c r="J4" s="20" t="s">
        <v>29</v>
      </c>
      <c r="K4" s="15">
        <f t="shared" si="0"/>
        <v>333.375</v>
      </c>
      <c r="L4" s="16">
        <f t="shared" si="1"/>
        <v>277.8125</v>
      </c>
      <c r="M4" s="17">
        <f t="shared" si="2"/>
        <v>222.25</v>
      </c>
    </row>
    <row r="5" spans="1:13" ht="31.2" x14ac:dyDescent="0.3">
      <c r="A5" s="19">
        <v>85</v>
      </c>
      <c r="B5" s="3" t="str">
        <f>Compras!A5</f>
        <v>Mochila de Marvel, Spiderman, mochila bonita afelpada</v>
      </c>
      <c r="C5" s="3" t="s">
        <v>85</v>
      </c>
      <c r="D5" s="3" t="s">
        <v>28</v>
      </c>
      <c r="E5" s="14">
        <f>Compras!C5</f>
        <v>258.70999999999998</v>
      </c>
      <c r="F5" s="6">
        <f>Compras!D5</f>
        <v>0.65250666769742172</v>
      </c>
      <c r="G5" s="4">
        <f>Compras!B5</f>
        <v>1</v>
      </c>
      <c r="H5" s="14">
        <f>Compras!Q5</f>
        <v>87.23</v>
      </c>
      <c r="I5" s="4">
        <f>Compras!P5</f>
        <v>1</v>
      </c>
      <c r="J5" s="20" t="s">
        <v>29</v>
      </c>
      <c r="K5" s="15">
        <f t="shared" si="0"/>
        <v>234.56562500000004</v>
      </c>
      <c r="L5" s="16">
        <f t="shared" si="1"/>
        <v>184.30156250000005</v>
      </c>
      <c r="M5" s="17">
        <f t="shared" si="2"/>
        <v>134.03750000000002</v>
      </c>
    </row>
    <row r="6" spans="1:13" ht="31.2" x14ac:dyDescent="0.3">
      <c r="A6" s="19">
        <v>86</v>
      </c>
      <c r="B6" s="3" t="str">
        <f>Compras!A6</f>
        <v>Sonic, peluche suave, erizo, Amy Rose, cola de nudillo,30cm</v>
      </c>
      <c r="C6" s="3" t="s">
        <v>87</v>
      </c>
      <c r="D6" s="3" t="s">
        <v>28</v>
      </c>
      <c r="E6" s="14">
        <f>Compras!C6</f>
        <v>357.06</v>
      </c>
      <c r="F6" s="6">
        <f>Compras!D6</f>
        <v>0.71181314064863044</v>
      </c>
      <c r="G6" s="4">
        <f>Compras!B6</f>
        <v>1</v>
      </c>
      <c r="H6" s="14">
        <f>Compras!Q6</f>
        <v>99.86</v>
      </c>
      <c r="I6" s="4">
        <f>Compras!P6</f>
        <v>1</v>
      </c>
      <c r="J6" s="20" t="s">
        <v>29</v>
      </c>
      <c r="K6" s="15">
        <f t="shared" si="0"/>
        <v>262.19374999999997</v>
      </c>
      <c r="L6" s="16">
        <f t="shared" si="1"/>
        <v>206.00937499999998</v>
      </c>
      <c r="M6" s="17">
        <f t="shared" si="2"/>
        <v>149.82499999999999</v>
      </c>
    </row>
    <row r="7" spans="1:13" x14ac:dyDescent="0.3">
      <c r="A7" s="19">
        <v>87</v>
      </c>
      <c r="B7" s="3" t="str">
        <f>Compras!A7</f>
        <v>Disney-Lilo &amp; Stitch, peluche Kawaii, 20-25CM</v>
      </c>
      <c r="C7" s="3" t="s">
        <v>32</v>
      </c>
      <c r="D7" s="3" t="s">
        <v>28</v>
      </c>
      <c r="E7" s="14">
        <f>Compras!C7</f>
        <v>183.82</v>
      </c>
      <c r="F7" s="6">
        <f>Compras!D7</f>
        <v>0.61973669894461958</v>
      </c>
      <c r="G7" s="4">
        <f>Compras!B7</f>
        <v>1</v>
      </c>
      <c r="H7" s="14">
        <f>Compras!Q7</f>
        <v>67.87</v>
      </c>
      <c r="I7" s="4">
        <f>Compras!P7</f>
        <v>1</v>
      </c>
      <c r="J7" s="20" t="s">
        <v>29</v>
      </c>
      <c r="K7" s="15">
        <f t="shared" si="0"/>
        <v>192.21562500000002</v>
      </c>
      <c r="L7" s="16">
        <f t="shared" si="1"/>
        <v>151.02656250000001</v>
      </c>
      <c r="M7" s="17">
        <f t="shared" si="2"/>
        <v>109.83750000000001</v>
      </c>
    </row>
    <row r="8" spans="1:13" ht="31.2" x14ac:dyDescent="0.3">
      <c r="A8" s="19">
        <v>88</v>
      </c>
      <c r="B8" s="3" t="str">
        <f>Compras!A8</f>
        <v>MINISO-oso de peluche de arcoíris para niña, juguete de peluche de 40 Cm, Multicolor</v>
      </c>
      <c r="C8" s="3" t="s">
        <v>88</v>
      </c>
      <c r="D8" s="3" t="s">
        <v>28</v>
      </c>
      <c r="E8" s="14">
        <f>Compras!C8</f>
        <v>163.16999999999999</v>
      </c>
      <c r="F8" s="6">
        <f>Compras!D8</f>
        <v>2.1327449898878408E-2</v>
      </c>
      <c r="G8" s="4">
        <f>Compras!B8</f>
        <v>1</v>
      </c>
      <c r="H8" s="14">
        <f>Compras!Q8</f>
        <v>146.97000000000003</v>
      </c>
      <c r="I8" s="4">
        <f>Compras!P8</f>
        <v>1</v>
      </c>
      <c r="J8" s="20" t="s">
        <v>29</v>
      </c>
      <c r="K8" s="15">
        <f t="shared" si="0"/>
        <v>282.19750000000005</v>
      </c>
      <c r="L8" s="16">
        <f t="shared" si="1"/>
        <v>282.19750000000005</v>
      </c>
      <c r="M8" s="17">
        <f t="shared" si="2"/>
        <v>282.19750000000005</v>
      </c>
    </row>
    <row r="9" spans="1:13" ht="31.2" x14ac:dyDescent="0.3">
      <c r="A9" s="19">
        <v>89</v>
      </c>
      <c r="B9" s="3" t="str">
        <f>Compras!A9</f>
        <v>MINISO-oso de peluche de arcoíris para niña, juguete de peluche de 40 Cm, Morado</v>
      </c>
      <c r="C9" s="3" t="s">
        <v>88</v>
      </c>
      <c r="D9" s="3" t="s">
        <v>28</v>
      </c>
      <c r="E9" s="14">
        <f>Compras!C9</f>
        <v>172.69</v>
      </c>
      <c r="F9" s="6">
        <f>Compras!D9</f>
        <v>3.7118536105159514E-2</v>
      </c>
      <c r="G9" s="4">
        <f>Compras!B9</f>
        <v>1</v>
      </c>
      <c r="H9" s="14">
        <f>Compras!Q9</f>
        <v>152.83999999999997</v>
      </c>
      <c r="I9" s="4">
        <f>Compras!P9</f>
        <v>1</v>
      </c>
      <c r="J9" s="20" t="s">
        <v>29</v>
      </c>
      <c r="K9" s="15">
        <f t="shared" si="0"/>
        <v>292.46999999999997</v>
      </c>
      <c r="L9" s="16">
        <f t="shared" si="1"/>
        <v>292.46999999999997</v>
      </c>
      <c r="M9" s="17">
        <f t="shared" si="2"/>
        <v>292.46999999999997</v>
      </c>
    </row>
    <row r="10" spans="1:13" ht="31.2" x14ac:dyDescent="0.3">
      <c r="A10" s="19">
        <v>90</v>
      </c>
      <c r="B10" s="3" t="str">
        <f>Compras!A10</f>
        <v>Sanrio-peluches Kawaii de Hello Kitty, pijama osito cariñosito, Cinnamoroll</v>
      </c>
      <c r="C10" s="3" t="s">
        <v>31</v>
      </c>
      <c r="D10" s="3" t="s">
        <v>28</v>
      </c>
      <c r="E10" s="14">
        <f>Compras!C10</f>
        <v>225.35</v>
      </c>
      <c r="F10" s="6">
        <f>Compras!D10</f>
        <v>-1.2203239405369427E-2</v>
      </c>
      <c r="G10" s="4">
        <f>Compras!B10</f>
        <v>1</v>
      </c>
      <c r="H10" s="14">
        <f>Compras!Q10</f>
        <v>209.76</v>
      </c>
      <c r="I10" s="4">
        <f>Compras!P10</f>
        <v>1</v>
      </c>
      <c r="J10" s="20" t="s">
        <v>29</v>
      </c>
      <c r="K10" s="15">
        <f t="shared" si="0"/>
        <v>372.47599999999994</v>
      </c>
      <c r="L10" s="16">
        <f t="shared" si="1"/>
        <v>382.27799999999996</v>
      </c>
      <c r="M10" s="17">
        <f t="shared" si="2"/>
        <v>392.08</v>
      </c>
    </row>
    <row r="11" spans="1:13" ht="31.2" x14ac:dyDescent="0.3">
      <c r="A11" s="19">
        <v>91</v>
      </c>
      <c r="B11" s="3" t="str">
        <f>Compras!A11</f>
        <v>Sanrio-peluches Kawaii de Hello Kitty, pijama osito cariñosito, HK</v>
      </c>
      <c r="C11" s="3" t="s">
        <v>33</v>
      </c>
      <c r="D11" s="3" t="s">
        <v>28</v>
      </c>
      <c r="E11" s="14">
        <f>Compras!C11</f>
        <v>225.35</v>
      </c>
      <c r="F11" s="6">
        <f>Compras!D11</f>
        <v>2.1610827601508786E-2</v>
      </c>
      <c r="G11" s="4">
        <f>Compras!B11</f>
        <v>1</v>
      </c>
      <c r="H11" s="14">
        <f>Compras!Q11</f>
        <v>202.76</v>
      </c>
      <c r="I11" s="4">
        <f>Compras!P11</f>
        <v>1</v>
      </c>
      <c r="J11" s="20" t="s">
        <v>29</v>
      </c>
      <c r="K11" s="15">
        <f t="shared" si="0"/>
        <v>360.83849999999995</v>
      </c>
      <c r="L11" s="16">
        <f t="shared" si="1"/>
        <v>370.33425</v>
      </c>
      <c r="M11" s="17">
        <f t="shared" si="2"/>
        <v>379.83</v>
      </c>
    </row>
    <row r="12" spans="1:13" ht="31.2" x14ac:dyDescent="0.3">
      <c r="A12" s="19">
        <v>92</v>
      </c>
      <c r="B12" s="3" t="str">
        <f>Compras!A12</f>
        <v>Sanrio Kuromi Cinnamoroll Melody, peluche suave Día de San Valentín, 30cm, HK corazon</v>
      </c>
      <c r="C12" s="3" t="s">
        <v>33</v>
      </c>
      <c r="D12" s="3" t="s">
        <v>28</v>
      </c>
      <c r="E12" s="14">
        <f>Compras!C12</f>
        <v>405.4</v>
      </c>
      <c r="F12" s="6">
        <f>Compras!D12</f>
        <v>0.63613714849531333</v>
      </c>
      <c r="G12" s="4">
        <f>Compras!B12</f>
        <v>1</v>
      </c>
      <c r="H12" s="14">
        <f>Compras!Q12</f>
        <v>134.32999999999998</v>
      </c>
      <c r="I12" s="4">
        <f>Compras!P12</f>
        <v>1</v>
      </c>
      <c r="J12" s="20" t="s">
        <v>29</v>
      </c>
      <c r="K12" s="15">
        <f t="shared" si="0"/>
        <v>289.36874999999998</v>
      </c>
      <c r="L12" s="16">
        <f t="shared" si="1"/>
        <v>241.14062499999997</v>
      </c>
      <c r="M12" s="17">
        <f t="shared" si="2"/>
        <v>192.91249999999997</v>
      </c>
    </row>
    <row r="13" spans="1:13" ht="31.2" x14ac:dyDescent="0.3">
      <c r="A13" s="19">
        <v>93</v>
      </c>
      <c r="B13" s="3" t="str">
        <f>Compras!A13</f>
        <v>Disney's Anime grande, púrpura, San Valentín, Stich, 30cm</v>
      </c>
      <c r="C13" s="3" t="s">
        <v>32</v>
      </c>
      <c r="D13" s="3" t="s">
        <v>28</v>
      </c>
      <c r="E13" s="14">
        <f>Compras!C13</f>
        <v>361.42</v>
      </c>
      <c r="F13" s="6">
        <f>Compras!D13</f>
        <v>0.40221902495711359</v>
      </c>
      <c r="G13" s="4">
        <f>Compras!B13</f>
        <v>1</v>
      </c>
      <c r="H13" s="14">
        <f>Compras!Q13</f>
        <v>229.31</v>
      </c>
      <c r="I13" s="4">
        <f>Compras!P13</f>
        <v>1</v>
      </c>
      <c r="J13" s="20" t="s">
        <v>29</v>
      </c>
      <c r="K13" s="15">
        <f t="shared" si="0"/>
        <v>389.546875</v>
      </c>
      <c r="L13" s="16">
        <f t="shared" si="1"/>
        <v>350.59218750000002</v>
      </c>
      <c r="M13" s="17">
        <f t="shared" si="2"/>
        <v>311.63749999999999</v>
      </c>
    </row>
    <row r="14" spans="1:13" ht="31.2" x14ac:dyDescent="0.3">
      <c r="A14" s="19">
        <v>94</v>
      </c>
      <c r="B14" s="3" t="str">
        <f>Compras!A14</f>
        <v>Miniso-Lilo &amp; Stitch de Disney, peluche Kawaii, suave, Azul, 30cm</v>
      </c>
      <c r="C14" s="3" t="s">
        <v>32</v>
      </c>
      <c r="D14" s="3" t="s">
        <v>28</v>
      </c>
      <c r="E14" s="14">
        <f>Compras!C14</f>
        <v>383.09</v>
      </c>
      <c r="F14" s="6">
        <f>Compras!D14</f>
        <v>0.47798167532433639</v>
      </c>
      <c r="G14" s="4">
        <f>Compras!B14</f>
        <v>1</v>
      </c>
      <c r="H14" s="14">
        <f>Compras!Q14</f>
        <v>183.81</v>
      </c>
      <c r="I14" s="4">
        <f>Compras!P14</f>
        <v>1</v>
      </c>
      <c r="J14" s="20" t="s">
        <v>29</v>
      </c>
      <c r="K14" s="15">
        <f t="shared" si="0"/>
        <v>382.14374999999995</v>
      </c>
      <c r="L14" s="16">
        <f t="shared" si="1"/>
        <v>318.453125</v>
      </c>
      <c r="M14" s="17">
        <f t="shared" si="2"/>
        <v>254.76249999999999</v>
      </c>
    </row>
    <row r="15" spans="1:13" ht="31.2" x14ac:dyDescent="0.3">
      <c r="A15" s="19">
        <v>95</v>
      </c>
      <c r="B15" s="3" t="str">
        <f>Compras!A15</f>
        <v>Bob Esponja Squarepants, peluche Patricio, Estrella rosa, Kawaii, Bob esponja, 40cm</v>
      </c>
      <c r="C15" s="3" t="s">
        <v>84</v>
      </c>
      <c r="D15" s="3" t="s">
        <v>28</v>
      </c>
      <c r="E15" s="14">
        <f>Compras!C15</f>
        <v>448.57</v>
      </c>
      <c r="F15" s="6">
        <f>Compras!D15</f>
        <v>0.6725148806206388</v>
      </c>
      <c r="G15" s="4">
        <f>Compras!B15</f>
        <v>1</v>
      </c>
      <c r="H15" s="14">
        <f>Compras!Q15</f>
        <v>134.98000000000002</v>
      </c>
      <c r="I15" s="4">
        <f>Compras!P15</f>
        <v>1</v>
      </c>
      <c r="J15" s="20" t="s">
        <v>29</v>
      </c>
      <c r="K15" s="15">
        <f t="shared" si="0"/>
        <v>290.58750000000003</v>
      </c>
      <c r="L15" s="16">
        <f t="shared" si="1"/>
        <v>242.15625000000003</v>
      </c>
      <c r="M15" s="17">
        <f t="shared" si="2"/>
        <v>193.72500000000002</v>
      </c>
    </row>
    <row r="16" spans="1:13" ht="31.2" x14ac:dyDescent="0.3">
      <c r="A16" s="19">
        <v>96</v>
      </c>
      <c r="B16" s="3" t="str">
        <f>Compras!A16</f>
        <v>Peluche de Lilo Stitch, Ángel, Anime, suave, 30cm, azul corazon</v>
      </c>
      <c r="C16" s="3" t="s">
        <v>32</v>
      </c>
      <c r="D16" s="3" t="s">
        <v>28</v>
      </c>
      <c r="E16" s="14">
        <f>Compras!C16</f>
        <v>225.46</v>
      </c>
      <c r="F16" s="6">
        <f>Compras!D16</f>
        <v>3.6769271711168366E-2</v>
      </c>
      <c r="G16" s="4">
        <f>Compras!B16</f>
        <v>1</v>
      </c>
      <c r="H16" s="14">
        <f>Compras!Q16</f>
        <v>199.65999999999997</v>
      </c>
      <c r="I16" s="4">
        <f>Compras!P16</f>
        <v>1</v>
      </c>
      <c r="J16" s="20" t="s">
        <v>29</v>
      </c>
      <c r="K16" s="15">
        <f t="shared" si="0"/>
        <v>355.68474999999995</v>
      </c>
      <c r="L16" s="16">
        <f t="shared" si="1"/>
        <v>365.04487499999993</v>
      </c>
      <c r="M16" s="17">
        <f t="shared" si="2"/>
        <v>374.40499999999997</v>
      </c>
    </row>
    <row r="17" spans="1:13" x14ac:dyDescent="0.3">
      <c r="A17" s="19">
        <v>97</v>
      </c>
      <c r="B17" s="3" t="str">
        <f>Compras!A17</f>
        <v>Disney Stitch, lindo conejo de peluche, 40cm</v>
      </c>
      <c r="C17" s="3" t="s">
        <v>32</v>
      </c>
      <c r="D17" s="3" t="s">
        <v>28</v>
      </c>
      <c r="E17" s="14">
        <f>Compras!C17</f>
        <v>278.32</v>
      </c>
      <c r="F17" s="6">
        <f>Compras!D17</f>
        <v>0.3550589249784421</v>
      </c>
      <c r="G17" s="4">
        <f>Compras!B17</f>
        <v>1</v>
      </c>
      <c r="H17" s="14">
        <f>Compras!Q17</f>
        <v>163.32</v>
      </c>
      <c r="I17" s="4">
        <f>Compras!P17</f>
        <v>1</v>
      </c>
      <c r="J17" s="20" t="s">
        <v>29</v>
      </c>
      <c r="K17" s="15">
        <f t="shared" si="0"/>
        <v>343.72499999999997</v>
      </c>
      <c r="L17" s="16">
        <f t="shared" si="1"/>
        <v>286.4375</v>
      </c>
      <c r="M17" s="17">
        <f t="shared" si="2"/>
        <v>229.14999999999998</v>
      </c>
    </row>
    <row r="18" spans="1:13" ht="31.2" x14ac:dyDescent="0.3">
      <c r="A18" s="19">
        <v>98</v>
      </c>
      <c r="B18" s="3" t="str">
        <f>Compras!A18</f>
        <v xml:space="preserve">Sanrio Kawaii Cinnamoroll sombrero, peluche almohada suave </v>
      </c>
      <c r="C18" s="3" t="s">
        <v>31</v>
      </c>
      <c r="D18" s="3" t="s">
        <v>28</v>
      </c>
      <c r="E18" s="14">
        <f>Compras!C18</f>
        <v>548.29999999999995</v>
      </c>
      <c r="F18" s="6">
        <f>Compras!D18</f>
        <v>0.6876345066569397</v>
      </c>
      <c r="G18" s="4">
        <f>Compras!B18</f>
        <v>1</v>
      </c>
      <c r="H18" s="14">
        <f>Compras!Q18</f>
        <v>155.94000000000003</v>
      </c>
      <c r="I18" s="4">
        <f>Compras!P18</f>
        <v>1</v>
      </c>
      <c r="J18" s="20" t="s">
        <v>29</v>
      </c>
      <c r="K18" s="15">
        <f t="shared" si="0"/>
        <v>329.88750000000005</v>
      </c>
      <c r="L18" s="16">
        <f t="shared" si="1"/>
        <v>274.90625000000006</v>
      </c>
      <c r="M18" s="17">
        <f t="shared" si="2"/>
        <v>219.92500000000004</v>
      </c>
    </row>
    <row r="19" spans="1:13" ht="31.2" x14ac:dyDescent="0.3">
      <c r="A19" s="19">
        <v>99</v>
      </c>
      <c r="B19" s="3" t="str">
        <f>Compras!A19</f>
        <v>Sanrio Ice Cream Hello Kitty Kuromi Melody Cinnamoroll, peluche almohada, 30cm</v>
      </c>
      <c r="C19" s="3" t="s">
        <v>33</v>
      </c>
      <c r="D19" s="3" t="s">
        <v>28</v>
      </c>
      <c r="E19" s="14">
        <f>Compras!C19</f>
        <v>572.12</v>
      </c>
      <c r="F19" s="6">
        <f>Compras!D19</f>
        <v>0.66304271831084394</v>
      </c>
      <c r="G19" s="4">
        <f>Compras!B19</f>
        <v>1</v>
      </c>
      <c r="H19" s="14">
        <f>Compras!Q19</f>
        <v>178.14</v>
      </c>
      <c r="I19" s="4">
        <f>Compras!P19</f>
        <v>1</v>
      </c>
      <c r="J19" s="20" t="s">
        <v>29</v>
      </c>
      <c r="K19" s="15">
        <f t="shared" si="0"/>
        <v>371.51249999999999</v>
      </c>
      <c r="L19" s="16">
        <f t="shared" si="1"/>
        <v>309.59375</v>
      </c>
      <c r="M19" s="17">
        <f t="shared" si="2"/>
        <v>247.67499999999998</v>
      </c>
    </row>
    <row r="20" spans="1:13" ht="31.2" x14ac:dyDescent="0.3">
      <c r="A20" s="19">
        <v>100</v>
      </c>
      <c r="B20" s="3" t="str">
        <f>Compras!A20</f>
        <v>MINISO-oso de peluche de arcoíris, peluche de 40 Cm, rosa</v>
      </c>
      <c r="C20" s="3" t="s">
        <v>89</v>
      </c>
      <c r="D20" s="3" t="s">
        <v>28</v>
      </c>
      <c r="E20" s="14">
        <f>Compras!C20</f>
        <v>177.84</v>
      </c>
      <c r="F20" s="6">
        <f>Compras!D20</f>
        <v>3.671839856050383E-2</v>
      </c>
      <c r="G20" s="4">
        <f>Compras!B20</f>
        <v>1</v>
      </c>
      <c r="H20" s="14">
        <f>Compras!Q20</f>
        <v>160.31</v>
      </c>
      <c r="I20" s="4">
        <f>Compras!P20</f>
        <v>1</v>
      </c>
      <c r="J20" s="20" t="s">
        <v>29</v>
      </c>
      <c r="K20" s="15">
        <f t="shared" si="0"/>
        <v>305.54250000000002</v>
      </c>
      <c r="L20" s="16">
        <f t="shared" si="1"/>
        <v>305.54250000000002</v>
      </c>
      <c r="M20" s="17">
        <f t="shared" si="2"/>
        <v>305.54250000000002</v>
      </c>
    </row>
    <row r="21" spans="1:13" ht="31.2" x14ac:dyDescent="0.3">
      <c r="A21" s="19">
        <v>101</v>
      </c>
      <c r="B21" s="3" t="str">
        <f>Compras!A21</f>
        <v>Sanrio Yugui se transforma en un juguete de peluche de fresa, almohada, Cinnamoroll</v>
      </c>
      <c r="C21" s="3" t="s">
        <v>31</v>
      </c>
      <c r="D21" s="3" t="s">
        <v>28</v>
      </c>
      <c r="E21" s="14">
        <f>Compras!C21</f>
        <v>135.66</v>
      </c>
      <c r="F21" s="6">
        <f>Compras!D21</f>
        <v>0</v>
      </c>
      <c r="G21" s="4">
        <f>Compras!B21</f>
        <v>1</v>
      </c>
      <c r="H21" s="14">
        <f>Compras!Q21</f>
        <v>126.93999999999998</v>
      </c>
      <c r="I21" s="4">
        <f>Compras!P21</f>
        <v>1</v>
      </c>
      <c r="J21" s="20" t="s">
        <v>29</v>
      </c>
      <c r="K21" s="15">
        <f t="shared" si="0"/>
        <v>247.14499999999998</v>
      </c>
      <c r="L21" s="16">
        <f t="shared" si="1"/>
        <v>247.14499999999998</v>
      </c>
      <c r="M21" s="17">
        <f t="shared" si="2"/>
        <v>247.14499999999998</v>
      </c>
    </row>
    <row r="22" spans="1:13" ht="31.2" x14ac:dyDescent="0.3">
      <c r="A22" s="19">
        <v>102</v>
      </c>
      <c r="B22" s="3" t="str">
        <f>Compras!A22</f>
        <v>Sanrio-almohada de felpa de Hello Kitty, cojín de cabecera</v>
      </c>
      <c r="C22" s="3" t="s">
        <v>31</v>
      </c>
      <c r="D22" s="3" t="s">
        <v>28</v>
      </c>
      <c r="E22" s="14">
        <f>Compras!C22</f>
        <v>162.12</v>
      </c>
      <c r="F22" s="6">
        <f>Compras!D22</f>
        <v>3.9106834443622028E-2</v>
      </c>
      <c r="G22" s="4">
        <f>Compras!B22</f>
        <v>1</v>
      </c>
      <c r="H22" s="14">
        <f>Compras!Q22</f>
        <v>138.51</v>
      </c>
      <c r="I22" s="4">
        <f>Compras!P22</f>
        <v>1</v>
      </c>
      <c r="J22" s="20" t="s">
        <v>29</v>
      </c>
      <c r="K22" s="15">
        <f t="shared" si="0"/>
        <v>267.39249999999998</v>
      </c>
      <c r="L22" s="16">
        <f t="shared" si="1"/>
        <v>267.39249999999998</v>
      </c>
      <c r="M22" s="17">
        <f t="shared" si="2"/>
        <v>267.39249999999998</v>
      </c>
    </row>
    <row r="23" spans="1:13" ht="31.2" x14ac:dyDescent="0.3">
      <c r="A23" s="19">
        <v>103</v>
      </c>
      <c r="B23" s="3" t="str">
        <f>Compras!A23</f>
        <v>Peluche de cerdo, corazón de retención, almohadas, suaves, 20cm</v>
      </c>
      <c r="C23" s="3" t="s">
        <v>34</v>
      </c>
      <c r="D23" s="3" t="s">
        <v>28</v>
      </c>
      <c r="E23" s="14">
        <f>Compras!C23</f>
        <v>181.84</v>
      </c>
      <c r="F23" s="6">
        <f>Compras!D23</f>
        <v>0.45639023317201932</v>
      </c>
      <c r="G23" s="4">
        <f>Compras!B23</f>
        <v>1</v>
      </c>
      <c r="H23" s="14">
        <f>Compras!Q23</f>
        <v>92.009999999999991</v>
      </c>
      <c r="I23" s="4">
        <f>Compras!P23</f>
        <v>1</v>
      </c>
      <c r="J23" s="20" t="s">
        <v>29</v>
      </c>
      <c r="K23" s="15">
        <f t="shared" si="0"/>
        <v>244.52249999999998</v>
      </c>
      <c r="L23" s="16">
        <f t="shared" si="1"/>
        <v>203.76874999999998</v>
      </c>
      <c r="M23" s="17">
        <f t="shared" si="2"/>
        <v>163.01499999999999</v>
      </c>
    </row>
    <row r="24" spans="1:13" ht="31.2" x14ac:dyDescent="0.3">
      <c r="A24" s="19">
        <v>104</v>
      </c>
      <c r="B24" s="3" t="str">
        <f>Compras!A24</f>
        <v>Sanrio-muñeco de peluche Kuromi Melody, muñeco de peluche cómodo y suave, Cinnamoroll, 20cm</v>
      </c>
      <c r="C24" s="3" t="s">
        <v>31</v>
      </c>
      <c r="D24" s="3" t="s">
        <v>28</v>
      </c>
      <c r="E24" s="14">
        <f>Compras!C24</f>
        <v>720.24</v>
      </c>
      <c r="F24" s="6">
        <f>Compras!D24</f>
        <v>0.63949516827724084</v>
      </c>
      <c r="G24" s="4">
        <f>Compras!B24</f>
        <v>1</v>
      </c>
      <c r="H24" s="14">
        <f>Compras!Q24</f>
        <v>243.75999999999996</v>
      </c>
      <c r="I24" s="4">
        <f>Compras!P24</f>
        <v>1</v>
      </c>
      <c r="J24" s="20" t="s">
        <v>29</v>
      </c>
      <c r="K24" s="15">
        <f t="shared" si="0"/>
        <v>412.12499999999989</v>
      </c>
      <c r="L24" s="16">
        <f t="shared" si="1"/>
        <v>370.91249999999991</v>
      </c>
      <c r="M24" s="17">
        <f t="shared" si="2"/>
        <v>329.69999999999993</v>
      </c>
    </row>
    <row r="25" spans="1:13" ht="31.2" x14ac:dyDescent="0.3">
      <c r="A25" s="19">
        <v>105</v>
      </c>
      <c r="B25" s="3" t="str">
        <f>Compras!A25</f>
        <v>Disney-figuras originales Stitch, peluche, 25cm, corazon, azul</v>
      </c>
      <c r="C25" s="3" t="s">
        <v>32</v>
      </c>
      <c r="D25" s="3" t="s">
        <v>28</v>
      </c>
      <c r="E25" s="14">
        <f>Compras!C25</f>
        <v>144.84</v>
      </c>
      <c r="F25" s="6">
        <f>Compras!D25</f>
        <v>0.46651477492405419</v>
      </c>
      <c r="G25" s="4">
        <f>Compras!B25</f>
        <v>1</v>
      </c>
      <c r="H25" s="14">
        <f>Compras!Q25</f>
        <v>71.89</v>
      </c>
      <c r="I25" s="4">
        <f>Compras!P25</f>
        <v>1</v>
      </c>
      <c r="J25" s="20" t="s">
        <v>29</v>
      </c>
      <c r="K25" s="15">
        <f t="shared" si="0"/>
        <v>199.2525</v>
      </c>
      <c r="L25" s="16">
        <f t="shared" si="1"/>
        <v>166.04374999999999</v>
      </c>
      <c r="M25" s="17">
        <f t="shared" si="2"/>
        <v>132.83500000000001</v>
      </c>
    </row>
    <row r="26" spans="1:13" ht="31.2" x14ac:dyDescent="0.3">
      <c r="A26" s="19">
        <v>106</v>
      </c>
      <c r="B26" s="3" t="str">
        <f>Compras!A26</f>
        <v>Disney-figuras originales Stitch, peluche, 25cm, corazon, rosa</v>
      </c>
      <c r="C26" s="3" t="s">
        <v>32</v>
      </c>
      <c r="D26" s="3" t="s">
        <v>28</v>
      </c>
      <c r="E26" s="14">
        <f>Compras!C26</f>
        <v>158.12</v>
      </c>
      <c r="F26" s="6">
        <f>Compras!D26</f>
        <v>0.46654439666076397</v>
      </c>
      <c r="G26" s="4">
        <f>Compras!B26</f>
        <v>1</v>
      </c>
      <c r="H26" s="14">
        <f>Compras!Q26</f>
        <v>78.529999999999987</v>
      </c>
      <c r="I26" s="4">
        <f>Compras!P26</f>
        <v>1</v>
      </c>
      <c r="J26" s="20" t="s">
        <v>29</v>
      </c>
      <c r="K26" s="15">
        <f t="shared" si="0"/>
        <v>214.1925</v>
      </c>
      <c r="L26" s="16">
        <f t="shared" si="1"/>
        <v>178.49374999999998</v>
      </c>
      <c r="M26" s="17">
        <f t="shared" si="2"/>
        <v>142.79499999999999</v>
      </c>
    </row>
    <row r="27" spans="1:13" ht="31.2" x14ac:dyDescent="0.3">
      <c r="A27" s="19">
        <v>107</v>
      </c>
      <c r="B27" s="3" t="str">
        <f>Compras!A27</f>
        <v>Sanrio Kawaii Cinnamoroll sombrero, peluche almohada suave, 25cm, Cinnamoroll</v>
      </c>
      <c r="C27" s="3" t="s">
        <v>31</v>
      </c>
      <c r="D27" s="3" t="s">
        <v>28</v>
      </c>
      <c r="E27" s="14">
        <f>Compras!C27</f>
        <v>506.83</v>
      </c>
      <c r="F27" s="6">
        <f>Compras!D27</f>
        <v>0.68798216364461451</v>
      </c>
      <c r="G27" s="4">
        <f>Compras!B27</f>
        <v>1</v>
      </c>
      <c r="H27" s="14">
        <f>Compras!Q27</f>
        <v>147.15999999999997</v>
      </c>
      <c r="I27" s="4">
        <f>Compras!P27</f>
        <v>1</v>
      </c>
      <c r="J27" s="20" t="s">
        <v>29</v>
      </c>
      <c r="K27" s="15">
        <f t="shared" si="0"/>
        <v>313.42499999999995</v>
      </c>
      <c r="L27" s="16">
        <f t="shared" si="1"/>
        <v>261.18749999999994</v>
      </c>
      <c r="M27" s="17">
        <f t="shared" si="2"/>
        <v>208.94999999999996</v>
      </c>
    </row>
  </sheetData>
  <autoFilter ref="A1:M1" xr:uid="{00000000-0009-0000-0000-000001000000}">
    <sortState xmlns:xlrd2="http://schemas.microsoft.com/office/spreadsheetml/2017/richdata2" ref="A2:M232">
      <sortCondition ref="A1"/>
    </sortState>
  </autoFilter>
  <hyperlinks>
    <hyperlink ref="J2" r:id="rId1" xr:uid="{AB4C98E1-53C7-4830-B455-D1DB040FDD04}"/>
    <hyperlink ref="J3" r:id="rId2" xr:uid="{A1FF49F7-5D2A-47A4-9E2B-6C22F237D3ED}"/>
    <hyperlink ref="J4" r:id="rId3" xr:uid="{7A40EA69-29DF-4547-BC96-59F174277E73}"/>
    <hyperlink ref="J5" r:id="rId4" xr:uid="{BA3A5DF7-431B-4275-BD80-E59D3450656D}"/>
    <hyperlink ref="J6" r:id="rId5" xr:uid="{7C631FA8-0347-4D29-9D6C-6894B88F1CA9}"/>
    <hyperlink ref="J7" r:id="rId6" xr:uid="{7ACC2A19-7730-4F6F-B1FA-53968AB7D15E}"/>
    <hyperlink ref="J8" r:id="rId7" xr:uid="{278451FA-CBD4-410E-A47A-D8F01028F376}"/>
    <hyperlink ref="J9" r:id="rId8" xr:uid="{7D05FCEF-A742-42C4-9F87-F5FA8BFE6849}"/>
    <hyperlink ref="J10" r:id="rId9" xr:uid="{47DE3CE9-8841-438D-9DA1-8D81DA6492B4}"/>
    <hyperlink ref="J11" r:id="rId10" xr:uid="{5E775D1A-A99E-48BE-9095-12CEAEBB0D60}"/>
    <hyperlink ref="J12" r:id="rId11" xr:uid="{8C659DDB-CC95-40E4-8C2B-B6AE79EBE22F}"/>
    <hyperlink ref="J13" r:id="rId12" xr:uid="{A90E6EE5-3B14-4ED2-A9B7-D30D7B5C07F3}"/>
    <hyperlink ref="J14" r:id="rId13" xr:uid="{99A143A9-D6CB-4544-8B90-8817952C4904}"/>
    <hyperlink ref="J15" r:id="rId14" xr:uid="{257A4182-8D62-48BC-B4D8-CD122126A898}"/>
    <hyperlink ref="J16" r:id="rId15" xr:uid="{F06D65F6-F55A-4F10-9673-64395970E76B}"/>
    <hyperlink ref="J17" r:id="rId16" xr:uid="{64945161-D05A-40B9-9D38-AE0D8E88518C}"/>
    <hyperlink ref="J18" r:id="rId17" xr:uid="{575ED1CD-2133-429D-AC6C-018566749430}"/>
    <hyperlink ref="J19" r:id="rId18" xr:uid="{73943D59-A24E-4EF5-82DD-B1819FF1BD80}"/>
    <hyperlink ref="J27" r:id="rId19" xr:uid="{2BC5A57E-A42F-47A6-A616-855841B51887}"/>
    <hyperlink ref="J20" r:id="rId20" xr:uid="{67852A20-FEAF-408B-9A4A-7DCDEFFB4820}"/>
    <hyperlink ref="J21" r:id="rId21" xr:uid="{EEBB8F59-802D-46E3-A42A-E46F84A7C07C}"/>
    <hyperlink ref="J22" r:id="rId22" xr:uid="{131F96AD-6914-417B-9227-66D2FF4798B1}"/>
    <hyperlink ref="J23" r:id="rId23" xr:uid="{B0475886-AA30-4540-9434-28D825D57B56}"/>
    <hyperlink ref="J24" r:id="rId24" xr:uid="{A668DECF-635A-455D-9840-A4844E35F34D}"/>
    <hyperlink ref="J26" r:id="rId25" xr:uid="{C5F8C059-7050-4B51-A673-F8DEADBCC9F6}"/>
    <hyperlink ref="J25" r:id="rId26" xr:uid="{80911E07-1EA5-4D0E-9FFC-96CC070F63F8}"/>
  </hyperlinks>
  <pageMargins left="0.7" right="0.7" top="0.75" bottom="0.75" header="0.3" footer="0.3"/>
  <picture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Compras</vt:lpstr>
      <vt:lpstr>Precios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Tlachino</dc:creator>
  <cp:lastModifiedBy>Marco Tlachino Macuitl</cp:lastModifiedBy>
  <dcterms:created xsi:type="dcterms:W3CDTF">2024-02-04T04:41:10Z</dcterms:created>
  <dcterms:modified xsi:type="dcterms:W3CDTF">2025-08-23T16:26:31Z</dcterms:modified>
</cp:coreProperties>
</file>