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rai\Desktop\"/>
    </mc:Choice>
  </mc:AlternateContent>
  <xr:revisionPtr revIDLastSave="0" documentId="13_ncr:1_{ABA5D363-EFB6-4666-AC09-EBAD5F67EF9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メイン" sheetId="1" r:id="rId1"/>
    <sheet name="ver.4月8日" sheetId="2" r:id="rId2"/>
    <sheet name="Ver新井" sheetId="6" r:id="rId3"/>
    <sheet name="テスト" sheetId="3" r:id="rId4"/>
    <sheet name="原本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6" l="1"/>
  <c r="O12" i="6"/>
  <c r="O11" i="6"/>
  <c r="O10" i="6"/>
  <c r="O9" i="6"/>
  <c r="O8" i="6"/>
  <c r="P2" i="6"/>
  <c r="T22" i="6" s="1"/>
  <c r="H3" i="6"/>
  <c r="R2" i="6"/>
  <c r="E2" i="6"/>
  <c r="K26" i="6"/>
  <c r="K25" i="6"/>
  <c r="T2" i="6" l="1"/>
  <c r="W2" i="6" s="1"/>
  <c r="J2" i="6"/>
  <c r="C45" i="6"/>
  <c r="M14" i="6"/>
  <c r="G14" i="6"/>
  <c r="B14" i="6"/>
  <c r="E13" i="6"/>
  <c r="E12" i="6"/>
  <c r="E11" i="6"/>
  <c r="E10" i="6"/>
  <c r="E9" i="6"/>
  <c r="E8" i="6"/>
  <c r="E7" i="6"/>
  <c r="E6" i="6"/>
  <c r="E5" i="6"/>
  <c r="E4" i="6"/>
  <c r="E3" i="6"/>
  <c r="D12" i="4"/>
  <c r="A12" i="4"/>
  <c r="C12" i="4" s="1"/>
  <c r="F12" i="4" s="1"/>
  <c r="D11" i="4"/>
  <c r="A11" i="4"/>
  <c r="C11" i="4" s="1"/>
  <c r="F11" i="4" s="1"/>
  <c r="D10" i="4"/>
  <c r="A10" i="4"/>
  <c r="C10" i="4" s="1"/>
  <c r="F10" i="4" s="1"/>
  <c r="D9" i="4"/>
  <c r="A9" i="4"/>
  <c r="C9" i="4" s="1"/>
  <c r="F9" i="4" s="1"/>
  <c r="D8" i="4"/>
  <c r="A8" i="4"/>
  <c r="C8" i="4" s="1"/>
  <c r="F8" i="4" s="1"/>
  <c r="D7" i="4"/>
  <c r="A7" i="4"/>
  <c r="C7" i="4" s="1"/>
  <c r="F7" i="4" s="1"/>
  <c r="D6" i="4"/>
  <c r="A6" i="4"/>
  <c r="C6" i="4" s="1"/>
  <c r="F6" i="4" s="1"/>
  <c r="D5" i="4"/>
  <c r="A5" i="4"/>
  <c r="C5" i="4" s="1"/>
  <c r="F5" i="4" s="1"/>
  <c r="F4" i="4"/>
  <c r="D4" i="4"/>
  <c r="A4" i="4"/>
  <c r="C4" i="4" s="1"/>
  <c r="D3" i="4"/>
  <c r="A3" i="4"/>
  <c r="C3" i="4" s="1"/>
  <c r="F3" i="4" s="1"/>
  <c r="D2" i="4"/>
  <c r="A2" i="4"/>
  <c r="C2" i="4" s="1"/>
  <c r="F2" i="4" s="1"/>
  <c r="L35" i="3"/>
  <c r="G35" i="3"/>
  <c r="E35" i="3"/>
  <c r="G34" i="3"/>
  <c r="L34" i="3" s="1"/>
  <c r="E34" i="3"/>
  <c r="G33" i="3"/>
  <c r="E33" i="3"/>
  <c r="E32" i="3"/>
  <c r="G32" i="3" s="1"/>
  <c r="E31" i="3"/>
  <c r="G31" i="3" s="1"/>
  <c r="I30" i="3"/>
  <c r="E30" i="3"/>
  <c r="G30" i="3" s="1"/>
  <c r="L29" i="3"/>
  <c r="I29" i="3"/>
  <c r="G29" i="3"/>
  <c r="E29" i="3"/>
  <c r="G28" i="3"/>
  <c r="L28" i="3" s="1"/>
  <c r="E28" i="3"/>
  <c r="G27" i="3"/>
  <c r="E27" i="3"/>
  <c r="G26" i="3"/>
  <c r="E26" i="3"/>
  <c r="E25" i="3"/>
  <c r="G25" i="3" s="1"/>
  <c r="I24" i="3"/>
  <c r="E24" i="3"/>
  <c r="G24" i="3" s="1"/>
  <c r="L24" i="3" s="1"/>
  <c r="G23" i="3"/>
  <c r="E23" i="3"/>
  <c r="L22" i="3"/>
  <c r="I22" i="3"/>
  <c r="E22" i="3"/>
  <c r="G22" i="3" s="1"/>
  <c r="L21" i="3"/>
  <c r="I21" i="3"/>
  <c r="G21" i="3"/>
  <c r="E21" i="3"/>
  <c r="G20" i="3"/>
  <c r="E20" i="3"/>
  <c r="G19" i="3"/>
  <c r="E19" i="3"/>
  <c r="G18" i="3"/>
  <c r="E18" i="3"/>
  <c r="E17" i="3"/>
  <c r="G17" i="3" s="1"/>
  <c r="I16" i="3"/>
  <c r="E16" i="3"/>
  <c r="G16" i="3" s="1"/>
  <c r="L16" i="3" s="1"/>
  <c r="G15" i="3"/>
  <c r="E15" i="3"/>
  <c r="L14" i="3"/>
  <c r="I14" i="3"/>
  <c r="E14" i="3"/>
  <c r="G14" i="3" s="1"/>
  <c r="L13" i="3"/>
  <c r="I13" i="3"/>
  <c r="G13" i="3"/>
  <c r="E13" i="3"/>
  <c r="G12" i="3"/>
  <c r="E12" i="3"/>
  <c r="G11" i="3"/>
  <c r="E11" i="3"/>
  <c r="G10" i="3"/>
  <c r="E10" i="3"/>
  <c r="E9" i="3"/>
  <c r="G9" i="3" s="1"/>
  <c r="I8" i="3"/>
  <c r="E8" i="3"/>
  <c r="G8" i="3" s="1"/>
  <c r="L8" i="3" s="1"/>
  <c r="E7" i="3"/>
  <c r="G7" i="3" s="1"/>
  <c r="L6" i="3"/>
  <c r="I6" i="3"/>
  <c r="E6" i="3"/>
  <c r="G6" i="3" s="1"/>
  <c r="L5" i="3"/>
  <c r="I5" i="3"/>
  <c r="G5" i="3"/>
  <c r="E5" i="3"/>
  <c r="G4" i="3"/>
  <c r="E4" i="3"/>
  <c r="G3" i="3"/>
  <c r="E3" i="3"/>
  <c r="G2" i="3"/>
  <c r="E2" i="3"/>
  <c r="C45" i="2"/>
  <c r="B14" i="2"/>
  <c r="E13" i="2"/>
  <c r="E12" i="2"/>
  <c r="E11" i="2"/>
  <c r="E10" i="2"/>
  <c r="E9" i="2"/>
  <c r="E8" i="2"/>
  <c r="E7" i="2"/>
  <c r="E6" i="2"/>
  <c r="E5" i="2"/>
  <c r="E4" i="2"/>
  <c r="E3" i="2"/>
  <c r="J2" i="2"/>
  <c r="H2" i="2" s="1"/>
  <c r="I2" i="2"/>
  <c r="J3" i="2" s="1"/>
  <c r="E2" i="2"/>
  <c r="C45" i="1"/>
  <c r="B14" i="1"/>
  <c r="E13" i="1"/>
  <c r="E12" i="1"/>
  <c r="E11" i="1"/>
  <c r="E10" i="1"/>
  <c r="E9" i="1"/>
  <c r="E8" i="1"/>
  <c r="E7" i="1"/>
  <c r="E6" i="1"/>
  <c r="E5" i="1"/>
  <c r="E4" i="1"/>
  <c r="E3" i="1"/>
  <c r="U2" i="1"/>
  <c r="P2" i="1"/>
  <c r="O2" i="1"/>
  <c r="L2" i="1"/>
  <c r="T2" i="1" s="1"/>
  <c r="J2" i="1"/>
  <c r="I2" i="1"/>
  <c r="H2" i="1"/>
  <c r="E2" i="1"/>
  <c r="C2" i="1"/>
  <c r="I2" i="6" l="1"/>
  <c r="J3" i="6" s="1"/>
  <c r="L2" i="6"/>
  <c r="Q2" i="6"/>
  <c r="H2" i="6"/>
  <c r="E14" i="6"/>
  <c r="H3" i="2"/>
  <c r="I3" i="2" s="1"/>
  <c r="J4" i="2" s="1"/>
  <c r="L3" i="2"/>
  <c r="L7" i="3"/>
  <c r="I7" i="3"/>
  <c r="I3" i="3"/>
  <c r="L3" i="3"/>
  <c r="I10" i="3"/>
  <c r="L15" i="3"/>
  <c r="I15" i="3"/>
  <c r="J3" i="1"/>
  <c r="L10" i="3"/>
  <c r="L18" i="3"/>
  <c r="I18" i="3"/>
  <c r="I27" i="3"/>
  <c r="L27" i="3"/>
  <c r="H2" i="4"/>
  <c r="H3" i="4" s="1"/>
  <c r="I2" i="4"/>
  <c r="I19" i="3"/>
  <c r="L19" i="3"/>
  <c r="L31" i="3"/>
  <c r="I31" i="3"/>
  <c r="N2" i="3"/>
  <c r="J2" i="3"/>
  <c r="I2" i="3"/>
  <c r="I11" i="3"/>
  <c r="L11" i="3"/>
  <c r="Q2" i="1"/>
  <c r="L2" i="3"/>
  <c r="L23" i="3"/>
  <c r="I23" i="3"/>
  <c r="S2" i="1"/>
  <c r="L26" i="3"/>
  <c r="I26" i="3"/>
  <c r="L2" i="2"/>
  <c r="P2" i="2"/>
  <c r="L4" i="3"/>
  <c r="I4" i="3"/>
  <c r="E14" i="1"/>
  <c r="L9" i="3"/>
  <c r="I9" i="3"/>
  <c r="L17" i="3"/>
  <c r="I17" i="3"/>
  <c r="L25" i="3"/>
  <c r="I25" i="3"/>
  <c r="R2" i="1"/>
  <c r="E14" i="2"/>
  <c r="L30" i="3"/>
  <c r="L32" i="3"/>
  <c r="I32" i="3"/>
  <c r="L12" i="3"/>
  <c r="I12" i="3"/>
  <c r="L20" i="3"/>
  <c r="I20" i="3"/>
  <c r="L33" i="3"/>
  <c r="I33" i="3"/>
  <c r="I28" i="3"/>
  <c r="I34" i="3"/>
  <c r="I35" i="3"/>
  <c r="S2" i="6" l="1"/>
  <c r="C2" i="6"/>
  <c r="F17" i="6"/>
  <c r="V2" i="6"/>
  <c r="L3" i="6"/>
  <c r="H4" i="4"/>
  <c r="I3" i="4"/>
  <c r="H4" i="2"/>
  <c r="I4" i="2" s="1"/>
  <c r="J5" i="2" s="1"/>
  <c r="L4" i="2"/>
  <c r="M2" i="2"/>
  <c r="T2" i="2" s="1"/>
  <c r="S2" i="2"/>
  <c r="C2" i="2"/>
  <c r="O2" i="2"/>
  <c r="R2" i="2"/>
  <c r="Q2" i="2"/>
  <c r="U2" i="2"/>
  <c r="L3" i="1"/>
  <c r="H3" i="1"/>
  <c r="P3" i="2"/>
  <c r="O2" i="3"/>
  <c r="C2" i="3"/>
  <c r="M2" i="3"/>
  <c r="R2" i="3" s="1"/>
  <c r="Q2" i="3"/>
  <c r="P2" i="3"/>
  <c r="J3" i="3"/>
  <c r="N3" i="3" s="1"/>
  <c r="J4" i="3"/>
  <c r="U2" i="6" l="1"/>
  <c r="I3" i="6"/>
  <c r="I3" i="1"/>
  <c r="S2" i="3"/>
  <c r="N4" i="3"/>
  <c r="J5" i="3"/>
  <c r="P4" i="2"/>
  <c r="P3" i="3"/>
  <c r="M3" i="3"/>
  <c r="S3" i="3" s="1"/>
  <c r="C3" i="3"/>
  <c r="O3" i="3"/>
  <c r="Q3" i="3"/>
  <c r="C3" i="2"/>
  <c r="R3" i="2"/>
  <c r="M3" i="2"/>
  <c r="S3" i="2" s="1"/>
  <c r="U3" i="2"/>
  <c r="Q3" i="2"/>
  <c r="O3" i="2"/>
  <c r="H5" i="2"/>
  <c r="P5" i="2"/>
  <c r="L5" i="2"/>
  <c r="I4" i="4"/>
  <c r="H5" i="4"/>
  <c r="J4" i="6" l="1"/>
  <c r="H4" i="6" s="1"/>
  <c r="Q3" i="6"/>
  <c r="P3" i="6" s="1"/>
  <c r="T5" i="2"/>
  <c r="Q5" i="2"/>
  <c r="C5" i="2"/>
  <c r="R5" i="2"/>
  <c r="M5" i="2"/>
  <c r="S5" i="2"/>
  <c r="U5" i="2"/>
  <c r="O5" i="2"/>
  <c r="I5" i="2"/>
  <c r="J6" i="2" s="1"/>
  <c r="R3" i="3"/>
  <c r="R4" i="2"/>
  <c r="U4" i="2"/>
  <c r="Q4" i="2"/>
  <c r="M4" i="2"/>
  <c r="T4" i="2" s="1"/>
  <c r="O4" i="2"/>
  <c r="C4" i="2"/>
  <c r="T3" i="2"/>
  <c r="J4" i="1"/>
  <c r="P3" i="1"/>
  <c r="M4" i="3"/>
  <c r="R4" i="3" s="1"/>
  <c r="S4" i="3"/>
  <c r="C4" i="3"/>
  <c r="P4" i="3"/>
  <c r="O4" i="3"/>
  <c r="Q4" i="3"/>
  <c r="I5" i="4"/>
  <c r="H6" i="4"/>
  <c r="J6" i="3"/>
  <c r="N5" i="3"/>
  <c r="T23" i="6" l="1"/>
  <c r="S3" i="6"/>
  <c r="F18" i="6"/>
  <c r="R3" i="6"/>
  <c r="C3" i="6"/>
  <c r="U3" i="6"/>
  <c r="V3" i="6"/>
  <c r="L4" i="6"/>
  <c r="I6" i="4"/>
  <c r="H7" i="4"/>
  <c r="P5" i="3"/>
  <c r="S5" i="3"/>
  <c r="R5" i="3"/>
  <c r="O5" i="3"/>
  <c r="M5" i="3"/>
  <c r="C5" i="3"/>
  <c r="Q5" i="3"/>
  <c r="N6" i="3"/>
  <c r="J7" i="3"/>
  <c r="S4" i="2"/>
  <c r="L4" i="1"/>
  <c r="H4" i="1"/>
  <c r="H6" i="2"/>
  <c r="L6" i="2"/>
  <c r="P6" i="2"/>
  <c r="C3" i="1"/>
  <c r="Q3" i="1"/>
  <c r="O3" i="1"/>
  <c r="M3" i="1"/>
  <c r="R3" i="1"/>
  <c r="N3" i="1"/>
  <c r="U3" i="1"/>
  <c r="Q4" i="6" l="1"/>
  <c r="P4" i="6" s="1"/>
  <c r="I4" i="6"/>
  <c r="J5" i="6" s="1"/>
  <c r="H5" i="6" s="1"/>
  <c r="T3" i="6"/>
  <c r="W3" i="6" s="1"/>
  <c r="H8" i="4"/>
  <c r="I7" i="4"/>
  <c r="M6" i="2"/>
  <c r="U6" i="2"/>
  <c r="O6" i="2"/>
  <c r="R6" i="2"/>
  <c r="Q6" i="2"/>
  <c r="C6" i="2"/>
  <c r="N7" i="3"/>
  <c r="J8" i="3"/>
  <c r="I6" i="2"/>
  <c r="J7" i="2" s="1"/>
  <c r="T3" i="1"/>
  <c r="I4" i="1"/>
  <c r="J5" i="1" s="1"/>
  <c r="Q6" i="3"/>
  <c r="P6" i="3"/>
  <c r="O6" i="3"/>
  <c r="M6" i="3"/>
  <c r="S6" i="3" s="1"/>
  <c r="R6" i="3"/>
  <c r="C6" i="3"/>
  <c r="S3" i="1"/>
  <c r="P4" i="1"/>
  <c r="F19" i="6" l="1"/>
  <c r="C4" i="6"/>
  <c r="T4" i="6"/>
  <c r="W4" i="6" s="1"/>
  <c r="R4" i="6"/>
  <c r="S4" i="6"/>
  <c r="V4" i="6"/>
  <c r="L5" i="6"/>
  <c r="S6" i="2"/>
  <c r="L7" i="2"/>
  <c r="H7" i="2"/>
  <c r="I7" i="2" s="1"/>
  <c r="J8" i="2" s="1"/>
  <c r="H9" i="4"/>
  <c r="I8" i="4"/>
  <c r="N8" i="3"/>
  <c r="J9" i="3"/>
  <c r="H5" i="1"/>
  <c r="P5" i="1"/>
  <c r="L5" i="1"/>
  <c r="U4" i="1"/>
  <c r="O4" i="1"/>
  <c r="T4" i="1"/>
  <c r="M4" i="1"/>
  <c r="S4" i="1" s="1"/>
  <c r="C4" i="1"/>
  <c r="Q4" i="1"/>
  <c r="R4" i="1"/>
  <c r="O7" i="3"/>
  <c r="M7" i="3"/>
  <c r="S7" i="3" s="1"/>
  <c r="P7" i="3"/>
  <c r="C7" i="3"/>
  <c r="Q7" i="3"/>
  <c r="T6" i="2"/>
  <c r="T24" i="6" l="1"/>
  <c r="U4" i="6"/>
  <c r="I5" i="6"/>
  <c r="J6" i="6" s="1"/>
  <c r="H6" i="6" s="1"/>
  <c r="Q5" i="6"/>
  <c r="P5" i="6" s="1"/>
  <c r="R7" i="3"/>
  <c r="H8" i="2"/>
  <c r="I8" i="2" s="1"/>
  <c r="J9" i="2" s="1"/>
  <c r="L8" i="2"/>
  <c r="O5" i="1"/>
  <c r="U5" i="1"/>
  <c r="C5" i="1"/>
  <c r="R5" i="1"/>
  <c r="Q5" i="1"/>
  <c r="M5" i="1"/>
  <c r="S5" i="1" s="1"/>
  <c r="I5" i="1"/>
  <c r="J6" i="1" s="1"/>
  <c r="P7" i="2"/>
  <c r="N9" i="3"/>
  <c r="J10" i="3"/>
  <c r="Q8" i="3"/>
  <c r="O8" i="3"/>
  <c r="C8" i="3"/>
  <c r="P8" i="3"/>
  <c r="M8" i="3"/>
  <c r="S8" i="3" s="1"/>
  <c r="H10" i="4"/>
  <c r="I9" i="4"/>
  <c r="F20" i="6" l="1"/>
  <c r="R5" i="6"/>
  <c r="C5" i="6"/>
  <c r="U5" i="6"/>
  <c r="V5" i="6"/>
  <c r="S5" i="6"/>
  <c r="I6" i="6"/>
  <c r="J7" i="6" s="1"/>
  <c r="H7" i="6" s="1"/>
  <c r="L6" i="6"/>
  <c r="P8" i="2"/>
  <c r="N10" i="3"/>
  <c r="J11" i="3"/>
  <c r="R8" i="3"/>
  <c r="H9" i="2"/>
  <c r="I9" i="2" s="1"/>
  <c r="J10" i="2" s="1"/>
  <c r="L9" i="2"/>
  <c r="C7" i="2"/>
  <c r="Q7" i="2"/>
  <c r="O7" i="2"/>
  <c r="S7" i="2"/>
  <c r="V7" i="2" s="1"/>
  <c r="T7" i="2"/>
  <c r="R7" i="2"/>
  <c r="M7" i="2"/>
  <c r="U7" i="2"/>
  <c r="T5" i="1"/>
  <c r="I10" i="4"/>
  <c r="H11" i="4"/>
  <c r="R9" i="3"/>
  <c r="S9" i="3"/>
  <c r="P9" i="3"/>
  <c r="Q9" i="3"/>
  <c r="O9" i="3"/>
  <c r="M9" i="3"/>
  <c r="C9" i="3"/>
  <c r="L6" i="1"/>
  <c r="H6" i="1"/>
  <c r="P6" i="1"/>
  <c r="T25" i="6" l="1"/>
  <c r="Q6" i="6"/>
  <c r="P6" i="6" s="1"/>
  <c r="T5" i="6"/>
  <c r="W5" i="6" s="1"/>
  <c r="L7" i="6"/>
  <c r="I7" i="6"/>
  <c r="J8" i="6" s="1"/>
  <c r="H8" i="6" s="1"/>
  <c r="L10" i="2"/>
  <c r="H10" i="2"/>
  <c r="I10" i="2" s="1"/>
  <c r="J11" i="2" s="1"/>
  <c r="N11" i="3"/>
  <c r="J12" i="3"/>
  <c r="I11" i="4"/>
  <c r="K2" i="4" s="1"/>
  <c r="H12" i="4"/>
  <c r="I12" i="4" s="1"/>
  <c r="Q8" i="2"/>
  <c r="R8" i="2"/>
  <c r="U8" i="2"/>
  <c r="O8" i="2"/>
  <c r="M8" i="2"/>
  <c r="S8" i="2" s="1"/>
  <c r="V8" i="2" s="1"/>
  <c r="C8" i="2"/>
  <c r="Q6" i="1"/>
  <c r="O6" i="1"/>
  <c r="S6" i="1" s="1"/>
  <c r="U6" i="1"/>
  <c r="T6" i="1"/>
  <c r="C6" i="1"/>
  <c r="R6" i="1"/>
  <c r="M6" i="1"/>
  <c r="I6" i="1"/>
  <c r="J7" i="1" s="1"/>
  <c r="O10" i="3"/>
  <c r="C10" i="3"/>
  <c r="M10" i="3"/>
  <c r="S10" i="3" s="1"/>
  <c r="R10" i="3"/>
  <c r="Q10" i="3"/>
  <c r="P10" i="3"/>
  <c r="P9" i="2"/>
  <c r="S6" i="6" l="1"/>
  <c r="F21" i="6"/>
  <c r="R6" i="6"/>
  <c r="U6" i="6"/>
  <c r="V6" i="6"/>
  <c r="C6" i="6"/>
  <c r="Q7" i="6"/>
  <c r="P7" i="6" s="1"/>
  <c r="L8" i="6"/>
  <c r="I8" i="6"/>
  <c r="J9" i="6" s="1"/>
  <c r="H9" i="6" s="1"/>
  <c r="J13" i="3"/>
  <c r="N12" i="3"/>
  <c r="T8" i="2"/>
  <c r="P11" i="3"/>
  <c r="M11" i="3"/>
  <c r="S11" i="3" s="1"/>
  <c r="C11" i="3"/>
  <c r="O11" i="3"/>
  <c r="Q11" i="3"/>
  <c r="R9" i="2"/>
  <c r="U9" i="2"/>
  <c r="O9" i="2"/>
  <c r="M9" i="2"/>
  <c r="S9" i="2" s="1"/>
  <c r="V9" i="2" s="1"/>
  <c r="Q9" i="2"/>
  <c r="C9" i="2"/>
  <c r="H11" i="2"/>
  <c r="I11" i="2" s="1"/>
  <c r="J12" i="2" s="1"/>
  <c r="P11" i="2"/>
  <c r="L11" i="2"/>
  <c r="P10" i="2"/>
  <c r="P7" i="1"/>
  <c r="H7" i="1"/>
  <c r="L7" i="1"/>
  <c r="T7" i="6" l="1"/>
  <c r="W7" i="6" s="1"/>
  <c r="T26" i="6"/>
  <c r="T6" i="6"/>
  <c r="W6" i="6" s="1"/>
  <c r="C7" i="6"/>
  <c r="R7" i="6"/>
  <c r="F22" i="6"/>
  <c r="S7" i="6"/>
  <c r="V7" i="6"/>
  <c r="Q8" i="6"/>
  <c r="P8" i="6" s="1"/>
  <c r="I9" i="6"/>
  <c r="J10" i="6" s="1"/>
  <c r="H10" i="6" s="1"/>
  <c r="L9" i="6"/>
  <c r="T9" i="2"/>
  <c r="R11" i="2"/>
  <c r="U11" i="2"/>
  <c r="C11" i="2"/>
  <c r="O11" i="2"/>
  <c r="T11" i="2" s="1"/>
  <c r="Q11" i="2"/>
  <c r="M11" i="2"/>
  <c r="R11" i="3"/>
  <c r="S7" i="1"/>
  <c r="V7" i="1" s="1"/>
  <c r="Q7" i="1"/>
  <c r="C7" i="1"/>
  <c r="M7" i="1"/>
  <c r="T7" i="1" s="1"/>
  <c r="U7" i="1"/>
  <c r="O7" i="1"/>
  <c r="R7" i="1"/>
  <c r="M12" i="3"/>
  <c r="S12" i="3" s="1"/>
  <c r="C12" i="3"/>
  <c r="P12" i="3"/>
  <c r="O12" i="3"/>
  <c r="Q12" i="3"/>
  <c r="O10" i="2"/>
  <c r="S10" i="2" s="1"/>
  <c r="V10" i="2" s="1"/>
  <c r="C10" i="2"/>
  <c r="U10" i="2"/>
  <c r="R10" i="2"/>
  <c r="Q10" i="2"/>
  <c r="M10" i="2"/>
  <c r="J14" i="3"/>
  <c r="N13" i="3"/>
  <c r="L12" i="2"/>
  <c r="H12" i="2"/>
  <c r="I12" i="2" s="1"/>
  <c r="J13" i="2" s="1"/>
  <c r="P12" i="2"/>
  <c r="I7" i="1"/>
  <c r="J8" i="1" s="1"/>
  <c r="U7" i="6" l="1"/>
  <c r="T27" i="6"/>
  <c r="Q9" i="6"/>
  <c r="P9" i="6" s="1"/>
  <c r="R8" i="6"/>
  <c r="C8" i="6"/>
  <c r="S8" i="6"/>
  <c r="T8" i="6"/>
  <c r="W8" i="6" s="1"/>
  <c r="V8" i="6"/>
  <c r="F23" i="6"/>
  <c r="I10" i="6"/>
  <c r="J11" i="6" s="1"/>
  <c r="H11" i="6" s="1"/>
  <c r="L10" i="6"/>
  <c r="L13" i="2"/>
  <c r="L14" i="2" s="1"/>
  <c r="H13" i="2"/>
  <c r="J14" i="2"/>
  <c r="R12" i="3"/>
  <c r="U12" i="2"/>
  <c r="M12" i="2"/>
  <c r="S12" i="2" s="1"/>
  <c r="V12" i="2" s="1"/>
  <c r="R12" i="2"/>
  <c r="Q12" i="2"/>
  <c r="C12" i="2"/>
  <c r="O12" i="2"/>
  <c r="T10" i="2"/>
  <c r="S11" i="2"/>
  <c r="V11" i="2" s="1"/>
  <c r="P13" i="3"/>
  <c r="R13" i="3"/>
  <c r="O13" i="3"/>
  <c r="M13" i="3"/>
  <c r="S13" i="3" s="1"/>
  <c r="C13" i="3"/>
  <c r="Q13" i="3"/>
  <c r="N14" i="3"/>
  <c r="J15" i="3"/>
  <c r="H8" i="1"/>
  <c r="I8" i="1" s="1"/>
  <c r="J9" i="1" s="1"/>
  <c r="L8" i="1"/>
  <c r="T28" i="6" l="1"/>
  <c r="S9" i="6"/>
  <c r="U8" i="6"/>
  <c r="V9" i="6"/>
  <c r="T9" i="6"/>
  <c r="W9" i="6" s="1"/>
  <c r="C9" i="6"/>
  <c r="F24" i="6"/>
  <c r="R9" i="6"/>
  <c r="Q10" i="6"/>
  <c r="P10" i="6" s="1"/>
  <c r="L11" i="6"/>
  <c r="I11" i="6"/>
  <c r="J12" i="6" s="1"/>
  <c r="H12" i="6" s="1"/>
  <c r="Q14" i="3"/>
  <c r="P14" i="3"/>
  <c r="O14" i="3"/>
  <c r="M14" i="3"/>
  <c r="S14" i="3" s="1"/>
  <c r="C14" i="3"/>
  <c r="I13" i="2"/>
  <c r="H14" i="2"/>
  <c r="L9" i="1"/>
  <c r="H9" i="1"/>
  <c r="I9" i="1" s="1"/>
  <c r="J10" i="1" s="1"/>
  <c r="P8" i="1"/>
  <c r="T12" i="2"/>
  <c r="N15" i="3"/>
  <c r="J16" i="3"/>
  <c r="P13" i="2"/>
  <c r="T29" i="6" l="1"/>
  <c r="R10" i="6"/>
  <c r="V10" i="6"/>
  <c r="U9" i="6"/>
  <c r="Q11" i="6"/>
  <c r="P11" i="6" s="1"/>
  <c r="S10" i="6"/>
  <c r="F25" i="6"/>
  <c r="C10" i="6"/>
  <c r="U10" i="6"/>
  <c r="L12" i="6"/>
  <c r="I12" i="6"/>
  <c r="J13" i="6" s="1"/>
  <c r="H13" i="6" s="1"/>
  <c r="R14" i="3"/>
  <c r="U8" i="1"/>
  <c r="Q8" i="1"/>
  <c r="C8" i="1"/>
  <c r="R8" i="1"/>
  <c r="O8" i="1"/>
  <c r="M8" i="1"/>
  <c r="S8" i="1" s="1"/>
  <c r="V8" i="1" s="1"/>
  <c r="M13" i="2"/>
  <c r="M14" i="2" s="1"/>
  <c r="Q13" i="2"/>
  <c r="C13" i="2"/>
  <c r="O13" i="2"/>
  <c r="O14" i="2" s="1"/>
  <c r="U13" i="2"/>
  <c r="U14" i="2" s="1"/>
  <c r="R13" i="2"/>
  <c r="P14" i="2"/>
  <c r="H10" i="1"/>
  <c r="I10" i="1" s="1"/>
  <c r="J11" i="1" s="1"/>
  <c r="P10" i="1"/>
  <c r="L10" i="1"/>
  <c r="P9" i="1"/>
  <c r="N16" i="3"/>
  <c r="J17" i="3"/>
  <c r="O15" i="3"/>
  <c r="M15" i="3"/>
  <c r="Q15" i="3"/>
  <c r="P15" i="3"/>
  <c r="C15" i="3"/>
  <c r="S15" i="3"/>
  <c r="R15" i="3"/>
  <c r="I14" i="2"/>
  <c r="T30" i="6" l="1"/>
  <c r="R11" i="6"/>
  <c r="T11" i="6"/>
  <c r="W11" i="6" s="1"/>
  <c r="S11" i="6"/>
  <c r="V11" i="6"/>
  <c r="F26" i="6"/>
  <c r="C11" i="6"/>
  <c r="T10" i="6"/>
  <c r="W10" i="6" s="1"/>
  <c r="Q13" i="6"/>
  <c r="P13" i="6" s="1"/>
  <c r="L13" i="6"/>
  <c r="L14" i="6" s="1"/>
  <c r="J14" i="6"/>
  <c r="Q12" i="6"/>
  <c r="P12" i="6" s="1"/>
  <c r="Q16" i="3"/>
  <c r="O16" i="3"/>
  <c r="C16" i="3"/>
  <c r="P16" i="3"/>
  <c r="M16" i="3"/>
  <c r="S16" i="3" s="1"/>
  <c r="L11" i="1"/>
  <c r="H11" i="1"/>
  <c r="I11" i="1" s="1"/>
  <c r="J12" i="1" s="1"/>
  <c r="T14" i="2"/>
  <c r="Q14" i="2"/>
  <c r="C39" i="2"/>
  <c r="E42" i="2" s="1"/>
  <c r="E44" i="2" s="1"/>
  <c r="R14" i="2"/>
  <c r="C14" i="2"/>
  <c r="C40" i="2"/>
  <c r="B40" i="2"/>
  <c r="T8" i="1"/>
  <c r="U9" i="1"/>
  <c r="O9" i="1"/>
  <c r="C9" i="1"/>
  <c r="M9" i="1"/>
  <c r="S9" i="1" s="1"/>
  <c r="V9" i="1" s="1"/>
  <c r="Q9" i="1"/>
  <c r="R9" i="1"/>
  <c r="M10" i="1"/>
  <c r="T10" i="1" s="1"/>
  <c r="R10" i="1"/>
  <c r="O10" i="1"/>
  <c r="S10" i="1" s="1"/>
  <c r="V10" i="1" s="1"/>
  <c r="U10" i="1"/>
  <c r="C10" i="1"/>
  <c r="Q10" i="1"/>
  <c r="S13" i="2"/>
  <c r="N17" i="3"/>
  <c r="J18" i="3"/>
  <c r="T13" i="2"/>
  <c r="T31" i="6" l="1"/>
  <c r="U11" i="6"/>
  <c r="C13" i="6"/>
  <c r="Q14" i="6"/>
  <c r="C39" i="6" s="1"/>
  <c r="F28" i="6"/>
  <c r="S13" i="6"/>
  <c r="R13" i="6"/>
  <c r="T13" i="6"/>
  <c r="W13" i="6" s="1"/>
  <c r="V13" i="6"/>
  <c r="R12" i="6"/>
  <c r="C12" i="6"/>
  <c r="F27" i="6"/>
  <c r="U12" i="6"/>
  <c r="V12" i="6"/>
  <c r="S12" i="6"/>
  <c r="I13" i="6"/>
  <c r="H14" i="6"/>
  <c r="T9" i="1"/>
  <c r="R16" i="3"/>
  <c r="V13" i="2"/>
  <c r="V14" i="2" s="1"/>
  <c r="S14" i="2"/>
  <c r="N18" i="3"/>
  <c r="J19" i="3"/>
  <c r="P12" i="1"/>
  <c r="L12" i="1"/>
  <c r="H12" i="1"/>
  <c r="I12" i="1" s="1"/>
  <c r="J13" i="1" s="1"/>
  <c r="P17" i="3"/>
  <c r="Q17" i="3"/>
  <c r="O17" i="3"/>
  <c r="M17" i="3"/>
  <c r="S17" i="3" s="1"/>
  <c r="C17" i="3"/>
  <c r="P11" i="1"/>
  <c r="D45" i="2"/>
  <c r="T33" i="6" l="1"/>
  <c r="V14" i="6"/>
  <c r="T32" i="6"/>
  <c r="T12" i="6"/>
  <c r="W12" i="6" s="1"/>
  <c r="W14" i="6" s="1"/>
  <c r="P14" i="6"/>
  <c r="B40" i="6" s="1"/>
  <c r="F29" i="6"/>
  <c r="I14" i="6"/>
  <c r="U13" i="6"/>
  <c r="S14" i="6"/>
  <c r="R14" i="6"/>
  <c r="C14" i="6"/>
  <c r="N19" i="3"/>
  <c r="J20" i="3"/>
  <c r="O18" i="3"/>
  <c r="C18" i="3"/>
  <c r="M18" i="3"/>
  <c r="Q18" i="3"/>
  <c r="R18" i="3" s="1"/>
  <c r="S18" i="3"/>
  <c r="P18" i="3"/>
  <c r="R17" i="3"/>
  <c r="C12" i="1"/>
  <c r="O12" i="1"/>
  <c r="U12" i="1"/>
  <c r="Q12" i="1"/>
  <c r="M12" i="1"/>
  <c r="S12" i="1" s="1"/>
  <c r="V12" i="1" s="1"/>
  <c r="R12" i="1"/>
  <c r="O11" i="1"/>
  <c r="U11" i="1"/>
  <c r="R11" i="1"/>
  <c r="C11" i="1"/>
  <c r="M11" i="1"/>
  <c r="T11" i="1" s="1"/>
  <c r="Q11" i="1"/>
  <c r="H13" i="1"/>
  <c r="P13" i="1"/>
  <c r="L13" i="1"/>
  <c r="L14" i="1" s="1"/>
  <c r="J14" i="1"/>
  <c r="C40" i="6" l="1"/>
  <c r="E42" i="6" s="1"/>
  <c r="E44" i="6" s="1"/>
  <c r="U14" i="6"/>
  <c r="T14" i="6"/>
  <c r="T12" i="1"/>
  <c r="S11" i="1"/>
  <c r="V11" i="1" s="1"/>
  <c r="J21" i="3"/>
  <c r="N20" i="3"/>
  <c r="Q13" i="1"/>
  <c r="R13" i="1"/>
  <c r="M13" i="1"/>
  <c r="M14" i="1" s="1"/>
  <c r="B40" i="1" s="1"/>
  <c r="U13" i="1"/>
  <c r="U14" i="1" s="1"/>
  <c r="O13" i="1"/>
  <c r="O14" i="1" s="1"/>
  <c r="C40" i="1" s="1"/>
  <c r="T13" i="1"/>
  <c r="S13" i="1"/>
  <c r="C13" i="1"/>
  <c r="P14" i="1"/>
  <c r="I13" i="1"/>
  <c r="H14" i="1"/>
  <c r="P19" i="3"/>
  <c r="M19" i="3"/>
  <c r="R19" i="3" s="1"/>
  <c r="C19" i="3"/>
  <c r="Q19" i="3"/>
  <c r="O19" i="3"/>
  <c r="S19" i="3"/>
  <c r="D45" i="6" l="1"/>
  <c r="M20" i="3"/>
  <c r="C20" i="3"/>
  <c r="Q20" i="3"/>
  <c r="S20" i="3" s="1"/>
  <c r="P20" i="3"/>
  <c r="O20" i="3"/>
  <c r="V13" i="1"/>
  <c r="V14" i="1" s="1"/>
  <c r="S14" i="1"/>
  <c r="T14" i="1"/>
  <c r="R14" i="1"/>
  <c r="Q14" i="1"/>
  <c r="C39" i="1"/>
  <c r="E42" i="1" s="1"/>
  <c r="E44" i="1" s="1"/>
  <c r="C14" i="1"/>
  <c r="N21" i="3"/>
  <c r="J22" i="3"/>
  <c r="I14" i="1"/>
  <c r="R20" i="3" l="1"/>
  <c r="P21" i="3"/>
  <c r="O21" i="3"/>
  <c r="Q21" i="3"/>
  <c r="M21" i="3"/>
  <c r="R21" i="3" s="1"/>
  <c r="C21" i="3"/>
  <c r="N22" i="3"/>
  <c r="J23" i="3"/>
  <c r="D45" i="1"/>
  <c r="S22" i="3" l="1"/>
  <c r="Q22" i="3"/>
  <c r="P22" i="3"/>
  <c r="O22" i="3"/>
  <c r="M22" i="3"/>
  <c r="R22" i="3"/>
  <c r="C22" i="3"/>
  <c r="S21" i="3"/>
  <c r="J24" i="3"/>
  <c r="N23" i="3"/>
  <c r="N24" i="3" l="1"/>
  <c r="J25" i="3"/>
  <c r="O23" i="3"/>
  <c r="M23" i="3"/>
  <c r="R23" i="3" s="1"/>
  <c r="Q23" i="3"/>
  <c r="P23" i="3"/>
  <c r="C23" i="3"/>
  <c r="S23" i="3"/>
  <c r="N25" i="3" l="1"/>
  <c r="J26" i="3"/>
  <c r="Q24" i="3"/>
  <c r="O24" i="3"/>
  <c r="C24" i="3"/>
  <c r="P24" i="3"/>
  <c r="M24" i="3"/>
  <c r="S24" i="3" s="1"/>
  <c r="P25" i="3" l="1"/>
  <c r="Q25" i="3"/>
  <c r="O25" i="3"/>
  <c r="M25" i="3"/>
  <c r="R25" i="3" s="1"/>
  <c r="C25" i="3"/>
  <c r="R24" i="3"/>
  <c r="N26" i="3"/>
  <c r="J27" i="3"/>
  <c r="N27" i="3" l="1"/>
  <c r="J28" i="3"/>
  <c r="S25" i="3"/>
  <c r="O26" i="3"/>
  <c r="C26" i="3"/>
  <c r="M26" i="3"/>
  <c r="S26" i="3" s="1"/>
  <c r="Q26" i="3"/>
  <c r="R26" i="3" s="1"/>
  <c r="P26" i="3"/>
  <c r="J29" i="3" l="1"/>
  <c r="N28" i="3"/>
  <c r="P27" i="3"/>
  <c r="M27" i="3"/>
  <c r="S27" i="3" s="1"/>
  <c r="C27" i="3"/>
  <c r="Q27" i="3"/>
  <c r="O27" i="3"/>
  <c r="R27" i="3" l="1"/>
  <c r="M28" i="3"/>
  <c r="C28" i="3"/>
  <c r="Q28" i="3"/>
  <c r="R28" i="3" s="1"/>
  <c r="P28" i="3"/>
  <c r="O28" i="3"/>
  <c r="N29" i="3"/>
  <c r="J30" i="3"/>
  <c r="P29" i="3" l="1"/>
  <c r="Q29" i="3"/>
  <c r="C29" i="3"/>
  <c r="O29" i="3"/>
  <c r="M29" i="3"/>
  <c r="S29" i="3" s="1"/>
  <c r="S28" i="3"/>
  <c r="N30" i="3"/>
  <c r="J31" i="3"/>
  <c r="R29" i="3" l="1"/>
  <c r="Q30" i="3"/>
  <c r="P30" i="3"/>
  <c r="O30" i="3"/>
  <c r="M30" i="3"/>
  <c r="S30" i="3" s="1"/>
  <c r="R30" i="3"/>
  <c r="C30" i="3"/>
  <c r="N31" i="3"/>
  <c r="J32" i="3"/>
  <c r="N32" i="3" l="1"/>
  <c r="J33" i="3"/>
  <c r="O31" i="3"/>
  <c r="M31" i="3"/>
  <c r="R31" i="3" s="1"/>
  <c r="C31" i="3"/>
  <c r="Q31" i="3"/>
  <c r="S31" i="3" s="1"/>
  <c r="P31" i="3"/>
  <c r="N33" i="3" l="1"/>
  <c r="J34" i="3"/>
  <c r="M32" i="3"/>
  <c r="Q32" i="3"/>
  <c r="O32" i="3"/>
  <c r="C32" i="3"/>
  <c r="R32" i="3"/>
  <c r="P32" i="3"/>
  <c r="S32" i="3"/>
  <c r="N34" i="3" l="1"/>
  <c r="J35" i="3"/>
  <c r="N35" i="3" s="1"/>
  <c r="P33" i="3"/>
  <c r="M33" i="3"/>
  <c r="R33" i="3" s="1"/>
  <c r="Q33" i="3"/>
  <c r="S33" i="3" s="1"/>
  <c r="O33" i="3"/>
  <c r="C33" i="3"/>
  <c r="O34" i="3" l="1"/>
  <c r="C34" i="3"/>
  <c r="M34" i="3"/>
  <c r="S34" i="3" s="1"/>
  <c r="P34" i="3"/>
  <c r="Q34" i="3"/>
  <c r="R34" i="3" s="1"/>
  <c r="R35" i="3"/>
  <c r="P35" i="3"/>
  <c r="C35" i="3"/>
  <c r="Q35" i="3"/>
  <c r="O35" i="3"/>
  <c r="M35" i="3"/>
  <c r="S35" i="3" s="1"/>
</calcChain>
</file>

<file path=xl/sharedStrings.xml><?xml version="1.0" encoding="utf-8"?>
<sst xmlns="http://schemas.openxmlformats.org/spreadsheetml/2006/main" count="250" uniqueCount="82">
  <si>
    <t>広告費</t>
  </si>
  <si>
    <t>広告比率</t>
  </si>
  <si>
    <t>クリック単価</t>
  </si>
  <si>
    <t>クリック数</t>
  </si>
  <si>
    <t>コンバージョン率</t>
  </si>
  <si>
    <t>販売数</t>
  </si>
  <si>
    <t>リピート率</t>
  </si>
  <si>
    <t>新規リピート数</t>
  </si>
  <si>
    <t>総リピート数</t>
  </si>
  <si>
    <t>値段</t>
  </si>
  <si>
    <t>商品原価</t>
  </si>
  <si>
    <t>人件費</t>
  </si>
  <si>
    <t>売上</t>
  </si>
  <si>
    <t>売上総利益(粗利)</t>
  </si>
  <si>
    <t>売上総利益率(粗利)</t>
  </si>
  <si>
    <t>GACKTさん報酬</t>
  </si>
  <si>
    <t>営業利益</t>
  </si>
  <si>
    <t>営業利益率</t>
  </si>
  <si>
    <t>初月</t>
  </si>
  <si>
    <t>2ヶ月目</t>
  </si>
  <si>
    <t>3ヶ月目</t>
  </si>
  <si>
    <t>4ヶ月目</t>
  </si>
  <si>
    <t>5ヶ月目</t>
  </si>
  <si>
    <t>6ヶ月目</t>
  </si>
  <si>
    <t>外注費</t>
  </si>
  <si>
    <t>販管費</t>
  </si>
  <si>
    <t>GACKTさん報酬(売上5%</t>
  </si>
  <si>
    <t>GACKTさん報酬(利益率25%</t>
  </si>
  <si>
    <t>7ヶ月目</t>
  </si>
  <si>
    <t>8ヶ月目</t>
  </si>
  <si>
    <t>9ヶ月目</t>
  </si>
  <si>
    <t>10ヶ月目</t>
  </si>
  <si>
    <t>11ヶ月目</t>
  </si>
  <si>
    <t>12ヶ月目</t>
  </si>
  <si>
    <t>13ヶ月目</t>
  </si>
  <si>
    <t>14ヶ月目</t>
  </si>
  <si>
    <t>15ヶ月目</t>
  </si>
  <si>
    <t>16ヶ月目</t>
  </si>
  <si>
    <t>17ヶ月目</t>
  </si>
  <si>
    <t>18ヶ月目</t>
  </si>
  <si>
    <t>19ヶ月目</t>
  </si>
  <si>
    <t>20ヶ月目</t>
  </si>
  <si>
    <t>21ヶ月目</t>
  </si>
  <si>
    <t>22ヶ月目</t>
  </si>
  <si>
    <t>合計</t>
  </si>
  <si>
    <t>23ヶ月目</t>
  </si>
  <si>
    <t>24ヶ月目</t>
  </si>
  <si>
    <t>KPI</t>
  </si>
  <si>
    <t>25ヶ月目</t>
  </si>
  <si>
    <t>毎月</t>
  </si>
  <si>
    <t>売上高</t>
  </si>
  <si>
    <t>26ヶ月目</t>
  </si>
  <si>
    <t>27ヶ月目</t>
  </si>
  <si>
    <t>28ヶ月目</t>
  </si>
  <si>
    <t>29ヶ月目</t>
  </si>
  <si>
    <t>30ヶ月目</t>
  </si>
  <si>
    <t>31ヶ月目</t>
  </si>
  <si>
    <t>32ヶ月目</t>
  </si>
  <si>
    <t>33ヶ月目</t>
  </si>
  <si>
    <t>34ヶ月目</t>
  </si>
  <si>
    <t>利益率</t>
  </si>
  <si>
    <t>1月</t>
  </si>
  <si>
    <t>2月</t>
  </si>
  <si>
    <t>リピート数</t>
  </si>
  <si>
    <t>年売上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</si>
  <si>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</si>
  <si>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</si>
  <si>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</si>
  <si>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</si>
  <si>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</si>
  <si>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</si>
  <si>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</si>
  <si>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</si>
  <si>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</si>
  <si>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</si>
  <si>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Cv率</t>
    <phoneticPr fontId="9"/>
  </si>
  <si>
    <t>CL単価</t>
    <phoneticPr fontId="9"/>
  </si>
  <si>
    <t>CL数</t>
    <phoneticPr fontId="9"/>
  </si>
  <si>
    <t>リピート率</t>
    <phoneticPr fontId="9"/>
  </si>
  <si>
    <t>家賃/その他経費</t>
    <rPh sb="0" eb="2">
      <t>ヤチン</t>
    </rPh>
    <rPh sb="5" eb="6">
      <t>タ</t>
    </rPh>
    <rPh sb="6" eb="8">
      <t>ケイヒ</t>
    </rPh>
    <phoneticPr fontId="9"/>
  </si>
  <si>
    <t>人件費/福利厚生費等</t>
    <rPh sb="0" eb="3">
      <t>ジンケンヒ</t>
    </rPh>
    <rPh sb="4" eb="6">
      <t>フクリ</t>
    </rPh>
    <rPh sb="6" eb="9">
      <t>コウセイヒ</t>
    </rPh>
    <rPh sb="9" eb="10">
      <t>ナド</t>
    </rPh>
    <phoneticPr fontId="9"/>
  </si>
  <si>
    <t>外注費/顧問料等</t>
    <rPh sb="0" eb="3">
      <t>ガイチュウヒ</t>
    </rPh>
    <rPh sb="4" eb="6">
      <t>コモン</t>
    </rPh>
    <rPh sb="6" eb="7">
      <t>リョウ</t>
    </rPh>
    <rPh sb="7" eb="8">
      <t>ナド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</si>
</sst>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;\(#,##0\)"/>
    <numFmt numFmtId="177" formatCode="0.0%"/>
    <numFmt numFmtId="178" formatCode="#,##0[$円]"/>
  </numFmts>
  <fonts count="1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Inconsolata"/>
    </font>
    <font>
      <b/>
      <sz val="12"/>
      <color rgb="FFFFFFFF"/>
      <name val="Helvetica"/>
    </font>
    <font>
      <sz val="12"/>
      <color rgb="FF775454"/>
      <name val="Helvetica"/>
    </font>
    <font>
      <sz val="12"/>
      <color rgb="FFFA5882"/>
      <name val="Helvetica"/>
    </font>
    <font>
      <sz val="12"/>
      <color rgb="FF434343"/>
      <name val="Arial"/>
      <family val="2"/>
    </font>
    <font>
      <sz val="12"/>
      <color rgb="FF434343"/>
      <name val="Arial"/>
      <family val="2"/>
    </font>
    <font>
      <sz val="10"/>
      <color rgb="FF000000"/>
      <name val="Helvetica"/>
    </font>
    <font>
      <sz val="6"/>
      <name val="ＭＳ Ｐゴシック"/>
      <family val="3"/>
      <charset val="128"/>
    </font>
    <font>
      <sz val="12"/>
      <color rgb="FF43434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</fills>
  <borders count="2">
    <border>
      <left/>
      <right/>
      <top/>
      <bottom/>
      <diagonal/>
    </border>
    <border>
      <left style="medium">
        <color rgb="FF5B95F9"/>
      </left>
      <right style="medium">
        <color rgb="FF5B95F9"/>
      </right>
      <top style="medium">
        <color rgb="FF5B95F9"/>
      </top>
      <bottom style="medium">
        <color rgb="FF5B95F9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4" fontId="1" fillId="2" borderId="0" xfId="0" applyNumberFormat="1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177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10" fontId="2" fillId="2" borderId="0" xfId="0" applyNumberFormat="1" applyFont="1" applyFill="1"/>
    <xf numFmtId="176" fontId="2" fillId="2" borderId="0" xfId="0" applyNumberFormat="1" applyFont="1" applyFill="1"/>
    <xf numFmtId="9" fontId="2" fillId="2" borderId="0" xfId="0" applyNumberFormat="1" applyFont="1" applyFill="1"/>
    <xf numFmtId="0" fontId="1" fillId="2" borderId="0" xfId="0" applyFont="1" applyFill="1" applyAlignment="1">
      <alignment horizontal="right"/>
    </xf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0" fontId="1" fillId="2" borderId="0" xfId="0" applyFont="1" applyFill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4" fontId="6" fillId="0" borderId="0" xfId="0" applyNumberFormat="1" applyFont="1" applyAlignment="1"/>
    <xf numFmtId="4" fontId="6" fillId="0" borderId="0" xfId="0" applyNumberFormat="1" applyFont="1" applyAlignment="1"/>
    <xf numFmtId="0" fontId="7" fillId="0" borderId="0" xfId="0" applyFont="1" applyAlignment="1"/>
    <xf numFmtId="0" fontId="6" fillId="2" borderId="0" xfId="0" applyFont="1" applyFill="1" applyAlignment="1"/>
    <xf numFmtId="0" fontId="6" fillId="0" borderId="0" xfId="0" applyFont="1"/>
    <xf numFmtId="0" fontId="6" fillId="2" borderId="0" xfId="0" applyFont="1" applyFill="1"/>
    <xf numFmtId="0" fontId="6" fillId="0" borderId="0" xfId="0" applyFont="1" applyAlignment="1">
      <alignment horizontal="right"/>
    </xf>
    <xf numFmtId="176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76" fontId="7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176" fontId="2" fillId="0" borderId="0" xfId="0" applyNumberFormat="1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 wrapText="1"/>
    </xf>
    <xf numFmtId="177" fontId="7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176" fontId="1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9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77" fontId="1" fillId="2" borderId="0" xfId="0" applyNumberFormat="1" applyFont="1" applyFill="1" applyAlignment="1">
      <alignment horizontal="right"/>
    </xf>
    <xf numFmtId="10" fontId="2" fillId="2" borderId="0" xfId="0" applyNumberFormat="1" applyFont="1" applyFill="1" applyAlignment="1">
      <alignment horizontal="right"/>
    </xf>
    <xf numFmtId="176" fontId="2" fillId="2" borderId="0" xfId="0" applyNumberFormat="1" applyFont="1" applyFill="1" applyAlignment="1">
      <alignment horizontal="right"/>
    </xf>
    <xf numFmtId="9" fontId="2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/>
    <xf numFmtId="0" fontId="5" fillId="2" borderId="0" xfId="0" applyFont="1" applyFill="1" applyAlignment="1">
      <alignment wrapText="1"/>
    </xf>
    <xf numFmtId="0" fontId="6" fillId="3" borderId="0" xfId="0" applyFont="1" applyFill="1" applyAlignment="1">
      <alignment horizontal="right"/>
    </xf>
    <xf numFmtId="176" fontId="6" fillId="0" borderId="1" xfId="0" applyNumberFormat="1" applyFont="1" applyBorder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76" fontId="6" fillId="2" borderId="0" xfId="0" applyNumberFormat="1" applyFont="1" applyFill="1"/>
    <xf numFmtId="0" fontId="6" fillId="3" borderId="0" xfId="0" applyFont="1" applyFill="1" applyAlignment="1"/>
    <xf numFmtId="0" fontId="6" fillId="2" borderId="0" xfId="0" applyFont="1" applyFill="1" applyAlignment="1"/>
    <xf numFmtId="0" fontId="6" fillId="3" borderId="0" xfId="0" applyFont="1" applyFill="1" applyAlignment="1"/>
    <xf numFmtId="178" fontId="6" fillId="3" borderId="0" xfId="0" applyNumberFormat="1" applyFont="1" applyFill="1" applyAlignment="1"/>
    <xf numFmtId="0" fontId="6" fillId="0" borderId="0" xfId="0" applyFont="1" applyAlignment="1"/>
    <xf numFmtId="9" fontId="6" fillId="2" borderId="0" xfId="0" applyNumberFormat="1" applyFont="1" applyFill="1" applyAlignment="1"/>
    <xf numFmtId="0" fontId="6" fillId="2" borderId="0" xfId="0" applyFont="1" applyFill="1" applyAlignment="1">
      <alignment horizontal="right"/>
    </xf>
    <xf numFmtId="178" fontId="6" fillId="0" borderId="0" xfId="0" applyNumberFormat="1" applyFont="1" applyAlignment="1">
      <alignment horizontal="right"/>
    </xf>
    <xf numFmtId="9" fontId="6" fillId="2" borderId="0" xfId="0" applyNumberFormat="1" applyFont="1" applyFill="1" applyAlignment="1">
      <alignment horizontal="right"/>
    </xf>
    <xf numFmtId="176" fontId="7" fillId="0" borderId="0" xfId="0" applyNumberFormat="1" applyFont="1" applyAlignment="1">
      <alignment horizontal="right"/>
    </xf>
    <xf numFmtId="0" fontId="6" fillId="0" borderId="0" xfId="0" applyFont="1" applyAlignment="1"/>
    <xf numFmtId="0" fontId="6" fillId="4" borderId="0" xfId="0" applyFont="1" applyFill="1" applyAlignment="1">
      <alignment horizontal="right"/>
    </xf>
    <xf numFmtId="0" fontId="6" fillId="2" borderId="0" xfId="0" applyFont="1" applyFill="1" applyAlignment="1"/>
    <xf numFmtId="0" fontId="6" fillId="2" borderId="0" xfId="0" applyFont="1" applyFill="1" applyAlignment="1"/>
    <xf numFmtId="178" fontId="6" fillId="2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178" fontId="6" fillId="0" borderId="0" xfId="0" applyNumberFormat="1" applyFont="1" applyAlignment="1">
      <alignment horizontal="right"/>
    </xf>
    <xf numFmtId="177" fontId="6" fillId="2" borderId="0" xfId="0" applyNumberFormat="1" applyFont="1" applyFill="1" applyAlignment="1">
      <alignment horizontal="right"/>
    </xf>
    <xf numFmtId="178" fontId="1" fillId="2" borderId="0" xfId="0" applyNumberFormat="1" applyFont="1" applyFill="1" applyAlignment="1">
      <alignment horizontal="right"/>
    </xf>
    <xf numFmtId="178" fontId="8" fillId="2" borderId="0" xfId="0" applyNumberFormat="1" applyFont="1" applyFill="1" applyAlignment="1">
      <alignment horizontal="right"/>
    </xf>
    <xf numFmtId="176" fontId="6" fillId="0" borderId="0" xfId="0" applyNumberFormat="1" applyFont="1"/>
    <xf numFmtId="10" fontId="6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4" fontId="6" fillId="0" borderId="0" xfId="0" applyNumberFormat="1" applyFont="1"/>
    <xf numFmtId="0" fontId="0" fillId="0" borderId="0" xfId="0"/>
    <xf numFmtId="0" fontId="6" fillId="3" borderId="0" xfId="0" applyFont="1" applyFill="1"/>
    <xf numFmtId="178" fontId="6" fillId="3" borderId="0" xfId="0" applyNumberFormat="1" applyFont="1" applyFill="1"/>
    <xf numFmtId="9" fontId="6" fillId="2" borderId="0" xfId="0" applyNumberFormat="1" applyFont="1" applyFill="1"/>
    <xf numFmtId="0" fontId="10" fillId="0" borderId="0" xfId="0" applyFont="1"/>
  </cellXfs>
  <cellStyles count="1">
    <cellStyle name="標準" xfId="0" builtinId="0"/>
  </cellStyles>
  <dxfs count="2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7">
    <tableStyle name="メイン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メイン-style 2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ver.4月8日-style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ver.4月8日-style 2" pivot="0" count="3" xr9:uid="{00000000-0011-0000-FFFF-FFFF03000000}">
      <tableStyleElement type="headerRow" dxfId="12"/>
      <tableStyleElement type="firstRowStripe" dxfId="11"/>
      <tableStyleElement type="secondRowStripe" dxfId="10"/>
    </tableStyle>
    <tableStyle name="原本-style" pivot="0" count="3" xr9:uid="{00000000-0011-0000-FFFF-FFFF04000000}">
      <tableStyleElement type="headerRow" dxfId="9"/>
      <tableStyleElement type="firstRowStripe" dxfId="8"/>
      <tableStyleElement type="secondRowStripe" dxfId="7"/>
    </tableStyle>
    <tableStyle name="原本-style 2" pivot="0" count="3" xr9:uid="{00000000-0011-0000-FFFF-FFFF05000000}">
      <tableStyleElement type="headerRow" dxfId="6"/>
      <tableStyleElement type="firstRowStripe" dxfId="5"/>
      <tableStyleElement type="secondRowStripe" dxfId="4"/>
    </tableStyle>
    <tableStyle name="テスト-style" pivot="0" count="4" xr9:uid="{00000000-0011-0000-FFFF-FFFF06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18:AA20" headerRowCount="0">
  <tableColumns count="2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</tableColumns>
  <tableStyleInfo name="メイン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X15" headerRowCount="0">
  <tableColumns count="2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</tableColumns>
  <tableStyleInfo name="メイン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18:AA20" headerRowCount="0">
  <tableColumns count="2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</tableColumns>
  <tableStyleInfo name="ver.4月8日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X15" headerRowCount="0">
  <tableColumns count="2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</tableColumns>
  <tableStyleInfo name="ver.4月8日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_7" displayName="Table_7" ref="A1:AE1000" headerRowCount="0">
  <tableColumns count="3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</tableColumns>
  <tableStyleInfo name="テスト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_5" displayName="Table_5" ref="F18:R20" headerRowCount="0">
  <tableColumns count="13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</tableColumns>
  <tableStyleInfo name="原本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_6" displayName="Table_6" ref="A1:I12">
  <tableColumns count="9">
    <tableColumn id="1" xr3:uid="{00000000-0010-0000-0600-000001000000}" name="広告費"/>
    <tableColumn id="2" xr3:uid="{00000000-0010-0000-0600-000002000000}" name="クリック単価"/>
    <tableColumn id="3" xr3:uid="{00000000-0010-0000-0600-000003000000}" name="クリック数"/>
    <tableColumn id="4" xr3:uid="{00000000-0010-0000-0600-000004000000}" name="値段"/>
    <tableColumn id="5" xr3:uid="{00000000-0010-0000-0600-000005000000}" name="コンバージョン率"/>
    <tableColumn id="6" xr3:uid="{00000000-0010-0000-0600-000006000000}" name="販売数"/>
    <tableColumn id="7" xr3:uid="{00000000-0010-0000-0600-000007000000}" name="リピート率"/>
    <tableColumn id="8" xr3:uid="{00000000-0010-0000-0600-000008000000}" name="リピート数"/>
    <tableColumn id="9" xr3:uid="{00000000-0010-0000-0600-000009000000}" name="売上"/>
  </tableColumns>
  <tableStyleInfo name="原本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workbookViewId="0"/>
  </sheetViews>
  <sheetFormatPr defaultColWidth="14.42578125" defaultRowHeight="15.75" customHeight="1"/>
  <cols>
    <col min="2" max="2" width="16" customWidth="1"/>
    <col min="4" max="4" width="15.42578125" customWidth="1"/>
    <col min="6" max="6" width="19.5703125" customWidth="1"/>
    <col min="8" max="8" width="17.28515625" customWidth="1"/>
    <col min="16" max="16" width="17.140625" customWidth="1"/>
    <col min="17" max="17" width="19.28515625" customWidth="1"/>
    <col min="18" max="18" width="21.42578125" customWidth="1"/>
    <col min="21" max="21" width="27.42578125" customWidth="1"/>
    <col min="22" max="22" width="31.5703125" customWidth="1"/>
    <col min="23" max="23" width="15.85546875" customWidth="1"/>
    <col min="27" max="27" width="21.7109375" customWidth="1"/>
  </cols>
  <sheetData>
    <row r="1" spans="1:34" ht="20.25" customHeight="1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2" t="s">
        <v>6</v>
      </c>
      <c r="H1" s="23" t="s">
        <v>7</v>
      </c>
      <c r="I1" s="23" t="s">
        <v>8</v>
      </c>
      <c r="J1" s="22" t="s">
        <v>5</v>
      </c>
      <c r="K1" s="20" t="s">
        <v>9</v>
      </c>
      <c r="L1" s="23" t="s">
        <v>10</v>
      </c>
      <c r="M1" s="20" t="s">
        <v>11</v>
      </c>
      <c r="N1" s="24" t="s">
        <v>24</v>
      </c>
      <c r="O1" s="20" t="s">
        <v>25</v>
      </c>
      <c r="P1" s="20" t="s">
        <v>12</v>
      </c>
      <c r="Q1" s="20" t="s">
        <v>13</v>
      </c>
      <c r="R1" s="20" t="s">
        <v>14</v>
      </c>
      <c r="S1" s="25" t="s">
        <v>16</v>
      </c>
      <c r="T1" s="25" t="s">
        <v>17</v>
      </c>
      <c r="U1" s="20" t="s">
        <v>26</v>
      </c>
      <c r="V1" s="20" t="s">
        <v>27</v>
      </c>
      <c r="W1" s="25"/>
      <c r="X1" s="25"/>
      <c r="Y1" s="26"/>
      <c r="Z1" s="26"/>
      <c r="AA1" s="27"/>
      <c r="AB1" s="26"/>
      <c r="AC1" s="26"/>
      <c r="AD1" s="26"/>
      <c r="AE1" s="26"/>
      <c r="AF1" s="26"/>
      <c r="AG1" s="26"/>
      <c r="AH1" s="26"/>
    </row>
    <row r="2" spans="1:34" ht="20.25" customHeight="1">
      <c r="A2" s="28" t="s">
        <v>18</v>
      </c>
      <c r="B2" s="29">
        <v>10000000</v>
      </c>
      <c r="C2" s="30">
        <f t="shared" ref="C2:C14" si="0">SUM(B2/P2)</f>
        <v>2.4489795918367347</v>
      </c>
      <c r="D2" s="28">
        <v>120</v>
      </c>
      <c r="E2" s="31">
        <f t="shared" ref="E2:E13" si="1">SUM(B2/D2)</f>
        <v>83333.333333333328</v>
      </c>
      <c r="F2" s="32">
        <v>5.0000000000000001E-3</v>
      </c>
      <c r="G2" s="33">
        <v>0.05</v>
      </c>
      <c r="H2" s="31">
        <f t="shared" ref="H2:H13" si="2">SUM(J2*G2)</f>
        <v>20.833333333333332</v>
      </c>
      <c r="I2" s="34">
        <f>SUM(J2*G2)</f>
        <v>20.833333333333332</v>
      </c>
      <c r="J2" s="31">
        <f>SUM(E2*F2)</f>
        <v>416.66666666666663</v>
      </c>
      <c r="K2" s="29">
        <v>9800</v>
      </c>
      <c r="L2" s="31">
        <f t="shared" ref="L2:L13" si="3">SUM((K2*0.15)*J2)</f>
        <v>612500</v>
      </c>
      <c r="M2" s="35"/>
      <c r="N2" s="31"/>
      <c r="O2" s="31">
        <f t="shared" ref="O2:O8" si="4">SUM(P2*0.07)</f>
        <v>285833.33333333331</v>
      </c>
      <c r="P2" s="31">
        <f>SUM(J2*K2)</f>
        <v>4083333.333333333</v>
      </c>
      <c r="Q2" s="31">
        <f t="shared" ref="Q2:Q14" si="5">SUM((P2-B2)-L2)</f>
        <v>-6529166.666666667</v>
      </c>
      <c r="R2" s="36">
        <f t="shared" ref="R2:R14" si="6">SUM(P2/(B2+L2)-1)</f>
        <v>-0.61523360816647044</v>
      </c>
      <c r="S2" s="37">
        <f t="shared" ref="S2:S13" si="7">SUM(P2-(B2+L2+M2+O2))</f>
        <v>-6815000.0000000009</v>
      </c>
      <c r="T2" s="38">
        <f t="shared" ref="T2:T14" si="8">SUM((P2-(B2+L2+M2+O2))/P2)</f>
        <v>-1.6689795918367349</v>
      </c>
      <c r="U2" s="31">
        <f t="shared" ref="U2:U13" si="9">SUM(P2*0.05)</f>
        <v>204166.66666666666</v>
      </c>
      <c r="V2" s="39">
        <v>0</v>
      </c>
      <c r="W2" s="40"/>
      <c r="X2" s="40"/>
      <c r="Y2" s="41"/>
      <c r="Z2" s="41"/>
      <c r="AA2" s="42"/>
      <c r="AB2" s="41"/>
      <c r="AC2" s="41"/>
      <c r="AD2" s="41"/>
      <c r="AE2" s="41"/>
      <c r="AF2" s="41"/>
      <c r="AG2" s="41"/>
      <c r="AH2" s="41"/>
    </row>
    <row r="3" spans="1:34" ht="20.25" customHeight="1">
      <c r="A3" s="28" t="s">
        <v>19</v>
      </c>
      <c r="B3" s="29">
        <v>15000000</v>
      </c>
      <c r="C3" s="30">
        <f t="shared" si="0"/>
        <v>1.1533293735691508</v>
      </c>
      <c r="D3" s="28">
        <v>100</v>
      </c>
      <c r="E3" s="31">
        <f t="shared" si="1"/>
        <v>150000</v>
      </c>
      <c r="F3" s="32">
        <v>8.0000000000000002E-3</v>
      </c>
      <c r="G3" s="33">
        <v>7.0000000000000007E-2</v>
      </c>
      <c r="H3" s="31">
        <f t="shared" si="2"/>
        <v>85.458333333333343</v>
      </c>
      <c r="I3" s="34">
        <f t="shared" ref="I3:I14" si="10">SUM(H3+I2)</f>
        <v>106.29166666666667</v>
      </c>
      <c r="J3" s="31">
        <f t="shared" ref="J3:J13" si="11">SUM((E3*F3)+I2)</f>
        <v>1220.8333333333333</v>
      </c>
      <c r="K3" s="29">
        <v>9800</v>
      </c>
      <c r="L3" s="31">
        <f t="shared" si="3"/>
        <v>1794625</v>
      </c>
      <c r="M3" s="31">
        <f t="shared" ref="M3:M13" si="12">SUM(P3*0.2)</f>
        <v>2601165</v>
      </c>
      <c r="N3" s="43">
        <f>SUM(P3*0.2)</f>
        <v>2601165</v>
      </c>
      <c r="O3" s="31">
        <f t="shared" si="4"/>
        <v>910407.75000000012</v>
      </c>
      <c r="P3" s="31">
        <f>SUM((J3*K3)+(I3*K3))</f>
        <v>13005825</v>
      </c>
      <c r="Q3" s="31">
        <f t="shared" si="5"/>
        <v>-3788800</v>
      </c>
      <c r="R3" s="36">
        <f t="shared" si="6"/>
        <v>-0.22559598681125659</v>
      </c>
      <c r="S3" s="37">
        <f t="shared" si="7"/>
        <v>-7300372.75</v>
      </c>
      <c r="T3" s="38">
        <f t="shared" si="8"/>
        <v>-0.56131562203858654</v>
      </c>
      <c r="U3" s="31">
        <f t="shared" si="9"/>
        <v>650291.25</v>
      </c>
      <c r="V3" s="39">
        <v>0</v>
      </c>
      <c r="W3" s="44"/>
      <c r="X3" s="45"/>
      <c r="Y3" s="41"/>
      <c r="Z3" s="41"/>
      <c r="AA3" s="46"/>
      <c r="AB3" s="41"/>
      <c r="AC3" s="41"/>
      <c r="AD3" s="41"/>
      <c r="AE3" s="41"/>
      <c r="AF3" s="41"/>
      <c r="AG3" s="41"/>
      <c r="AH3" s="41"/>
    </row>
    <row r="4" spans="1:34" ht="20.25" customHeight="1">
      <c r="A4" s="28" t="s">
        <v>20</v>
      </c>
      <c r="B4" s="29">
        <v>25000000</v>
      </c>
      <c r="C4" s="30">
        <f t="shared" si="0"/>
        <v>0.91475994535626592</v>
      </c>
      <c r="D4" s="28">
        <v>100</v>
      </c>
      <c r="E4" s="31">
        <f t="shared" si="1"/>
        <v>250000</v>
      </c>
      <c r="F4" s="32">
        <v>0.01</v>
      </c>
      <c r="G4" s="33">
        <v>7.0000000000000007E-2</v>
      </c>
      <c r="H4" s="31">
        <f t="shared" si="2"/>
        <v>182.44041666666666</v>
      </c>
      <c r="I4" s="34">
        <f t="shared" si="10"/>
        <v>288.73208333333332</v>
      </c>
      <c r="J4" s="31">
        <f t="shared" si="11"/>
        <v>2606.2916666666665</v>
      </c>
      <c r="K4" s="29">
        <v>9800</v>
      </c>
      <c r="L4" s="31">
        <f t="shared" si="3"/>
        <v>3831248.75</v>
      </c>
      <c r="M4" s="31">
        <f t="shared" si="12"/>
        <v>5465914.8833333328</v>
      </c>
      <c r="N4" s="31"/>
      <c r="O4" s="31">
        <f t="shared" si="4"/>
        <v>1913070.2091666667</v>
      </c>
      <c r="P4" s="31">
        <f t="shared" ref="P4:P13" si="13">SUM((J4*K4)+(H4*K4))</f>
        <v>27329574.416666664</v>
      </c>
      <c r="Q4" s="31">
        <f t="shared" si="5"/>
        <v>-1501674.3333333358</v>
      </c>
      <c r="R4" s="36">
        <f t="shared" si="6"/>
        <v>-5.20849563733633E-2</v>
      </c>
      <c r="S4" s="37">
        <f t="shared" si="7"/>
        <v>-8880659.425833337</v>
      </c>
      <c r="T4" s="38">
        <f t="shared" si="8"/>
        <v>-0.32494686124411643</v>
      </c>
      <c r="U4" s="31">
        <f t="shared" si="9"/>
        <v>1366478.7208333332</v>
      </c>
      <c r="V4" s="39">
        <v>0</v>
      </c>
      <c r="W4" s="47"/>
      <c r="X4" s="47"/>
      <c r="Y4" s="48"/>
      <c r="Z4" s="48"/>
      <c r="AA4" s="49"/>
      <c r="AB4" s="48"/>
      <c r="AC4" s="48"/>
      <c r="AD4" s="48"/>
      <c r="AE4" s="48"/>
      <c r="AF4" s="48"/>
      <c r="AG4" s="48"/>
      <c r="AH4" s="48"/>
    </row>
    <row r="5" spans="1:34" ht="20.25" customHeight="1">
      <c r="A5" s="28" t="s">
        <v>21</v>
      </c>
      <c r="B5" s="29">
        <v>30000000</v>
      </c>
      <c r="C5" s="30">
        <f t="shared" si="0"/>
        <v>0.86588101919691174</v>
      </c>
      <c r="D5" s="28">
        <v>100</v>
      </c>
      <c r="E5" s="31">
        <f t="shared" si="1"/>
        <v>300000</v>
      </c>
      <c r="F5" s="50">
        <v>0.01</v>
      </c>
      <c r="G5" s="33">
        <v>7.4999999999999997E-2</v>
      </c>
      <c r="H5" s="31">
        <f t="shared" si="2"/>
        <v>246.65490624999998</v>
      </c>
      <c r="I5" s="34">
        <f t="shared" si="10"/>
        <v>535.38698958333327</v>
      </c>
      <c r="J5" s="31">
        <f t="shared" si="11"/>
        <v>3288.7320833333333</v>
      </c>
      <c r="K5" s="29">
        <v>9800</v>
      </c>
      <c r="L5" s="31">
        <f t="shared" si="3"/>
        <v>4834436.1624999996</v>
      </c>
      <c r="M5" s="31">
        <f t="shared" si="12"/>
        <v>6929358.4995833337</v>
      </c>
      <c r="N5" s="31"/>
      <c r="O5" s="31">
        <f t="shared" si="4"/>
        <v>2425275.4748541671</v>
      </c>
      <c r="P5" s="31">
        <f t="shared" si="13"/>
        <v>34646792.497916669</v>
      </c>
      <c r="Q5" s="31">
        <f t="shared" si="5"/>
        <v>-187643.66458333097</v>
      </c>
      <c r="R5" s="36">
        <f t="shared" si="6"/>
        <v>-5.3867289169828858E-3</v>
      </c>
      <c r="S5" s="37">
        <f t="shared" si="7"/>
        <v>-9542277.6390208304</v>
      </c>
      <c r="T5" s="38">
        <f t="shared" si="8"/>
        <v>-0.2754159029178419</v>
      </c>
      <c r="U5" s="31">
        <f t="shared" si="9"/>
        <v>1732339.6248958334</v>
      </c>
      <c r="V5" s="39">
        <v>0</v>
      </c>
      <c r="W5" s="51"/>
      <c r="X5" s="53"/>
      <c r="Y5" s="41"/>
      <c r="Z5" s="41"/>
      <c r="AA5" s="55"/>
      <c r="AB5" s="41"/>
      <c r="AC5" s="41"/>
      <c r="AD5" s="41"/>
      <c r="AE5" s="41"/>
      <c r="AF5" s="41"/>
      <c r="AG5" s="41"/>
      <c r="AH5" s="41"/>
    </row>
    <row r="6" spans="1:34" ht="20.25" customHeight="1">
      <c r="A6" s="28" t="s">
        <v>22</v>
      </c>
      <c r="B6" s="29">
        <v>40000000</v>
      </c>
      <c r="C6" s="30">
        <f t="shared" si="0"/>
        <v>0.76244901751062366</v>
      </c>
      <c r="D6" s="28">
        <v>90</v>
      </c>
      <c r="E6" s="31">
        <f t="shared" si="1"/>
        <v>444444.44444444444</v>
      </c>
      <c r="F6" s="50">
        <v>0.01</v>
      </c>
      <c r="G6" s="33">
        <v>7.4999999999999997E-2</v>
      </c>
      <c r="H6" s="31">
        <f t="shared" si="2"/>
        <v>373.48735755208332</v>
      </c>
      <c r="I6" s="34">
        <f t="shared" si="10"/>
        <v>908.87434713541666</v>
      </c>
      <c r="J6" s="31">
        <f t="shared" si="11"/>
        <v>4979.8314340277775</v>
      </c>
      <c r="K6" s="29">
        <v>9800</v>
      </c>
      <c r="L6" s="31">
        <f t="shared" si="3"/>
        <v>7320352.2080208333</v>
      </c>
      <c r="M6" s="31">
        <f t="shared" si="12"/>
        <v>10492504.831496529</v>
      </c>
      <c r="N6" s="31"/>
      <c r="O6" s="31">
        <f t="shared" si="4"/>
        <v>3672376.6910237852</v>
      </c>
      <c r="P6" s="31">
        <f t="shared" si="13"/>
        <v>52462524.157482639</v>
      </c>
      <c r="Q6" s="31">
        <f t="shared" si="5"/>
        <v>5142171.9494618056</v>
      </c>
      <c r="R6" s="36">
        <f t="shared" si="6"/>
        <v>0.10866723744693929</v>
      </c>
      <c r="S6" s="37">
        <f t="shared" si="7"/>
        <v>-9022709.5730585083</v>
      </c>
      <c r="T6" s="38">
        <f t="shared" si="8"/>
        <v>-0.17198390123155397</v>
      </c>
      <c r="U6" s="31">
        <f t="shared" si="9"/>
        <v>2623126.2078741323</v>
      </c>
      <c r="V6" s="39">
        <v>0</v>
      </c>
      <c r="W6" s="47"/>
      <c r="X6" s="47"/>
      <c r="Y6" s="41"/>
      <c r="Z6" s="41"/>
      <c r="AA6" s="49"/>
      <c r="AB6" s="41"/>
      <c r="AC6" s="41"/>
      <c r="AD6" s="41"/>
      <c r="AE6" s="41"/>
      <c r="AF6" s="41"/>
      <c r="AG6" s="41"/>
      <c r="AH6" s="41"/>
    </row>
    <row r="7" spans="1:34" ht="20.25" customHeight="1">
      <c r="A7" s="28" t="s">
        <v>23</v>
      </c>
      <c r="B7" s="29">
        <v>50000000</v>
      </c>
      <c r="C7" s="30">
        <f t="shared" si="0"/>
        <v>0.76896624876736652</v>
      </c>
      <c r="D7" s="28">
        <v>95</v>
      </c>
      <c r="E7" s="31">
        <f t="shared" si="1"/>
        <v>526315.78947368416</v>
      </c>
      <c r="F7" s="50">
        <v>0.01</v>
      </c>
      <c r="G7" s="33">
        <v>7.4999999999999997E-2</v>
      </c>
      <c r="H7" s="31">
        <f t="shared" si="2"/>
        <v>462.90241814041934</v>
      </c>
      <c r="I7" s="34">
        <f t="shared" si="10"/>
        <v>1371.7767652758359</v>
      </c>
      <c r="J7" s="31">
        <f t="shared" si="11"/>
        <v>6172.0322418722581</v>
      </c>
      <c r="K7" s="29">
        <v>9800</v>
      </c>
      <c r="L7" s="31">
        <f t="shared" si="3"/>
        <v>9072887.3955522198</v>
      </c>
      <c r="M7" s="31">
        <f t="shared" si="12"/>
        <v>13004471.933624849</v>
      </c>
      <c r="N7" s="31"/>
      <c r="O7" s="31">
        <f t="shared" si="4"/>
        <v>4551565.1767686969</v>
      </c>
      <c r="P7" s="31">
        <f t="shared" si="13"/>
        <v>65022359.668124236</v>
      </c>
      <c r="Q7" s="31">
        <f t="shared" si="5"/>
        <v>5949472.2725720163</v>
      </c>
      <c r="R7" s="36">
        <f t="shared" si="6"/>
        <v>0.10071409296001277</v>
      </c>
      <c r="S7" s="37">
        <f t="shared" si="7"/>
        <v>-11606564.837821521</v>
      </c>
      <c r="T7" s="38">
        <f t="shared" si="8"/>
        <v>-0.17850113248829666</v>
      </c>
      <c r="U7" s="31">
        <f t="shared" si="9"/>
        <v>3251117.9834062122</v>
      </c>
      <c r="V7" s="37">
        <f t="shared" ref="V7:V13" si="14">SUM(S7*0.25)</f>
        <v>-2901641.2094553802</v>
      </c>
      <c r="W7" s="51"/>
      <c r="X7" s="53"/>
      <c r="Y7" s="41"/>
      <c r="Z7" s="41"/>
      <c r="AA7" s="55"/>
      <c r="AB7" s="41"/>
      <c r="AC7" s="41"/>
      <c r="AD7" s="41"/>
      <c r="AE7" s="41"/>
      <c r="AF7" s="41"/>
      <c r="AG7" s="41"/>
      <c r="AH7" s="41"/>
    </row>
    <row r="8" spans="1:34" ht="20.25" customHeight="1">
      <c r="A8" s="28" t="s">
        <v>28</v>
      </c>
      <c r="B8" s="29">
        <v>65000000</v>
      </c>
      <c r="C8" s="30">
        <f t="shared" si="0"/>
        <v>0.7511563719854627</v>
      </c>
      <c r="D8" s="28">
        <v>95</v>
      </c>
      <c r="E8" s="31">
        <f t="shared" si="1"/>
        <v>684210.52631578944</v>
      </c>
      <c r="F8" s="50">
        <v>0.01</v>
      </c>
      <c r="G8" s="33">
        <v>7.4999999999999997E-2</v>
      </c>
      <c r="H8" s="31">
        <f t="shared" si="2"/>
        <v>616.04115213252976</v>
      </c>
      <c r="I8" s="34">
        <f t="shared" si="10"/>
        <v>1987.8179174083657</v>
      </c>
      <c r="J8" s="31">
        <f t="shared" si="11"/>
        <v>8213.8820284337307</v>
      </c>
      <c r="K8" s="29">
        <v>9800</v>
      </c>
      <c r="L8" s="31">
        <f t="shared" si="3"/>
        <v>12074406.581797585</v>
      </c>
      <c r="M8" s="31">
        <f t="shared" si="12"/>
        <v>17306649.433909871</v>
      </c>
      <c r="N8" s="31"/>
      <c r="O8" s="31">
        <f t="shared" si="4"/>
        <v>6057327.3018684546</v>
      </c>
      <c r="P8" s="31">
        <f t="shared" si="13"/>
        <v>86533247.169549346</v>
      </c>
      <c r="Q8" s="31">
        <f t="shared" si="5"/>
        <v>9458840.5877517611</v>
      </c>
      <c r="R8" s="36">
        <f t="shared" si="6"/>
        <v>0.1227234954798293</v>
      </c>
      <c r="S8" s="37">
        <f t="shared" si="7"/>
        <v>-13905136.148026571</v>
      </c>
      <c r="T8" s="38">
        <f t="shared" si="8"/>
        <v>-0.16069125570639309</v>
      </c>
      <c r="U8" s="31">
        <f t="shared" si="9"/>
        <v>4326662.3584774677</v>
      </c>
      <c r="V8" s="37">
        <f t="shared" si="14"/>
        <v>-3476284.0370066427</v>
      </c>
      <c r="W8" s="47"/>
      <c r="X8" s="47"/>
      <c r="Y8" s="41"/>
      <c r="Z8" s="41"/>
      <c r="AA8" s="49"/>
      <c r="AB8" s="41"/>
      <c r="AC8" s="41"/>
      <c r="AD8" s="41"/>
      <c r="AE8" s="41"/>
      <c r="AF8" s="41"/>
      <c r="AG8" s="41"/>
      <c r="AH8" s="41"/>
    </row>
    <row r="9" spans="1:34" ht="20.25" customHeight="1">
      <c r="A9" s="28" t="s">
        <v>29</v>
      </c>
      <c r="B9" s="29">
        <v>70000000</v>
      </c>
      <c r="C9" s="30">
        <f t="shared" si="0"/>
        <v>0.71016979084245013</v>
      </c>
      <c r="D9" s="28">
        <v>95</v>
      </c>
      <c r="E9" s="31">
        <f t="shared" si="1"/>
        <v>736842.10526315786</v>
      </c>
      <c r="F9" s="50">
        <v>0.01</v>
      </c>
      <c r="G9" s="33">
        <v>7.4999999999999997E-2</v>
      </c>
      <c r="H9" s="31">
        <f t="shared" si="2"/>
        <v>701.71792275299583</v>
      </c>
      <c r="I9" s="34">
        <f t="shared" si="10"/>
        <v>2689.5358401613616</v>
      </c>
      <c r="J9" s="31">
        <f t="shared" si="11"/>
        <v>9356.2389700399453</v>
      </c>
      <c r="K9" s="29">
        <v>9800</v>
      </c>
      <c r="L9" s="31">
        <f t="shared" si="3"/>
        <v>13753671.28595872</v>
      </c>
      <c r="M9" s="31">
        <f t="shared" si="12"/>
        <v>19713595.509874165</v>
      </c>
      <c r="N9" s="31"/>
      <c r="O9" s="31">
        <f t="shared" ref="O9:O12" si="15">SUM(P9*0.05)</f>
        <v>4928398.8774685413</v>
      </c>
      <c r="P9" s="31">
        <f t="shared" si="13"/>
        <v>98567977.549370825</v>
      </c>
      <c r="Q9" s="31">
        <f t="shared" si="5"/>
        <v>14814306.263412105</v>
      </c>
      <c r="R9" s="36">
        <f t="shared" si="6"/>
        <v>0.17687948523273533</v>
      </c>
      <c r="S9" s="37">
        <f t="shared" si="7"/>
        <v>-9827688.1239306033</v>
      </c>
      <c r="T9" s="38">
        <f t="shared" si="8"/>
        <v>-9.9704674563380391E-2</v>
      </c>
      <c r="U9" s="31">
        <f t="shared" si="9"/>
        <v>4928398.8774685413</v>
      </c>
      <c r="V9" s="37">
        <f t="shared" si="14"/>
        <v>-2456922.0309826508</v>
      </c>
      <c r="W9" s="51"/>
      <c r="X9" s="53"/>
      <c r="Y9" s="41"/>
      <c r="Z9" s="41"/>
      <c r="AA9" s="55"/>
      <c r="AB9" s="41"/>
      <c r="AC9" s="41"/>
      <c r="AD9" s="41"/>
      <c r="AE9" s="41"/>
      <c r="AF9" s="41"/>
      <c r="AG9" s="41"/>
      <c r="AH9" s="41"/>
    </row>
    <row r="10" spans="1:34" ht="20.25" customHeight="1">
      <c r="A10" s="28" t="s">
        <v>30</v>
      </c>
      <c r="B10" s="29">
        <v>80000000</v>
      </c>
      <c r="C10" s="30">
        <f t="shared" si="0"/>
        <v>0.60627166515442621</v>
      </c>
      <c r="D10" s="28">
        <v>90</v>
      </c>
      <c r="E10" s="31">
        <f t="shared" si="1"/>
        <v>888888.88888888888</v>
      </c>
      <c r="F10" s="50">
        <v>1.0999999999999999E-2</v>
      </c>
      <c r="G10" s="33">
        <v>0.08</v>
      </c>
      <c r="H10" s="31">
        <f t="shared" si="2"/>
        <v>997.38508943513114</v>
      </c>
      <c r="I10" s="34">
        <f t="shared" si="10"/>
        <v>3686.9209295964929</v>
      </c>
      <c r="J10" s="31">
        <f t="shared" si="11"/>
        <v>12467.313617939139</v>
      </c>
      <c r="K10" s="29">
        <v>9800</v>
      </c>
      <c r="L10" s="31">
        <f t="shared" si="3"/>
        <v>18326951.018370535</v>
      </c>
      <c r="M10" s="31">
        <f t="shared" si="12"/>
        <v>26390809.466453571</v>
      </c>
      <c r="N10" s="31"/>
      <c r="O10" s="31">
        <f t="shared" si="15"/>
        <v>6597702.3666133927</v>
      </c>
      <c r="P10" s="31">
        <f t="shared" si="13"/>
        <v>131954047.33226785</v>
      </c>
      <c r="Q10" s="31">
        <f t="shared" si="5"/>
        <v>33627096.313897312</v>
      </c>
      <c r="R10" s="36">
        <f t="shared" si="6"/>
        <v>0.34199266798799366</v>
      </c>
      <c r="S10" s="37">
        <f t="shared" si="7"/>
        <v>638584.48083035648</v>
      </c>
      <c r="T10" s="38">
        <f t="shared" si="8"/>
        <v>4.8394459566849374E-3</v>
      </c>
      <c r="U10" s="31">
        <f t="shared" si="9"/>
        <v>6597702.3666133927</v>
      </c>
      <c r="V10" s="37">
        <f t="shared" si="14"/>
        <v>159646.12020758912</v>
      </c>
      <c r="W10" s="47"/>
      <c r="X10" s="47"/>
      <c r="Y10" s="48"/>
      <c r="Z10" s="48"/>
      <c r="AA10" s="49"/>
      <c r="AB10" s="48"/>
      <c r="AC10" s="48"/>
      <c r="AD10" s="48"/>
      <c r="AE10" s="48"/>
      <c r="AF10" s="48"/>
      <c r="AG10" s="48"/>
      <c r="AH10" s="48"/>
    </row>
    <row r="11" spans="1:34" ht="20.25" customHeight="1">
      <c r="A11" s="28" t="s">
        <v>31</v>
      </c>
      <c r="B11" s="29">
        <v>120000000</v>
      </c>
      <c r="C11" s="30">
        <f t="shared" si="0"/>
        <v>0.59001208300724783</v>
      </c>
      <c r="D11" s="28">
        <v>85</v>
      </c>
      <c r="E11" s="31">
        <f t="shared" si="1"/>
        <v>1411764.705882353</v>
      </c>
      <c r="F11" s="50">
        <v>1.0999999999999999E-2</v>
      </c>
      <c r="G11" s="33">
        <v>0.08</v>
      </c>
      <c r="H11" s="31">
        <f t="shared" si="2"/>
        <v>1537.30661554419</v>
      </c>
      <c r="I11" s="34">
        <f t="shared" si="10"/>
        <v>5224.2275451406831</v>
      </c>
      <c r="J11" s="31">
        <f t="shared" si="11"/>
        <v>19216.332694302375</v>
      </c>
      <c r="K11" s="29">
        <v>9800</v>
      </c>
      <c r="L11" s="31">
        <f t="shared" si="3"/>
        <v>28248009.060624491</v>
      </c>
      <c r="M11" s="31">
        <f t="shared" si="12"/>
        <v>40677133.047299266</v>
      </c>
      <c r="N11" s="31"/>
      <c r="O11" s="31">
        <f t="shared" si="15"/>
        <v>10169283.261824816</v>
      </c>
      <c r="P11" s="31">
        <f t="shared" si="13"/>
        <v>203385665.23649633</v>
      </c>
      <c r="Q11" s="31">
        <f t="shared" si="5"/>
        <v>55137656.175871834</v>
      </c>
      <c r="R11" s="36">
        <f t="shared" si="6"/>
        <v>0.37192847664702122</v>
      </c>
      <c r="S11" s="37">
        <f t="shared" si="7"/>
        <v>4291239.8667477667</v>
      </c>
      <c r="T11" s="38">
        <f t="shared" si="8"/>
        <v>2.1099028103863288E-2</v>
      </c>
      <c r="U11" s="31">
        <f t="shared" si="9"/>
        <v>10169283.261824816</v>
      </c>
      <c r="V11" s="37">
        <f t="shared" si="14"/>
        <v>1072809.9666869417</v>
      </c>
      <c r="W11" s="51"/>
      <c r="X11" s="53"/>
      <c r="Y11" s="48"/>
      <c r="Z11" s="48"/>
      <c r="AA11" s="55"/>
      <c r="AB11" s="48"/>
      <c r="AC11" s="48"/>
      <c r="AD11" s="48"/>
      <c r="AE11" s="48"/>
      <c r="AF11" s="48"/>
      <c r="AG11" s="48"/>
      <c r="AH11" s="48"/>
    </row>
    <row r="12" spans="1:34" ht="20.25" customHeight="1">
      <c r="A12" s="28" t="s">
        <v>32</v>
      </c>
      <c r="B12" s="29">
        <v>150000000</v>
      </c>
      <c r="C12" s="30">
        <f t="shared" si="0"/>
        <v>0.56999182457498332</v>
      </c>
      <c r="D12" s="28">
        <v>85</v>
      </c>
      <c r="E12" s="31">
        <f t="shared" si="1"/>
        <v>1764705.8823529412</v>
      </c>
      <c r="F12" s="50">
        <v>1.0999999999999999E-2</v>
      </c>
      <c r="G12" s="33">
        <v>0.09</v>
      </c>
      <c r="H12" s="31">
        <f t="shared" si="2"/>
        <v>2217.2393025920733</v>
      </c>
      <c r="I12" s="34">
        <f t="shared" si="10"/>
        <v>7441.4668477327559</v>
      </c>
      <c r="J12" s="31">
        <f t="shared" si="11"/>
        <v>24635.992251023035</v>
      </c>
      <c r="K12" s="29">
        <v>9800</v>
      </c>
      <c r="L12" s="31">
        <f t="shared" si="3"/>
        <v>36214908.609003864</v>
      </c>
      <c r="M12" s="31">
        <f t="shared" si="12"/>
        <v>52632333.845085621</v>
      </c>
      <c r="N12" s="31"/>
      <c r="O12" s="31">
        <f t="shared" si="15"/>
        <v>13158083.461271405</v>
      </c>
      <c r="P12" s="31">
        <f t="shared" si="13"/>
        <v>263161669.22542807</v>
      </c>
      <c r="Q12" s="31">
        <f t="shared" si="5"/>
        <v>76946760.616424203</v>
      </c>
      <c r="R12" s="36">
        <f t="shared" si="6"/>
        <v>0.41321482362075312</v>
      </c>
      <c r="S12" s="37">
        <f t="shared" si="7"/>
        <v>11156343.310067177</v>
      </c>
      <c r="T12" s="38">
        <f t="shared" si="8"/>
        <v>4.2393496525934E-2</v>
      </c>
      <c r="U12" s="31">
        <f t="shared" si="9"/>
        <v>13158083.461271405</v>
      </c>
      <c r="V12" s="37">
        <f t="shared" si="14"/>
        <v>2789085.8275167942</v>
      </c>
      <c r="W12" s="47"/>
      <c r="X12" s="47"/>
      <c r="Y12" s="48"/>
      <c r="Z12" s="48"/>
      <c r="AA12" s="49"/>
      <c r="AB12" s="48"/>
      <c r="AC12" s="48"/>
      <c r="AD12" s="48"/>
      <c r="AE12" s="48"/>
      <c r="AF12" s="48"/>
      <c r="AG12" s="48"/>
      <c r="AH12" s="48"/>
    </row>
    <row r="13" spans="1:34" ht="20.25" customHeight="1">
      <c r="A13" s="28" t="s">
        <v>33</v>
      </c>
      <c r="B13" s="79">
        <v>658000000</v>
      </c>
      <c r="C13" s="30">
        <f t="shared" si="0"/>
        <v>0.61392926365427203</v>
      </c>
      <c r="D13" s="28">
        <v>85</v>
      </c>
      <c r="E13" s="31">
        <f t="shared" si="1"/>
        <v>7741176.4705882352</v>
      </c>
      <c r="F13" s="50">
        <v>1.2E-2</v>
      </c>
      <c r="G13" s="33">
        <v>0.09</v>
      </c>
      <c r="H13" s="31">
        <f t="shared" si="2"/>
        <v>9030.2026045312414</v>
      </c>
      <c r="I13" s="34">
        <f t="shared" si="10"/>
        <v>16471.669452263995</v>
      </c>
      <c r="J13" s="31">
        <f t="shared" si="11"/>
        <v>100335.58449479158</v>
      </c>
      <c r="K13" s="29">
        <v>9800</v>
      </c>
      <c r="L13" s="31">
        <f t="shared" si="3"/>
        <v>147493309.20734361</v>
      </c>
      <c r="M13" s="31">
        <f t="shared" si="12"/>
        <v>214356942.71467274</v>
      </c>
      <c r="N13" s="31"/>
      <c r="O13" s="31">
        <f>SUM(P13*0.07)</f>
        <v>75024929.950135469</v>
      </c>
      <c r="P13" s="31">
        <f t="shared" si="13"/>
        <v>1071784713.5733637</v>
      </c>
      <c r="Q13" s="31">
        <f t="shared" si="5"/>
        <v>266291404.36602005</v>
      </c>
      <c r="R13" s="36">
        <f t="shared" si="6"/>
        <v>0.33059418535464635</v>
      </c>
      <c r="S13" s="37">
        <f t="shared" si="7"/>
        <v>-23090468.29878819</v>
      </c>
      <c r="T13" s="38">
        <f t="shared" si="8"/>
        <v>-2.1543942553354626E-2</v>
      </c>
      <c r="U13" s="31">
        <f t="shared" si="9"/>
        <v>53589235.678668186</v>
      </c>
      <c r="V13" s="37">
        <f t="shared" si="14"/>
        <v>-5772617.0746970475</v>
      </c>
      <c r="W13" s="51"/>
      <c r="X13" s="53"/>
      <c r="Y13" s="48"/>
      <c r="Z13" s="48"/>
      <c r="AA13" s="55"/>
      <c r="AB13" s="48"/>
      <c r="AC13" s="48"/>
      <c r="AD13" s="48"/>
      <c r="AE13" s="48"/>
      <c r="AF13" s="48"/>
      <c r="AG13" s="48"/>
      <c r="AH13" s="48"/>
    </row>
    <row r="14" spans="1:34" ht="20.25" customHeight="1">
      <c r="A14" s="65" t="s">
        <v>44</v>
      </c>
      <c r="B14" s="29">
        <f>SUM(B2:B13)</f>
        <v>1313000000</v>
      </c>
      <c r="C14" s="30">
        <f t="shared" si="0"/>
        <v>0.63988296591120331</v>
      </c>
      <c r="D14" s="28">
        <v>85</v>
      </c>
      <c r="E14" s="29">
        <f>SUM(E2:E13)</f>
        <v>14981682.146542827</v>
      </c>
      <c r="F14" s="50">
        <v>1.0999999999999999E-2</v>
      </c>
      <c r="G14" s="33">
        <v>0.1</v>
      </c>
      <c r="H14" s="29">
        <f>SUM(H2:H13)</f>
        <v>16471.669452263995</v>
      </c>
      <c r="I14" s="34">
        <f t="shared" si="10"/>
        <v>32943.338904527991</v>
      </c>
      <c r="J14" s="29">
        <f>SUM(J2:J13)</f>
        <v>192909.73148242984</v>
      </c>
      <c r="K14" s="29">
        <v>9800</v>
      </c>
      <c r="L14" s="29">
        <f t="shared" ref="L14:M14" si="16">SUM(L2:L13)</f>
        <v>283577305.27917182</v>
      </c>
      <c r="M14" s="29">
        <f t="shared" si="16"/>
        <v>409570879.16533327</v>
      </c>
      <c r="N14" s="29"/>
      <c r="O14" s="29">
        <f t="shared" ref="O14:P14" si="17">SUM(O2:O13)</f>
        <v>129694253.85432872</v>
      </c>
      <c r="P14" s="66">
        <f t="shared" si="17"/>
        <v>2051937729.1599996</v>
      </c>
      <c r="Q14" s="31">
        <f t="shared" si="5"/>
        <v>455360423.88082778</v>
      </c>
      <c r="R14" s="36">
        <f t="shared" si="6"/>
        <v>0.28521038246951957</v>
      </c>
      <c r="S14" s="29">
        <f>SUM(S2:S13)</f>
        <v>-83904709.138834253</v>
      </c>
      <c r="T14" s="38">
        <f t="shared" si="8"/>
        <v>-4.0890475352379357E-2</v>
      </c>
      <c r="U14" s="29">
        <f t="shared" ref="U14:V14" si="18">SUM(U2:U13)</f>
        <v>102596886.45799999</v>
      </c>
      <c r="V14" s="29">
        <f t="shared" si="18"/>
        <v>-10585922.437730396</v>
      </c>
      <c r="W14" s="40"/>
      <c r="X14" s="40"/>
      <c r="Y14" s="41"/>
      <c r="Z14" s="41"/>
      <c r="AA14" s="42"/>
      <c r="AB14" s="41"/>
      <c r="AC14" s="41"/>
      <c r="AD14" s="41"/>
      <c r="AE14" s="41"/>
      <c r="AF14" s="41"/>
      <c r="AG14" s="41"/>
      <c r="AH14" s="41"/>
    </row>
    <row r="15" spans="1:34" ht="15">
      <c r="A15" s="67"/>
      <c r="B15" s="67"/>
      <c r="C15" s="42"/>
      <c r="D15" s="67"/>
      <c r="E15" s="67"/>
      <c r="F15" s="68"/>
      <c r="G15" s="67"/>
      <c r="H15" s="67"/>
      <c r="I15" s="69"/>
      <c r="J15" s="67"/>
      <c r="K15" s="67"/>
      <c r="L15" s="67"/>
      <c r="M15" s="67"/>
      <c r="N15" s="67"/>
      <c r="O15" s="67"/>
      <c r="P15" s="67"/>
      <c r="Q15" s="42"/>
      <c r="R15" s="27"/>
      <c r="S15" s="67"/>
      <c r="T15" s="27"/>
      <c r="U15" s="67"/>
      <c r="V15" s="6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ht="15">
      <c r="A16" s="70" t="s">
        <v>47</v>
      </c>
      <c r="B16" s="70" t="s">
        <v>4</v>
      </c>
      <c r="C16" s="70" t="s">
        <v>6</v>
      </c>
      <c r="D16" s="71"/>
      <c r="E16" s="72" t="s">
        <v>49</v>
      </c>
      <c r="F16" s="73" t="s">
        <v>50</v>
      </c>
      <c r="G16" s="74"/>
      <c r="H16" s="74"/>
      <c r="I16" s="74"/>
      <c r="J16" s="75"/>
      <c r="K16" s="26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</row>
    <row r="17" spans="1:34" ht="15">
      <c r="A17" s="74"/>
      <c r="B17" s="74"/>
      <c r="C17" s="74"/>
      <c r="D17" s="74"/>
      <c r="E17" s="76" t="s">
        <v>18</v>
      </c>
      <c r="F17" s="77">
        <v>4083333.333333333</v>
      </c>
      <c r="G17" s="74"/>
      <c r="H17" s="74"/>
      <c r="I17" s="74"/>
      <c r="J17" s="78"/>
      <c r="K17" s="26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5">
      <c r="A18" s="74"/>
      <c r="B18" s="74"/>
      <c r="C18" s="80"/>
      <c r="D18" s="74"/>
      <c r="E18" s="81" t="s">
        <v>19</v>
      </c>
      <c r="F18" s="77">
        <v>13005825</v>
      </c>
      <c r="G18" s="82"/>
      <c r="H18" s="82"/>
      <c r="I18" s="82"/>
      <c r="J18" s="78"/>
      <c r="K18" s="2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74"/>
      <c r="AC18" s="74"/>
      <c r="AD18" s="74"/>
      <c r="AE18" s="74"/>
      <c r="AF18" s="74"/>
      <c r="AG18" s="74"/>
      <c r="AH18" s="74"/>
    </row>
    <row r="19" spans="1:34" ht="15">
      <c r="A19" s="74"/>
      <c r="B19" s="74"/>
      <c r="C19" s="82"/>
      <c r="D19" s="74"/>
      <c r="E19" s="76" t="s">
        <v>20</v>
      </c>
      <c r="F19" s="77">
        <v>27329574.416666664</v>
      </c>
      <c r="G19" s="82"/>
      <c r="H19" s="82"/>
      <c r="I19" s="82"/>
      <c r="J19" s="78"/>
      <c r="K19" s="2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74"/>
      <c r="AC19" s="74"/>
      <c r="AD19" s="74"/>
      <c r="AE19" s="74"/>
      <c r="AF19" s="74"/>
      <c r="AG19" s="74"/>
      <c r="AH19" s="74"/>
    </row>
    <row r="20" spans="1:34" ht="15">
      <c r="A20" s="74"/>
      <c r="B20" s="74"/>
      <c r="C20" s="82"/>
      <c r="D20" s="74"/>
      <c r="E20" s="81" t="s">
        <v>21</v>
      </c>
      <c r="F20" s="77">
        <v>40967792.497916661</v>
      </c>
      <c r="G20" s="82"/>
      <c r="H20" s="82"/>
      <c r="I20" s="82"/>
      <c r="J20" s="78"/>
      <c r="K20" s="2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74"/>
      <c r="AC20" s="74"/>
      <c r="AD20" s="74"/>
      <c r="AE20" s="74"/>
      <c r="AF20" s="74"/>
      <c r="AG20" s="74"/>
      <c r="AH20" s="74"/>
    </row>
    <row r="21" spans="1:34" ht="15">
      <c r="A21" s="74"/>
      <c r="B21" s="74"/>
      <c r="C21" s="71"/>
      <c r="D21" s="74"/>
      <c r="E21" s="76" t="s">
        <v>22</v>
      </c>
      <c r="F21" s="77">
        <v>66983265.824149303</v>
      </c>
      <c r="G21" s="83"/>
      <c r="H21" s="83"/>
      <c r="I21" s="83"/>
      <c r="J21" s="78"/>
      <c r="K21" s="26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74"/>
      <c r="AC21" s="74"/>
      <c r="AD21" s="74"/>
      <c r="AE21" s="74"/>
      <c r="AF21" s="74"/>
      <c r="AG21" s="74"/>
      <c r="AH21" s="74"/>
    </row>
    <row r="22" spans="1:34" ht="15">
      <c r="A22" s="74"/>
      <c r="B22" s="74"/>
      <c r="C22" s="74"/>
      <c r="D22" s="74"/>
      <c r="E22" s="81" t="s">
        <v>23</v>
      </c>
      <c r="F22" s="77">
        <v>94309174.503650561</v>
      </c>
      <c r="G22" s="74"/>
      <c r="H22" s="74"/>
      <c r="I22" s="74"/>
      <c r="J22" s="78"/>
      <c r="K22" s="26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</row>
    <row r="23" spans="1:34" ht="15">
      <c r="A23" s="74"/>
      <c r="B23" s="74"/>
      <c r="C23" s="74"/>
      <c r="D23" s="74"/>
      <c r="E23" s="76" t="s">
        <v>28</v>
      </c>
      <c r="F23" s="77">
        <v>140749994.17037174</v>
      </c>
      <c r="G23" s="74"/>
      <c r="H23" s="74"/>
      <c r="I23" s="74"/>
      <c r="J23" s="78"/>
      <c r="K23" s="26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 spans="1:34" ht="15">
      <c r="A24" s="74"/>
      <c r="B24" s="74"/>
      <c r="C24" s="74"/>
      <c r="D24" s="74"/>
      <c r="E24" s="81" t="s">
        <v>29</v>
      </c>
      <c r="F24" s="84">
        <v>160732296.36472854</v>
      </c>
      <c r="G24" s="74"/>
      <c r="H24" s="74"/>
      <c r="I24" s="74"/>
      <c r="J24" s="78"/>
      <c r="K24" s="26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</row>
    <row r="25" spans="1:34" ht="15">
      <c r="A25" s="74"/>
      <c r="B25" s="74"/>
      <c r="C25" s="74"/>
      <c r="D25" s="74"/>
      <c r="E25" s="76" t="s">
        <v>30</v>
      </c>
      <c r="F25" s="77">
        <v>200948353.75811738</v>
      </c>
      <c r="G25" s="74"/>
      <c r="H25" s="74"/>
      <c r="I25" s="74"/>
      <c r="J25" s="78"/>
      <c r="K25" s="2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</row>
    <row r="26" spans="1:34" ht="15">
      <c r="A26" s="74"/>
      <c r="B26" s="74"/>
      <c r="C26" s="74"/>
      <c r="D26" s="74"/>
      <c r="E26" s="81" t="s">
        <v>31</v>
      </c>
      <c r="F26" s="77">
        <v>326046339.70582557</v>
      </c>
      <c r="G26" s="74"/>
      <c r="H26" s="74"/>
      <c r="I26" s="74"/>
      <c r="J26" s="78"/>
      <c r="K26" s="26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</row>
    <row r="27" spans="1:34" ht="15">
      <c r="A27" s="74"/>
      <c r="B27" s="74"/>
      <c r="C27" s="74"/>
      <c r="D27" s="74"/>
      <c r="E27" s="76" t="s">
        <v>32</v>
      </c>
      <c r="F27" s="77">
        <v>423252627.92640871</v>
      </c>
      <c r="G27" s="74"/>
      <c r="H27" s="74"/>
      <c r="I27" s="74"/>
      <c r="J27" s="78"/>
      <c r="K27" s="26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</row>
    <row r="28" spans="1:34" ht="15">
      <c r="A28" s="74"/>
      <c r="B28" s="74"/>
      <c r="C28" s="74"/>
      <c r="D28" s="74"/>
      <c r="E28" s="85" t="s">
        <v>33</v>
      </c>
      <c r="F28" s="77">
        <v>519153835.0280208</v>
      </c>
      <c r="G28" s="74"/>
      <c r="H28" s="74"/>
      <c r="I28" s="74"/>
      <c r="J28" s="78"/>
      <c r="K28" s="26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</row>
    <row r="29" spans="1:34" ht="15">
      <c r="A29" s="26"/>
      <c r="B29" s="26"/>
      <c r="C29" s="26"/>
      <c r="D29" s="26"/>
      <c r="E29" s="65" t="s">
        <v>44</v>
      </c>
      <c r="F29" s="86">
        <v>2017562412.5291893</v>
      </c>
      <c r="G29" s="26"/>
      <c r="H29" s="26"/>
      <c r="I29" s="26"/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5">
      <c r="A39" s="26"/>
      <c r="B39" s="26"/>
      <c r="C39" s="90">
        <f>SUM(P14)</f>
        <v>2051937729.1599996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5">
      <c r="A40" s="26"/>
      <c r="B40" s="90">
        <f>SUM(B14+L14+M14+O14)</f>
        <v>2135842438.2988338</v>
      </c>
      <c r="C40" s="90">
        <f>SUM(B14+L14+M14+O14)</f>
        <v>2135842438.2988338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5">
      <c r="A42" s="26"/>
      <c r="B42" s="26"/>
      <c r="C42" s="26"/>
      <c r="D42" s="26"/>
      <c r="E42" s="90">
        <f>SUM(C39-C40)</f>
        <v>-83904709.138834238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5">
      <c r="A44" s="26"/>
      <c r="B44" s="26"/>
      <c r="C44" s="26"/>
      <c r="D44" s="26"/>
      <c r="E44" s="91">
        <f>SUM(E42/C39)</f>
        <v>-4.0890475352379357E-2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92" t="s">
        <v>50</v>
      </c>
      <c r="X44" s="92" t="s">
        <v>60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5">
      <c r="A45" s="26"/>
      <c r="B45" s="26"/>
      <c r="C45" s="91">
        <f>SUM(380409863/2017562413)</f>
        <v>0.18854924167344705</v>
      </c>
      <c r="D45" s="91">
        <f>SUM(C40/C39)</f>
        <v>1.0408904753523793</v>
      </c>
      <c r="E45" s="9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92" t="s">
        <v>61</v>
      </c>
      <c r="U45" s="26"/>
      <c r="V45" s="26"/>
      <c r="W45" s="92">
        <v>100</v>
      </c>
      <c r="X45" s="92">
        <v>10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92" t="s">
        <v>62</v>
      </c>
      <c r="U46" s="26"/>
      <c r="V46" s="26"/>
      <c r="W46" s="92">
        <v>200</v>
      </c>
      <c r="X46" s="92">
        <v>20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1:34" ht="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ht="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ht="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ht="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ht="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ht="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ht="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ht="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ht="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ht="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ht="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ht="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ht="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ht="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ht="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ht="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ht="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ht="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ht="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ht="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ht="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ht="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ht="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ht="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ht="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ht="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ht="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ht="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ht="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ht="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ht="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ht="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ht="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ht="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ht="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ht="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ht="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ht="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ht="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ht="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ht="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ht="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ht="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ht="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ht="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ht="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ht="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ht="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ht="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ht="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ht="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ht="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ht="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ht="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ht="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ht="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ht="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ht="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ht="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ht="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ht="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ht="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ht="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ht="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ht="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ht="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ht="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ht="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ht="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ht="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ht="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ht="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ht="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1:34" ht="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1:34" ht="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ht="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1:34" ht="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1:34" ht="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1:34" ht="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ht="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1:34" ht="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1:34" ht="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1:34" ht="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1:34" ht="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1:34" ht="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ht="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1:34" ht="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1:34" ht="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1:34" ht="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1:34" ht="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ht="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ht="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ht="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ht="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1:34" ht="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1:34" ht="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1:34" ht="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1:34" ht="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ht="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1:34" ht="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1:34" ht="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1:34" ht="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1:34" ht="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4" ht="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1:34" ht="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1:34" ht="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1:34" ht="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4" ht="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4" ht="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4" ht="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1:34" ht="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1:34" ht="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1:34" ht="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4" ht="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1:34" ht="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4" ht="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1:34" ht="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1:34" ht="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1:34" ht="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1:34" ht="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1:34" ht="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ht="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1:34" ht="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1:34" ht="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ht="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1:34" ht="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1:34" ht="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1:34" ht="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ht="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1:34" ht="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1:34" ht="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1:34" ht="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1:34" ht="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1:34" ht="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ht="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1:34" ht="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1:34" ht="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1:34" ht="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1:34" ht="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4" ht="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1:34" ht="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1:34" ht="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1:34" ht="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1:34" ht="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1:34" ht="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1:34" ht="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1:34" ht="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4" ht="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1:34" ht="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1:34" ht="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1:34" ht="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1:34" ht="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ht="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1:34" ht="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1:34" ht="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1:34" ht="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ht="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ht="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ht="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1:34" ht="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1:34" ht="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1:34" ht="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ht="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1:34" ht="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ht="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1:34" ht="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1:34" ht="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1:34" ht="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1:34" ht="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1:34" ht="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ht="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1:34" ht="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1:34" ht="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ht="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1:34" ht="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1:34" ht="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1:34" ht="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ht="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1:34" ht="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1:34" ht="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1:34" ht="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1:34" ht="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1:34" ht="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ht="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1:34" ht="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1:34" ht="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1:34" ht="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1:34" ht="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ht="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1:34" ht="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1:34" ht="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1:34" ht="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1:34" ht="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1:34" ht="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1:34" ht="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1:34" ht="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ht="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1:34" ht="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1:34" ht="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1:34" ht="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1:34" ht="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ht="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1:34" ht="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1:34" ht="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1:34" ht="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ht="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ht="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ht="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1:34" ht="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1:34" ht="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1:34" ht="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ht="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1:34" ht="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ht="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1:34" ht="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1:34" ht="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1:34" ht="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1:34" ht="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1:34" ht="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ht="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1:34" ht="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1:34" ht="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ht="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1:34" ht="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1:34" ht="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1:34" ht="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ht="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1:34" ht="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1:34" ht="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1:34" ht="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1:34" ht="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1:34" ht="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ht="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1:34" ht="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1:34" ht="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1:34" ht="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1:34" ht="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ht="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1:34" ht="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1:34" ht="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1:34" ht="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1:34" ht="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1:34" ht="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1:34" ht="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1:34" ht="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ht="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1:34" ht="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1:34" ht="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1:34" ht="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1:34" ht="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ht="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1:34" ht="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1:34" ht="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1:34" ht="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ht="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ht="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ht="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1:34" ht="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1:34" ht="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1:34" ht="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ht="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1:34" ht="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ht="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1:34" ht="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1:34" ht="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1:34" ht="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1:34" ht="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1:34" ht="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ht="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1:34" ht="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1:34" ht="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ht="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1:34" ht="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1:34" ht="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1:34" ht="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ht="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ht="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1:34" ht="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1:34" ht="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1:34" ht="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1:34" ht="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ht="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1:34" ht="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1:34" ht="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1:34" ht="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1:34" ht="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ht="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1:34" ht="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1:34" ht="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1:34" ht="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1:34" ht="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ht="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1:34" ht="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1:34" ht="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ht="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ht="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1:34" ht="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ht="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ht="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ht="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ht="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1:34" ht="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ht="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ht="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ht="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ht="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1:34" ht="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ht="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1:34" ht="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ht="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1:34" ht="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ht="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1:34" ht="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1:34" ht="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ht="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1:34" ht="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ht="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ht="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ht="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1:34" ht="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ht="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1:34" ht="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1:34" ht="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ht="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ht="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ht="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1:34" ht="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1:34" ht="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ht="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ht="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ht="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ht="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1:34" ht="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1:34" ht="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1:34" ht="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ht="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1:34" ht="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1:34" ht="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1:34" ht="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1:34" ht="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ht="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1:34" ht="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1:34" ht="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ht="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ht="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1:34" ht="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ht="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ht="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ht="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ht="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1:34" ht="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ht="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ht="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ht="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ht="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1:34" ht="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ht="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1:34" ht="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ht="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1:34" ht="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ht="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1:34" ht="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1:34" ht="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ht="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1:34" ht="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ht="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ht="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ht="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1:34" ht="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ht="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1:34" ht="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1:34" ht="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ht="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ht="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ht="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1:34" ht="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1:34" ht="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ht="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ht="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ht="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ht="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1:34" ht="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1:34" ht="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1:34" ht="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ht="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1:34" ht="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1:34" ht="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1:34" ht="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1:34" ht="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1:34" ht="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1:34" ht="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1:34" ht="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ht="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1:34" ht="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1:34" ht="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1:34" ht="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1:34" ht="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ht="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1:34" ht="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1:34" ht="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1:34" ht="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ht="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ht="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ht="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1:34" ht="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1:34" ht="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1:34" ht="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ht="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1:34" ht="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ht="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1:34" ht="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1:34" ht="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1:34" ht="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1:34" ht="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1:34" ht="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ht="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1:34" ht="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1:34" ht="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ht="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1:34" ht="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1:34" ht="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1:34" ht="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ht="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1:34" ht="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1:34" ht="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1:34" ht="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1:34" ht="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1:34" ht="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ht="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1:34" ht="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1:34" ht="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1:34" ht="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1:34" ht="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ht="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1:34" ht="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1:34" ht="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1:34" ht="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1:34" ht="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1:34" ht="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1:34" ht="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1:34" ht="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1:34" ht="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1:34" ht="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1:34" ht="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1:34" ht="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1:34" ht="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1:34" ht="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1:34" ht="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1:34" ht="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1:34" ht="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1:34" ht="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1:34" ht="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1:34" ht="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1:34" ht="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1:34" ht="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1:34" ht="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1:34" ht="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1:34" ht="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1:34" ht="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1:34" ht="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1:34" ht="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1:34" ht="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1:34" ht="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1:34" ht="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1:34" ht="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1:34" ht="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1:34" ht="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1:34" ht="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1:34" ht="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1:34" ht="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1:34" ht="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1:34" ht="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1:34" ht="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1:34" ht="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1:34" ht="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1:34" ht="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1:34" ht="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1:34" ht="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1:34" ht="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1:34" ht="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1:34" ht="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1:34" ht="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1:34" ht="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1:34" ht="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1:34" ht="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1:34" ht="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1:34" ht="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1:34" ht="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1:34" ht="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1:34" ht="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1:34" ht="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1:34" ht="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1:34" ht="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1:34" ht="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1:34" ht="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1:34" ht="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1:34" ht="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1:34" ht="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1:34" ht="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1:34" ht="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1:34" ht="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1:34" ht="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1:34" ht="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1:34" ht="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1:34" ht="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1:34" ht="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1:34" ht="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1:34" ht="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1:34" ht="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1:34" ht="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1:34" ht="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1:34" ht="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1:34" ht="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1:34" ht="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1:34" ht="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1:34" ht="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1:34" ht="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1:34" ht="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1:34" ht="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1:34" ht="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1:34" ht="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spans="1:34" ht="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spans="1:34" ht="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spans="1:34" ht="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spans="1:34" ht="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spans="1:34" ht="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spans="1:34" ht="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spans="1:34" ht="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spans="1:34" ht="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spans="1:34" ht="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spans="1:34" ht="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spans="1:34" ht="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spans="1:34" ht="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spans="1:34" ht="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spans="1:34" ht="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spans="1:34" ht="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spans="1:34" ht="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spans="1:34" ht="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spans="1:34" ht="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spans="1:34" ht="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spans="1:34" ht="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spans="1:34" ht="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spans="1:34" ht="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spans="1:34" ht="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spans="1:34" ht="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spans="1:34" ht="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spans="1:34" ht="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spans="1:34" ht="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spans="1:34" ht="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spans="1:34" ht="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spans="1:34" ht="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spans="1:34" ht="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spans="1:34" ht="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spans="1:34" ht="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spans="1:34" ht="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spans="1:34" ht="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spans="1:34" ht="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spans="1:34" ht="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spans="1:34" ht="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spans="1:34" ht="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spans="1:34" ht="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spans="1:34" ht="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spans="1:34" ht="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spans="1:34" ht="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spans="1:34" ht="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spans="1:34" ht="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spans="1:34" ht="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spans="1:34" ht="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spans="1:34" ht="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spans="1:34" ht="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spans="1:34" ht="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spans="1:34" ht="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spans="1:34" ht="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spans="1:34" ht="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spans="1:34" ht="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spans="1:34" ht="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spans="1:34" ht="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spans="1:34" ht="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spans="1:34" ht="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spans="1:34" ht="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spans="1:34" ht="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spans="1:34" ht="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spans="1:34" ht="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spans="1:34" ht="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spans="1:34" ht="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spans="1:34" ht="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spans="1:34" ht="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spans="1:34" ht="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spans="1:34" ht="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spans="1:34" ht="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spans="1:34" ht="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spans="1:34" ht="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spans="1:34" ht="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spans="1:34" ht="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spans="1:34" ht="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spans="1:34" ht="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spans="1:34" ht="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spans="1:34" ht="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spans="1:34" ht="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spans="1:34" ht="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spans="1:34" ht="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spans="1:34" ht="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spans="1:34" ht="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spans="1:34" ht="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spans="1:34" ht="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spans="1:34" ht="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spans="1:34" ht="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spans="1:34" ht="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spans="1:34" ht="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spans="1:34" ht="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spans="1:34" ht="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spans="1:34" ht="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spans="1:34" ht="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spans="1:34" ht="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spans="1:34" ht="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spans="1:34" ht="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spans="1:34" ht="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spans="1:34" ht="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spans="1:34" ht="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spans="1:34" ht="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spans="1:34" ht="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spans="1:34" ht="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spans="1:34" ht="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spans="1:34" ht="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spans="1:34" ht="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spans="1:34" ht="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spans="1:34" ht="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spans="1:34" ht="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spans="1:34" ht="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spans="1:34" ht="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spans="1:34" ht="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spans="1:34" ht="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spans="1:34" ht="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spans="1:34" ht="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spans="1:34" ht="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spans="1:34" ht="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spans="1:34" ht="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spans="1:34" ht="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spans="1:34" ht="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spans="1:34" ht="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spans="1:34" ht="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spans="1:34" ht="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spans="1:34" ht="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spans="1:34" ht="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spans="1:34" ht="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spans="1:34" ht="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spans="1:34" ht="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spans="1:34" ht="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spans="1:34" ht="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spans="1:34" ht="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spans="1:34" ht="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spans="1:34" ht="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spans="1:34" ht="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spans="1:34" ht="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spans="1:34" ht="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spans="1:34" ht="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spans="1:34" ht="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spans="1:34" ht="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spans="1:34" ht="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spans="1:34" ht="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spans="1:34" ht="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spans="1:34" ht="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spans="1:34" ht="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spans="1:34" ht="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spans="1:34" ht="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spans="1:34" ht="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spans="1:34" ht="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spans="1:34" ht="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spans="1:34" ht="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spans="1:34" ht="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spans="1:34" ht="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spans="1:34" ht="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spans="1:34" ht="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spans="1:34" ht="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spans="1:34" ht="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spans="1:34" ht="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spans="1:34" ht="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spans="1:34" ht="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spans="1:34" ht="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spans="1:34" ht="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spans="1:34" ht="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spans="1:34" ht="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spans="1:34" ht="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spans="1:34" ht="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spans="1:34" ht="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spans="1:34" ht="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spans="1:34" ht="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spans="1:34" ht="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spans="1:34" ht="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spans="1:34" ht="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spans="1:34" ht="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spans="1:34" ht="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spans="1:34" ht="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spans="1:34" ht="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spans="1:34" ht="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spans="1:34" ht="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spans="1:34" ht="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spans="1:34" ht="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spans="1:34" ht="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spans="1:34" ht="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spans="1:34" ht="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spans="1:34" ht="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spans="1:34" ht="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spans="1:34" ht="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spans="1:34" ht="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spans="1:34" ht="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spans="1:34" ht="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spans="1:34" ht="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spans="1:34" ht="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spans="1:34" ht="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spans="1:34" ht="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spans="1:34" ht="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spans="1:34" ht="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spans="1:34" ht="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spans="1:34" ht="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spans="1:34" ht="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spans="1:34" ht="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spans="1:34" ht="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spans="1:34" ht="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spans="1:34" ht="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spans="1:34" ht="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spans="1:34" ht="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spans="1:34" ht="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spans="1:34" ht="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spans="1:34" ht="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spans="1:34" ht="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spans="1:34" ht="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spans="1:34" ht="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spans="1:34" ht="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spans="1:34" ht="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spans="1:34" ht="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spans="1:34" ht="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spans="1:34" ht="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spans="1:34" ht="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spans="1:34" ht="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spans="1:34" ht="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spans="1:34" ht="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spans="1:34" ht="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spans="1:34" ht="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spans="1:34" ht="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spans="1:34" ht="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spans="1:34" ht="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spans="1:34" ht="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spans="1:34" ht="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spans="1:34" ht="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spans="1:34" ht="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spans="1:34" ht="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spans="1:34" ht="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spans="1:34" ht="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spans="1:34" ht="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spans="1:34" ht="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spans="1:34" ht="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spans="1:34" ht="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spans="1:34" ht="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spans="1:34" ht="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spans="1:34" ht="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spans="1:34" ht="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spans="1:34" ht="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spans="1:34" ht="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spans="1:34" ht="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spans="1:34" ht="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spans="1:34" ht="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spans="1:34" ht="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spans="1:34" ht="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spans="1:34" ht="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spans="1:34" ht="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spans="1:34" ht="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spans="1:34" ht="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spans="1:34" ht="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spans="1:34" ht="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spans="1:34" ht="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spans="1:34" ht="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spans="1:34" ht="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spans="1:34" ht="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spans="1:34" ht="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spans="1:34" ht="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spans="1:34" ht="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spans="1:34" ht="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spans="1:34" ht="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spans="1:34" ht="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spans="1:34" ht="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spans="1:34" ht="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spans="1:34" ht="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spans="1:34" ht="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spans="1:34" ht="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spans="1:34" ht="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spans="1:34" ht="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spans="1:34" ht="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spans="1:34" ht="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spans="1:34" ht="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spans="1:34" ht="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spans="1:34" ht="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spans="1:34" ht="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spans="1:34" ht="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spans="1:34" ht="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spans="1:34" ht="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spans="1:34" ht="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spans="1:34" ht="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spans="1:34" ht="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spans="1:34" ht="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spans="1:34" ht="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spans="1:34" ht="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spans="1:34" ht="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spans="1:34" ht="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spans="1:34" ht="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spans="1:34" ht="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spans="1:34" ht="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spans="1:34" ht="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spans="1:34" ht="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spans="1:34" ht="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spans="1:34" ht="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spans="1:34" ht="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spans="1:34" ht="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spans="1:34" ht="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spans="1:34" ht="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spans="1:34" ht="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spans="1:34" ht="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spans="1:34" ht="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spans="1:34" ht="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spans="1:34" ht="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spans="1:34" ht="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spans="1:34" ht="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spans="1:34" ht="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spans="1:34" ht="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spans="1:34" ht="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spans="1:34" ht="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spans="1:34" ht="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spans="1:34" ht="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spans="1:34" ht="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 spans="1:34" ht="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 spans="1:34" ht="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</sheetData>
  <phoneticPr fontId="9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topLeftCell="L1" workbookViewId="0">
      <selection activeCell="V6" sqref="V6"/>
    </sheetView>
  </sheetViews>
  <sheetFormatPr defaultColWidth="14.42578125" defaultRowHeight="15.75" customHeight="1"/>
  <cols>
    <col min="2" max="2" width="16" customWidth="1"/>
    <col min="4" max="4" width="15.42578125" customWidth="1"/>
    <col min="6" max="6" width="19.5703125" customWidth="1"/>
    <col min="8" max="8" width="17.28515625" customWidth="1"/>
    <col min="16" max="16" width="17.140625" customWidth="1"/>
    <col min="17" max="17" width="19.28515625" customWidth="1"/>
    <col min="18" max="18" width="21.42578125" customWidth="1"/>
    <col min="21" max="21" width="27.42578125" customWidth="1"/>
    <col min="22" max="22" width="31.5703125" customWidth="1"/>
    <col min="23" max="23" width="15.85546875" customWidth="1"/>
    <col min="27" max="27" width="21.7109375" customWidth="1"/>
  </cols>
  <sheetData>
    <row r="1" spans="1:34" ht="20.25" customHeight="1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2" t="s">
        <v>6</v>
      </c>
      <c r="H1" s="23" t="s">
        <v>7</v>
      </c>
      <c r="I1" s="23" t="s">
        <v>8</v>
      </c>
      <c r="J1" s="22" t="s">
        <v>5</v>
      </c>
      <c r="K1" s="20" t="s">
        <v>9</v>
      </c>
      <c r="L1" s="23" t="s">
        <v>10</v>
      </c>
      <c r="M1" s="20" t="s">
        <v>11</v>
      </c>
      <c r="N1" s="20" t="s">
        <v>24</v>
      </c>
      <c r="O1" s="20" t="s">
        <v>25</v>
      </c>
      <c r="P1" s="20" t="s">
        <v>12</v>
      </c>
      <c r="Q1" s="20" t="s">
        <v>13</v>
      </c>
      <c r="R1" s="20" t="s">
        <v>14</v>
      </c>
      <c r="S1" s="25" t="s">
        <v>16</v>
      </c>
      <c r="T1" s="25" t="s">
        <v>17</v>
      </c>
      <c r="U1" s="20" t="s">
        <v>26</v>
      </c>
      <c r="V1" s="20" t="s">
        <v>27</v>
      </c>
      <c r="W1" s="25"/>
      <c r="X1" s="25"/>
      <c r="Y1" s="26"/>
      <c r="Z1" s="26"/>
      <c r="AA1" s="27"/>
      <c r="AB1" s="26"/>
      <c r="AC1" s="26"/>
      <c r="AD1" s="26"/>
      <c r="AE1" s="26"/>
      <c r="AF1" s="26"/>
      <c r="AG1" s="26"/>
      <c r="AH1" s="26"/>
    </row>
    <row r="2" spans="1:34" ht="20.25" customHeight="1">
      <c r="A2" s="28" t="s">
        <v>18</v>
      </c>
      <c r="B2" s="29">
        <v>10000000</v>
      </c>
      <c r="C2" s="30">
        <f t="shared" ref="C2:C14" si="0">SUM(B2/P2)</f>
        <v>2.4489795918367347</v>
      </c>
      <c r="D2" s="28">
        <v>120</v>
      </c>
      <c r="E2" s="31">
        <f t="shared" ref="E2:E13" si="1">SUM(B2/D2)</f>
        <v>83333.333333333328</v>
      </c>
      <c r="F2" s="32">
        <v>5.0000000000000001E-3</v>
      </c>
      <c r="G2" s="33">
        <v>0.05</v>
      </c>
      <c r="H2" s="31">
        <f t="shared" ref="H2:H13" si="2">SUM(J2*G2)</f>
        <v>20.833333333333332</v>
      </c>
      <c r="I2" s="34">
        <f>SUM(J2*G2)</f>
        <v>20.833333333333332</v>
      </c>
      <c r="J2" s="31">
        <f>SUM(E2*F2)</f>
        <v>416.66666666666663</v>
      </c>
      <c r="K2" s="29">
        <v>9800</v>
      </c>
      <c r="L2" s="31">
        <f t="shared" ref="L2:L13" si="3">SUM((K2*0.15)*J2)</f>
        <v>612500</v>
      </c>
      <c r="M2" s="31">
        <f t="shared" ref="M2:M13" si="4">SUM(P2*0.2)</f>
        <v>816666.66666666663</v>
      </c>
      <c r="N2" s="31"/>
      <c r="O2" s="31">
        <f t="shared" ref="O2:O8" si="5">SUM(P2*0.07)</f>
        <v>285833.33333333331</v>
      </c>
      <c r="P2" s="31">
        <f>SUM(J2*K2)</f>
        <v>4083333.333333333</v>
      </c>
      <c r="Q2" s="31">
        <f t="shared" ref="Q2:Q14" si="6">SUM((P2-B2)-L2)</f>
        <v>-6529166.666666667</v>
      </c>
      <c r="R2" s="36">
        <f t="shared" ref="R2:R14" si="7">SUM(P2/(B2+L2)-1)</f>
        <v>-0.61523360816647044</v>
      </c>
      <c r="S2" s="37">
        <f t="shared" ref="S2:S13" si="8">SUM(P2-(B2+L2+M2+O2))</f>
        <v>-7631666.666666667</v>
      </c>
      <c r="T2" s="38">
        <f t="shared" ref="T2:T14" si="9">SUM((P2-(B2+L2+M2+O2))/P2)</f>
        <v>-1.8689795918367349</v>
      </c>
      <c r="U2" s="31">
        <f t="shared" ref="U2:U13" si="10">SUM(P2*0.05)</f>
        <v>204166.66666666666</v>
      </c>
      <c r="V2" s="39">
        <v>0</v>
      </c>
      <c r="W2" s="40"/>
      <c r="X2" s="40"/>
      <c r="Y2" s="41"/>
      <c r="Z2" s="41"/>
      <c r="AA2" s="42"/>
      <c r="AB2" s="41"/>
      <c r="AC2" s="41"/>
      <c r="AD2" s="41"/>
      <c r="AE2" s="41"/>
      <c r="AF2" s="41"/>
      <c r="AG2" s="41"/>
      <c r="AH2" s="41"/>
    </row>
    <row r="3" spans="1:34" ht="20.25" customHeight="1">
      <c r="A3" s="28" t="s">
        <v>19</v>
      </c>
      <c r="B3" s="29">
        <v>15000000</v>
      </c>
      <c r="C3" s="30">
        <f t="shared" si="0"/>
        <v>1.1533293735691508</v>
      </c>
      <c r="D3" s="28">
        <v>100</v>
      </c>
      <c r="E3" s="31">
        <f t="shared" si="1"/>
        <v>150000</v>
      </c>
      <c r="F3" s="32">
        <v>8.0000000000000002E-3</v>
      </c>
      <c r="G3" s="33">
        <v>7.0000000000000007E-2</v>
      </c>
      <c r="H3" s="31">
        <f t="shared" si="2"/>
        <v>85.458333333333343</v>
      </c>
      <c r="I3" s="34">
        <f t="shared" ref="I3:I14" si="11">SUM(H3+I2)</f>
        <v>106.29166666666667</v>
      </c>
      <c r="J3" s="31">
        <f t="shared" ref="J3:J13" si="12">SUM((E3*F3)+I2)</f>
        <v>1220.8333333333333</v>
      </c>
      <c r="K3" s="29">
        <v>9800</v>
      </c>
      <c r="L3" s="31">
        <f t="shared" si="3"/>
        <v>1794625</v>
      </c>
      <c r="M3" s="31">
        <f t="shared" si="4"/>
        <v>2601165</v>
      </c>
      <c r="N3" s="31"/>
      <c r="O3" s="31">
        <f t="shared" si="5"/>
        <v>910407.75000000012</v>
      </c>
      <c r="P3" s="31">
        <f>SUM((J3*K3)+(I3*K3))</f>
        <v>13005825</v>
      </c>
      <c r="Q3" s="31">
        <f t="shared" si="6"/>
        <v>-3788800</v>
      </c>
      <c r="R3" s="36">
        <f t="shared" si="7"/>
        <v>-0.22559598681125659</v>
      </c>
      <c r="S3" s="37">
        <f t="shared" si="8"/>
        <v>-7300372.75</v>
      </c>
      <c r="T3" s="38">
        <f t="shared" si="9"/>
        <v>-0.56131562203858654</v>
      </c>
      <c r="U3" s="31">
        <f t="shared" si="10"/>
        <v>650291.25</v>
      </c>
      <c r="V3" s="39">
        <v>0</v>
      </c>
      <c r="W3" s="44"/>
      <c r="X3" s="45"/>
      <c r="Y3" s="41"/>
      <c r="Z3" s="41"/>
      <c r="AA3" s="46"/>
      <c r="AB3" s="41"/>
      <c r="AC3" s="41"/>
      <c r="AD3" s="41"/>
      <c r="AE3" s="41"/>
      <c r="AF3" s="41"/>
      <c r="AG3" s="41"/>
      <c r="AH3" s="41"/>
    </row>
    <row r="4" spans="1:34" ht="20.25" customHeight="1">
      <c r="A4" s="28" t="s">
        <v>20</v>
      </c>
      <c r="B4" s="29">
        <v>25000000</v>
      </c>
      <c r="C4" s="30">
        <f t="shared" si="0"/>
        <v>0.91475994535626592</v>
      </c>
      <c r="D4" s="28">
        <v>100</v>
      </c>
      <c r="E4" s="31">
        <f t="shared" si="1"/>
        <v>250000</v>
      </c>
      <c r="F4" s="32">
        <v>0.01</v>
      </c>
      <c r="G4" s="33">
        <v>7.0000000000000007E-2</v>
      </c>
      <c r="H4" s="31">
        <f t="shared" si="2"/>
        <v>182.44041666666666</v>
      </c>
      <c r="I4" s="34">
        <f t="shared" si="11"/>
        <v>288.73208333333332</v>
      </c>
      <c r="J4" s="31">
        <f t="shared" si="12"/>
        <v>2606.2916666666665</v>
      </c>
      <c r="K4" s="29">
        <v>9800</v>
      </c>
      <c r="L4" s="31">
        <f t="shared" si="3"/>
        <v>3831248.75</v>
      </c>
      <c r="M4" s="31">
        <f t="shared" si="4"/>
        <v>5465914.8833333328</v>
      </c>
      <c r="N4" s="31"/>
      <c r="O4" s="31">
        <f t="shared" si="5"/>
        <v>1913070.2091666667</v>
      </c>
      <c r="P4" s="31">
        <f t="shared" ref="P4:P13" si="13">SUM((J4*K4)+(H4*K4))</f>
        <v>27329574.416666664</v>
      </c>
      <c r="Q4" s="31">
        <f t="shared" si="6"/>
        <v>-1501674.3333333358</v>
      </c>
      <c r="R4" s="36">
        <f t="shared" si="7"/>
        <v>-5.20849563733633E-2</v>
      </c>
      <c r="S4" s="37">
        <f t="shared" si="8"/>
        <v>-8880659.425833337</v>
      </c>
      <c r="T4" s="38">
        <f t="shared" si="9"/>
        <v>-0.32494686124411643</v>
      </c>
      <c r="U4" s="31">
        <f t="shared" si="10"/>
        <v>1366478.7208333332</v>
      </c>
      <c r="V4" s="39">
        <v>0</v>
      </c>
      <c r="W4" s="47"/>
      <c r="X4" s="47"/>
      <c r="Y4" s="48"/>
      <c r="Z4" s="48"/>
      <c r="AA4" s="49"/>
      <c r="AB4" s="48"/>
      <c r="AC4" s="48"/>
      <c r="AD4" s="48"/>
      <c r="AE4" s="48"/>
      <c r="AF4" s="48"/>
      <c r="AG4" s="48"/>
      <c r="AH4" s="48"/>
    </row>
    <row r="5" spans="1:34" ht="20.25" customHeight="1">
      <c r="A5" s="28" t="s">
        <v>21</v>
      </c>
      <c r="B5" s="29">
        <v>30000000</v>
      </c>
      <c r="C5" s="30">
        <f t="shared" si="0"/>
        <v>0.73228256078297582</v>
      </c>
      <c r="D5" s="28">
        <v>100</v>
      </c>
      <c r="E5" s="31">
        <f t="shared" si="1"/>
        <v>300000</v>
      </c>
      <c r="F5" s="32">
        <v>1.2E-2</v>
      </c>
      <c r="G5" s="33">
        <v>7.4999999999999997E-2</v>
      </c>
      <c r="H5" s="31">
        <f t="shared" si="2"/>
        <v>291.65490625000001</v>
      </c>
      <c r="I5" s="34">
        <f t="shared" si="11"/>
        <v>580.38698958333339</v>
      </c>
      <c r="J5" s="31">
        <f t="shared" si="12"/>
        <v>3888.7320833333333</v>
      </c>
      <c r="K5" s="29">
        <v>9800</v>
      </c>
      <c r="L5" s="31">
        <f t="shared" si="3"/>
        <v>5716436.1624999996</v>
      </c>
      <c r="M5" s="31">
        <f t="shared" si="4"/>
        <v>8193558.4995833328</v>
      </c>
      <c r="N5" s="31"/>
      <c r="O5" s="31">
        <f t="shared" si="5"/>
        <v>2867745.4748541666</v>
      </c>
      <c r="P5" s="31">
        <f t="shared" si="13"/>
        <v>40967792.497916661</v>
      </c>
      <c r="Q5" s="31">
        <f t="shared" si="6"/>
        <v>5251356.3354166616</v>
      </c>
      <c r="R5" s="36">
        <f t="shared" si="7"/>
        <v>0.14702912439316251</v>
      </c>
      <c r="S5" s="37">
        <f t="shared" si="8"/>
        <v>-5809947.6390208378</v>
      </c>
      <c r="T5" s="38">
        <f t="shared" si="9"/>
        <v>-0.14181744450390613</v>
      </c>
      <c r="U5" s="31">
        <f t="shared" si="10"/>
        <v>2048389.6248958332</v>
      </c>
      <c r="V5" s="39">
        <v>0</v>
      </c>
      <c r="W5" s="51"/>
      <c r="X5" s="53"/>
      <c r="Y5" s="41"/>
      <c r="Z5" s="41"/>
      <c r="AA5" s="55"/>
      <c r="AB5" s="41"/>
      <c r="AC5" s="41"/>
      <c r="AD5" s="41"/>
      <c r="AE5" s="41"/>
      <c r="AF5" s="41"/>
      <c r="AG5" s="41"/>
      <c r="AH5" s="41"/>
    </row>
    <row r="6" spans="1:34" ht="20.25" customHeight="1">
      <c r="A6" s="28" t="s">
        <v>22</v>
      </c>
      <c r="B6" s="29">
        <v>40000000</v>
      </c>
      <c r="C6" s="30">
        <f t="shared" si="0"/>
        <v>0.59716407535296534</v>
      </c>
      <c r="D6" s="28">
        <v>90</v>
      </c>
      <c r="E6" s="31">
        <f t="shared" si="1"/>
        <v>444444.44444444444</v>
      </c>
      <c r="F6" s="32">
        <v>1.2999999999999999E-2</v>
      </c>
      <c r="G6" s="33">
        <v>7.4999999999999997E-2</v>
      </c>
      <c r="H6" s="31">
        <f t="shared" si="2"/>
        <v>476.86235755208327</v>
      </c>
      <c r="I6" s="34">
        <f t="shared" si="11"/>
        <v>1057.2493471354167</v>
      </c>
      <c r="J6" s="31">
        <f t="shared" si="12"/>
        <v>6358.1647673611105</v>
      </c>
      <c r="K6" s="29">
        <v>9800</v>
      </c>
      <c r="L6" s="31">
        <f t="shared" si="3"/>
        <v>9346502.2080208324</v>
      </c>
      <c r="M6" s="31">
        <f t="shared" si="4"/>
        <v>13396653.164829861</v>
      </c>
      <c r="N6" s="31"/>
      <c r="O6" s="31">
        <f t="shared" si="5"/>
        <v>4688828.6076904517</v>
      </c>
      <c r="P6" s="31">
        <f t="shared" si="13"/>
        <v>66983265.824149303</v>
      </c>
      <c r="Q6" s="31">
        <f t="shared" si="6"/>
        <v>17636763.616128471</v>
      </c>
      <c r="R6" s="36">
        <f t="shared" si="7"/>
        <v>0.35740656028223561</v>
      </c>
      <c r="S6" s="37">
        <f t="shared" si="8"/>
        <v>-448718.1563918516</v>
      </c>
      <c r="T6" s="38">
        <f t="shared" si="9"/>
        <v>-6.6989590738956838E-3</v>
      </c>
      <c r="U6" s="31">
        <f t="shared" si="10"/>
        <v>3349163.2912074653</v>
      </c>
      <c r="V6" s="39">
        <v>0</v>
      </c>
      <c r="W6" s="47"/>
      <c r="X6" s="47"/>
      <c r="Y6" s="41"/>
      <c r="Z6" s="41"/>
      <c r="AA6" s="49"/>
      <c r="AB6" s="41"/>
      <c r="AC6" s="41"/>
      <c r="AD6" s="41"/>
      <c r="AE6" s="41"/>
      <c r="AF6" s="41"/>
      <c r="AG6" s="41"/>
      <c r="AH6" s="41"/>
    </row>
    <row r="7" spans="1:34" ht="20.25" customHeight="1">
      <c r="A7" s="28" t="s">
        <v>23</v>
      </c>
      <c r="B7" s="29">
        <v>50000000</v>
      </c>
      <c r="C7" s="30">
        <f t="shared" si="0"/>
        <v>0.53017111286521312</v>
      </c>
      <c r="D7" s="28">
        <v>95</v>
      </c>
      <c r="E7" s="31">
        <f t="shared" si="1"/>
        <v>526315.78947368416</v>
      </c>
      <c r="F7" s="32">
        <v>1.4999999999999999E-2</v>
      </c>
      <c r="G7" s="33">
        <v>7.4999999999999997E-2</v>
      </c>
      <c r="H7" s="31">
        <f t="shared" si="2"/>
        <v>671.39896419305092</v>
      </c>
      <c r="I7" s="34">
        <f t="shared" si="11"/>
        <v>1728.6483113284676</v>
      </c>
      <c r="J7" s="31">
        <f t="shared" si="12"/>
        <v>8951.9861892406789</v>
      </c>
      <c r="K7" s="29">
        <v>9800</v>
      </c>
      <c r="L7" s="31">
        <f t="shared" si="3"/>
        <v>13159419.698183797</v>
      </c>
      <c r="M7" s="31">
        <f t="shared" si="4"/>
        <v>18861834.900730114</v>
      </c>
      <c r="N7" s="31"/>
      <c r="O7" s="31">
        <f t="shared" si="5"/>
        <v>6601642.2152555399</v>
      </c>
      <c r="P7" s="31">
        <f t="shared" si="13"/>
        <v>94309174.503650561</v>
      </c>
      <c r="Q7" s="31">
        <f t="shared" si="6"/>
        <v>31149754.805466764</v>
      </c>
      <c r="R7" s="36">
        <f t="shared" si="7"/>
        <v>0.49319254284349445</v>
      </c>
      <c r="S7" s="37">
        <f t="shared" si="8"/>
        <v>5686277.6894811094</v>
      </c>
      <c r="T7" s="38">
        <f t="shared" si="9"/>
        <v>6.0294003413856649E-2</v>
      </c>
      <c r="U7" s="31">
        <f t="shared" si="10"/>
        <v>4715458.7251825286</v>
      </c>
      <c r="V7" s="37">
        <f t="shared" ref="V7:V13" si="14">SUM(S7*0.25)</f>
        <v>1421569.4223702773</v>
      </c>
      <c r="W7" s="51"/>
      <c r="X7" s="53"/>
      <c r="Y7" s="41"/>
      <c r="Z7" s="41"/>
      <c r="AA7" s="55"/>
      <c r="AB7" s="41"/>
      <c r="AC7" s="41"/>
      <c r="AD7" s="41"/>
      <c r="AE7" s="41"/>
      <c r="AF7" s="41"/>
      <c r="AG7" s="41"/>
      <c r="AH7" s="41"/>
    </row>
    <row r="8" spans="1:34" ht="20.25" customHeight="1">
      <c r="A8" s="28" t="s">
        <v>28</v>
      </c>
      <c r="B8" s="29">
        <v>65000000</v>
      </c>
      <c r="C8" s="30">
        <f t="shared" si="0"/>
        <v>0.46181174204043185</v>
      </c>
      <c r="D8" s="28">
        <v>95</v>
      </c>
      <c r="E8" s="31">
        <f t="shared" si="1"/>
        <v>684210.52631578944</v>
      </c>
      <c r="F8" s="32">
        <v>1.7000000000000001E-2</v>
      </c>
      <c r="G8" s="33">
        <v>7.4999999999999997E-2</v>
      </c>
      <c r="H8" s="31">
        <f t="shared" si="2"/>
        <v>1002.0170444022667</v>
      </c>
      <c r="I8" s="34">
        <f t="shared" si="11"/>
        <v>2730.6653557307345</v>
      </c>
      <c r="J8" s="31">
        <f t="shared" si="12"/>
        <v>13360.22725869689</v>
      </c>
      <c r="K8" s="29">
        <v>9800</v>
      </c>
      <c r="L8" s="31">
        <f t="shared" si="3"/>
        <v>19639534.07028443</v>
      </c>
      <c r="M8" s="31">
        <f t="shared" si="4"/>
        <v>28149998.834074348</v>
      </c>
      <c r="N8" s="31"/>
      <c r="O8" s="31">
        <f t="shared" si="5"/>
        <v>9852499.5919260234</v>
      </c>
      <c r="P8" s="31">
        <f t="shared" si="13"/>
        <v>140749994.17037174</v>
      </c>
      <c r="Q8" s="31">
        <f t="shared" si="6"/>
        <v>56110460.100087315</v>
      </c>
      <c r="R8" s="36">
        <f t="shared" si="7"/>
        <v>0.66293441612631465</v>
      </c>
      <c r="S8" s="37">
        <f t="shared" si="8"/>
        <v>18107961.674086943</v>
      </c>
      <c r="T8" s="38">
        <f t="shared" si="9"/>
        <v>0.12865337423863793</v>
      </c>
      <c r="U8" s="31">
        <f t="shared" si="10"/>
        <v>7037499.7085185871</v>
      </c>
      <c r="V8" s="37">
        <f t="shared" si="14"/>
        <v>4526990.4185217358</v>
      </c>
      <c r="W8" s="47"/>
      <c r="X8" s="47"/>
      <c r="Y8" s="41"/>
      <c r="Z8" s="41"/>
      <c r="AA8" s="49"/>
      <c r="AB8" s="41"/>
      <c r="AC8" s="41"/>
      <c r="AD8" s="41"/>
      <c r="AE8" s="41"/>
      <c r="AF8" s="41"/>
      <c r="AG8" s="41"/>
      <c r="AH8" s="41"/>
    </row>
    <row r="9" spans="1:34" ht="20.25" customHeight="1">
      <c r="A9" s="28" t="s">
        <v>29</v>
      </c>
      <c r="B9" s="29">
        <v>70000000</v>
      </c>
      <c r="C9" s="30">
        <f t="shared" si="0"/>
        <v>0.4355067499387818</v>
      </c>
      <c r="D9" s="28">
        <v>95</v>
      </c>
      <c r="E9" s="31">
        <f t="shared" si="1"/>
        <v>736842.10526315786</v>
      </c>
      <c r="F9" s="32">
        <v>1.7000000000000001E-2</v>
      </c>
      <c r="G9" s="33">
        <v>7.4999999999999997E-2</v>
      </c>
      <c r="H9" s="31">
        <f t="shared" si="2"/>
        <v>1144.2735858903313</v>
      </c>
      <c r="I9" s="34">
        <f t="shared" si="11"/>
        <v>3874.9389416210661</v>
      </c>
      <c r="J9" s="31">
        <f t="shared" si="12"/>
        <v>15256.98114520442</v>
      </c>
      <c r="K9" s="29">
        <v>9800</v>
      </c>
      <c r="L9" s="31">
        <f t="shared" si="3"/>
        <v>22427762.283450495</v>
      </c>
      <c r="M9" s="31">
        <f t="shared" si="4"/>
        <v>32146459.27294571</v>
      </c>
      <c r="N9" s="31"/>
      <c r="O9" s="31">
        <f t="shared" ref="O9:O12" si="15">SUM(P9*0.05)</f>
        <v>8036614.8182364274</v>
      </c>
      <c r="P9" s="31">
        <f t="shared" si="13"/>
        <v>160732296.36472854</v>
      </c>
      <c r="Q9" s="31">
        <f t="shared" si="6"/>
        <v>68304534.081278041</v>
      </c>
      <c r="R9" s="36">
        <f t="shared" si="7"/>
        <v>0.73900451978710513</v>
      </c>
      <c r="S9" s="37">
        <f t="shared" si="8"/>
        <v>28121459.990095899</v>
      </c>
      <c r="T9" s="38">
        <f t="shared" si="9"/>
        <v>0.17495836634028789</v>
      </c>
      <c r="U9" s="31">
        <f t="shared" si="10"/>
        <v>8036614.8182364274</v>
      </c>
      <c r="V9" s="37">
        <f t="shared" si="14"/>
        <v>7030364.9975239746</v>
      </c>
      <c r="W9" s="51"/>
      <c r="X9" s="53"/>
      <c r="Y9" s="41"/>
      <c r="Z9" s="41"/>
      <c r="AA9" s="55"/>
      <c r="AB9" s="41"/>
      <c r="AC9" s="41"/>
      <c r="AD9" s="41"/>
      <c r="AE9" s="41"/>
      <c r="AF9" s="41"/>
      <c r="AG9" s="41"/>
      <c r="AH9" s="41"/>
    </row>
    <row r="10" spans="1:34" ht="20.25" customHeight="1">
      <c r="A10" s="28" t="s">
        <v>30</v>
      </c>
      <c r="B10" s="29">
        <v>80000000</v>
      </c>
      <c r="C10" s="30">
        <f t="shared" si="0"/>
        <v>0.39811224378725907</v>
      </c>
      <c r="D10" s="28">
        <v>90</v>
      </c>
      <c r="E10" s="31">
        <f t="shared" si="1"/>
        <v>888888.88888888888</v>
      </c>
      <c r="F10" s="32">
        <v>1.7000000000000001E-2</v>
      </c>
      <c r="G10" s="33">
        <v>0.08</v>
      </c>
      <c r="H10" s="31">
        <f t="shared" si="2"/>
        <v>1518.8840042185743</v>
      </c>
      <c r="I10" s="34">
        <f t="shared" si="11"/>
        <v>5393.8229458396399</v>
      </c>
      <c r="J10" s="31">
        <f t="shared" si="12"/>
        <v>18986.050052732178</v>
      </c>
      <c r="K10" s="29">
        <v>9800</v>
      </c>
      <c r="L10" s="31">
        <f t="shared" si="3"/>
        <v>27909493.577516302</v>
      </c>
      <c r="M10" s="31">
        <f t="shared" si="4"/>
        <v>40189670.751623474</v>
      </c>
      <c r="N10" s="31"/>
      <c r="O10" s="31">
        <f t="shared" si="15"/>
        <v>10047417.687905869</v>
      </c>
      <c r="P10" s="31">
        <f t="shared" si="13"/>
        <v>200948353.75811738</v>
      </c>
      <c r="Q10" s="31">
        <f t="shared" si="6"/>
        <v>93038860.180601075</v>
      </c>
      <c r="R10" s="36">
        <f t="shared" si="7"/>
        <v>0.86219346506122774</v>
      </c>
      <c r="S10" s="37">
        <f t="shared" si="8"/>
        <v>42801771.741071731</v>
      </c>
      <c r="T10" s="38">
        <f t="shared" si="9"/>
        <v>0.21299886732385206</v>
      </c>
      <c r="U10" s="31">
        <f t="shared" si="10"/>
        <v>10047417.687905869</v>
      </c>
      <c r="V10" s="37">
        <f t="shared" si="14"/>
        <v>10700442.935267933</v>
      </c>
      <c r="W10" s="47"/>
      <c r="X10" s="47"/>
      <c r="Y10" s="48"/>
      <c r="Z10" s="48"/>
      <c r="AA10" s="49"/>
      <c r="AB10" s="48"/>
      <c r="AC10" s="48"/>
      <c r="AD10" s="48"/>
      <c r="AE10" s="48"/>
      <c r="AF10" s="48"/>
      <c r="AG10" s="48"/>
      <c r="AH10" s="48"/>
    </row>
    <row r="11" spans="1:34" ht="20.25" customHeight="1">
      <c r="A11" s="28" t="s">
        <v>31</v>
      </c>
      <c r="B11" s="29">
        <v>120000000</v>
      </c>
      <c r="C11" s="30">
        <f t="shared" si="0"/>
        <v>0.36804584314079303</v>
      </c>
      <c r="D11" s="28">
        <v>85</v>
      </c>
      <c r="E11" s="31">
        <f t="shared" si="1"/>
        <v>1411764.705882353</v>
      </c>
      <c r="F11" s="32">
        <v>1.7999999999999999E-2</v>
      </c>
      <c r="G11" s="33">
        <v>0.08</v>
      </c>
      <c r="H11" s="31">
        <f t="shared" si="2"/>
        <v>2464.4470121377594</v>
      </c>
      <c r="I11" s="34">
        <f t="shared" si="11"/>
        <v>7858.2699579773998</v>
      </c>
      <c r="J11" s="31">
        <f t="shared" si="12"/>
        <v>30805.587651721995</v>
      </c>
      <c r="K11" s="29">
        <v>9800</v>
      </c>
      <c r="L11" s="31">
        <f t="shared" si="3"/>
        <v>45284213.848031335</v>
      </c>
      <c r="M11" s="31">
        <f t="shared" si="4"/>
        <v>65209267.941165119</v>
      </c>
      <c r="N11" s="31"/>
      <c r="O11" s="31">
        <f t="shared" si="15"/>
        <v>16302316.98529128</v>
      </c>
      <c r="P11" s="31">
        <f t="shared" si="13"/>
        <v>326046339.70582557</v>
      </c>
      <c r="Q11" s="31">
        <f t="shared" si="6"/>
        <v>160762125.85779423</v>
      </c>
      <c r="R11" s="36">
        <f t="shared" si="7"/>
        <v>0.97264053302516307</v>
      </c>
      <c r="S11" s="37">
        <f t="shared" si="8"/>
        <v>79250540.931337833</v>
      </c>
      <c r="T11" s="38">
        <f t="shared" si="9"/>
        <v>0.24306526797031802</v>
      </c>
      <c r="U11" s="31">
        <f t="shared" si="10"/>
        <v>16302316.98529128</v>
      </c>
      <c r="V11" s="37">
        <f t="shared" si="14"/>
        <v>19812635.232834458</v>
      </c>
      <c r="W11" s="51"/>
      <c r="X11" s="53"/>
      <c r="Y11" s="48"/>
      <c r="Z11" s="48"/>
      <c r="AA11" s="55"/>
      <c r="AB11" s="48"/>
      <c r="AC11" s="48"/>
      <c r="AD11" s="48"/>
      <c r="AE11" s="48"/>
      <c r="AF11" s="48"/>
      <c r="AG11" s="48"/>
      <c r="AH11" s="48"/>
    </row>
    <row r="12" spans="1:34" ht="20.25" customHeight="1">
      <c r="A12" s="28" t="s">
        <v>32</v>
      </c>
      <c r="B12" s="29">
        <v>150000000</v>
      </c>
      <c r="C12" s="30">
        <f t="shared" si="0"/>
        <v>0.35439827210259078</v>
      </c>
      <c r="D12" s="28">
        <v>85</v>
      </c>
      <c r="E12" s="31">
        <f t="shared" si="1"/>
        <v>1764705.8823529412</v>
      </c>
      <c r="F12" s="32">
        <v>1.7999999999999999E-2</v>
      </c>
      <c r="G12" s="33">
        <v>0.09</v>
      </c>
      <c r="H12" s="31">
        <f t="shared" si="2"/>
        <v>3566.0678256297306</v>
      </c>
      <c r="I12" s="34">
        <f t="shared" si="11"/>
        <v>11424.33778360713</v>
      </c>
      <c r="J12" s="31">
        <f t="shared" si="12"/>
        <v>39622.975840330342</v>
      </c>
      <c r="K12" s="29">
        <v>9800</v>
      </c>
      <c r="L12" s="31">
        <f t="shared" si="3"/>
        <v>58245774.485285603</v>
      </c>
      <c r="M12" s="31">
        <f t="shared" si="4"/>
        <v>84650525.585281745</v>
      </c>
      <c r="N12" s="31"/>
      <c r="O12" s="31">
        <f t="shared" si="15"/>
        <v>21162631.396320436</v>
      </c>
      <c r="P12" s="31">
        <f t="shared" si="13"/>
        <v>423252627.92640871</v>
      </c>
      <c r="Q12" s="31">
        <f t="shared" si="6"/>
        <v>215006853.4411231</v>
      </c>
      <c r="R12" s="36">
        <f t="shared" si="7"/>
        <v>1.0324668242251187</v>
      </c>
      <c r="S12" s="37">
        <f t="shared" si="8"/>
        <v>109193696.45952088</v>
      </c>
      <c r="T12" s="38">
        <f t="shared" si="9"/>
        <v>0.25798704899832653</v>
      </c>
      <c r="U12" s="31">
        <f t="shared" si="10"/>
        <v>21162631.396320436</v>
      </c>
      <c r="V12" s="37">
        <f t="shared" si="14"/>
        <v>27298424.114880219</v>
      </c>
      <c r="W12" s="47"/>
      <c r="X12" s="47"/>
      <c r="Y12" s="48"/>
      <c r="Z12" s="48"/>
      <c r="AA12" s="49"/>
      <c r="AB12" s="48"/>
      <c r="AC12" s="48"/>
      <c r="AD12" s="48"/>
      <c r="AE12" s="48"/>
      <c r="AF12" s="48"/>
      <c r="AG12" s="48"/>
      <c r="AH12" s="48"/>
    </row>
    <row r="13" spans="1:34" ht="20.25" customHeight="1">
      <c r="A13" s="28" t="s">
        <v>33</v>
      </c>
      <c r="B13" s="29">
        <v>158000000</v>
      </c>
      <c r="C13" s="30">
        <f t="shared" si="0"/>
        <v>0.30434139043097336</v>
      </c>
      <c r="D13" s="28">
        <v>85</v>
      </c>
      <c r="E13" s="31">
        <f t="shared" si="1"/>
        <v>1858823.5294117648</v>
      </c>
      <c r="F13" s="32">
        <v>0.02</v>
      </c>
      <c r="G13" s="33">
        <v>0.09</v>
      </c>
      <c r="H13" s="31">
        <f t="shared" si="2"/>
        <v>4374.0727534658181</v>
      </c>
      <c r="I13" s="34">
        <f t="shared" si="11"/>
        <v>15798.410537072949</v>
      </c>
      <c r="J13" s="31">
        <f t="shared" si="12"/>
        <v>48600.808371842424</v>
      </c>
      <c r="K13" s="29">
        <v>9800</v>
      </c>
      <c r="L13" s="31">
        <f t="shared" si="3"/>
        <v>71443188.306608364</v>
      </c>
      <c r="M13" s="31">
        <f t="shared" si="4"/>
        <v>103830767.00560416</v>
      </c>
      <c r="N13" s="31"/>
      <c r="O13" s="31">
        <f>SUM(P13*0.07)</f>
        <v>36340768.451961458</v>
      </c>
      <c r="P13" s="31">
        <f t="shared" si="13"/>
        <v>519153835.0280208</v>
      </c>
      <c r="Q13" s="31">
        <f t="shared" si="6"/>
        <v>289710646.72141242</v>
      </c>
      <c r="R13" s="36">
        <f t="shared" si="7"/>
        <v>1.2626683270033179</v>
      </c>
      <c r="S13" s="37">
        <f t="shared" si="8"/>
        <v>149539111.26384681</v>
      </c>
      <c r="T13" s="38">
        <f t="shared" si="9"/>
        <v>0.2880439306699441</v>
      </c>
      <c r="U13" s="31">
        <f t="shared" si="10"/>
        <v>25957691.751401041</v>
      </c>
      <c r="V13" s="37">
        <f t="shared" si="14"/>
        <v>37384777.815961704</v>
      </c>
      <c r="W13" s="51"/>
      <c r="X13" s="53"/>
      <c r="Y13" s="48"/>
      <c r="Z13" s="48"/>
      <c r="AA13" s="55"/>
      <c r="AB13" s="48"/>
      <c r="AC13" s="48"/>
      <c r="AD13" s="48"/>
      <c r="AE13" s="48"/>
      <c r="AF13" s="48"/>
      <c r="AG13" s="48"/>
      <c r="AH13" s="48"/>
    </row>
    <row r="14" spans="1:34" ht="20.25" customHeight="1">
      <c r="A14" s="65" t="s">
        <v>44</v>
      </c>
      <c r="B14" s="29">
        <f>SUM(B2:B13)</f>
        <v>813000000</v>
      </c>
      <c r="C14" s="30">
        <f t="shared" si="0"/>
        <v>0.40296151184777179</v>
      </c>
      <c r="D14" s="28">
        <v>85</v>
      </c>
      <c r="E14" s="29">
        <f>SUM(E2:E13)</f>
        <v>9099329.2053663563</v>
      </c>
      <c r="F14" s="32">
        <v>1.7999999999999999E-2</v>
      </c>
      <c r="G14" s="33">
        <v>0.1</v>
      </c>
      <c r="H14" s="29">
        <f>SUM(H2:H13)</f>
        <v>15798.410537072949</v>
      </c>
      <c r="I14" s="34">
        <f t="shared" si="11"/>
        <v>31596.821074145897</v>
      </c>
      <c r="J14" s="29">
        <f>SUM(J2:J13)</f>
        <v>190075.30502713006</v>
      </c>
      <c r="K14" s="29">
        <v>9800</v>
      </c>
      <c r="L14" s="29">
        <f t="shared" ref="L14:M14" si="16">SUM(L2:L13)</f>
        <v>279410698.38988119</v>
      </c>
      <c r="M14" s="29">
        <f t="shared" si="16"/>
        <v>403512482.50583786</v>
      </c>
      <c r="N14" s="29"/>
      <c r="O14" s="29">
        <f t="shared" ref="O14:P14" si="17">SUM(O2:O13)</f>
        <v>119009776.52194165</v>
      </c>
      <c r="P14" s="66">
        <f t="shared" si="17"/>
        <v>2017562412.5291893</v>
      </c>
      <c r="Q14" s="31">
        <f t="shared" si="6"/>
        <v>925151714.13930821</v>
      </c>
      <c r="R14" s="36">
        <f t="shared" si="7"/>
        <v>0.84689001627583993</v>
      </c>
      <c r="S14" s="29">
        <f>SUM(S2:S13)</f>
        <v>402629455.11152852</v>
      </c>
      <c r="T14" s="38">
        <f t="shared" si="9"/>
        <v>0.19956232957710474</v>
      </c>
      <c r="U14" s="29">
        <f t="shared" ref="U14:V14" si="18">SUM(U2:U13)</f>
        <v>100878120.62645946</v>
      </c>
      <c r="V14" s="29">
        <f t="shared" si="18"/>
        <v>108175204.9373603</v>
      </c>
      <c r="W14" s="40"/>
      <c r="X14" s="40"/>
      <c r="Y14" s="41"/>
      <c r="Z14" s="41"/>
      <c r="AA14" s="42"/>
      <c r="AB14" s="41"/>
      <c r="AC14" s="41"/>
      <c r="AD14" s="41"/>
      <c r="AE14" s="41"/>
      <c r="AF14" s="41"/>
      <c r="AG14" s="41"/>
      <c r="AH14" s="41"/>
    </row>
    <row r="15" spans="1:34" ht="15">
      <c r="A15" s="67"/>
      <c r="B15" s="67"/>
      <c r="C15" s="42"/>
      <c r="D15" s="67"/>
      <c r="E15" s="67"/>
      <c r="F15" s="68"/>
      <c r="G15" s="67"/>
      <c r="H15" s="67"/>
      <c r="I15" s="69"/>
      <c r="J15" s="67"/>
      <c r="K15" s="67"/>
      <c r="L15" s="67"/>
      <c r="M15" s="67"/>
      <c r="N15" s="67"/>
      <c r="O15" s="67"/>
      <c r="P15" s="67"/>
      <c r="Q15" s="42"/>
      <c r="R15" s="27"/>
      <c r="S15" s="67"/>
      <c r="T15" s="27"/>
      <c r="U15" s="67"/>
      <c r="V15" s="6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ht="15">
      <c r="A16" s="70" t="s">
        <v>47</v>
      </c>
      <c r="B16" s="70" t="s">
        <v>4</v>
      </c>
      <c r="C16" s="70" t="s">
        <v>6</v>
      </c>
      <c r="D16" s="71"/>
      <c r="E16" s="72" t="s">
        <v>49</v>
      </c>
      <c r="F16" s="73" t="s">
        <v>50</v>
      </c>
      <c r="G16" s="74"/>
      <c r="H16" s="74"/>
      <c r="I16" s="74"/>
      <c r="J16" s="75"/>
      <c r="K16" s="26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</row>
    <row r="17" spans="1:34" ht="15">
      <c r="A17" s="74"/>
      <c r="B17" s="74"/>
      <c r="C17" s="74"/>
      <c r="D17" s="74"/>
      <c r="E17" s="76" t="s">
        <v>18</v>
      </c>
      <c r="F17" s="77">
        <v>4083333.333333333</v>
      </c>
      <c r="G17" s="74"/>
      <c r="H17" s="74"/>
      <c r="I17" s="74"/>
      <c r="J17" s="78"/>
      <c r="K17" s="26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5">
      <c r="A18" s="74"/>
      <c r="B18" s="74"/>
      <c r="C18" s="80"/>
      <c r="D18" s="74"/>
      <c r="E18" s="81" t="s">
        <v>19</v>
      </c>
      <c r="F18" s="77">
        <v>13005825</v>
      </c>
      <c r="G18" s="82"/>
      <c r="H18" s="82"/>
      <c r="I18" s="82"/>
      <c r="J18" s="78"/>
      <c r="K18" s="2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74"/>
      <c r="AC18" s="74"/>
      <c r="AD18" s="74"/>
      <c r="AE18" s="74"/>
      <c r="AF18" s="74"/>
      <c r="AG18" s="74"/>
      <c r="AH18" s="74"/>
    </row>
    <row r="19" spans="1:34" ht="15">
      <c r="A19" s="74"/>
      <c r="B19" s="74"/>
      <c r="C19" s="82"/>
      <c r="D19" s="74"/>
      <c r="E19" s="76" t="s">
        <v>20</v>
      </c>
      <c r="F19" s="77">
        <v>27329574.416666664</v>
      </c>
      <c r="G19" s="82"/>
      <c r="H19" s="82"/>
      <c r="I19" s="82"/>
      <c r="J19" s="78"/>
      <c r="K19" s="2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74"/>
      <c r="AC19" s="74"/>
      <c r="AD19" s="74"/>
      <c r="AE19" s="74"/>
      <c r="AF19" s="74"/>
      <c r="AG19" s="74"/>
      <c r="AH19" s="74"/>
    </row>
    <row r="20" spans="1:34" ht="15">
      <c r="A20" s="74"/>
      <c r="B20" s="74"/>
      <c r="C20" s="82"/>
      <c r="D20" s="74"/>
      <c r="E20" s="81" t="s">
        <v>21</v>
      </c>
      <c r="F20" s="77">
        <v>40967792.497916661</v>
      </c>
      <c r="G20" s="82"/>
      <c r="H20" s="82"/>
      <c r="I20" s="82"/>
      <c r="J20" s="78"/>
      <c r="K20" s="2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74"/>
      <c r="AC20" s="74"/>
      <c r="AD20" s="74"/>
      <c r="AE20" s="74"/>
      <c r="AF20" s="74"/>
      <c r="AG20" s="74"/>
      <c r="AH20" s="74"/>
    </row>
    <row r="21" spans="1:34" ht="15">
      <c r="A21" s="74"/>
      <c r="B21" s="74"/>
      <c r="C21" s="71"/>
      <c r="D21" s="74"/>
      <c r="E21" s="76" t="s">
        <v>22</v>
      </c>
      <c r="F21" s="77">
        <v>66983265.824149303</v>
      </c>
      <c r="G21" s="83"/>
      <c r="H21" s="83"/>
      <c r="I21" s="83"/>
      <c r="J21" s="78"/>
      <c r="K21" s="26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74"/>
      <c r="AC21" s="74"/>
      <c r="AD21" s="74"/>
      <c r="AE21" s="74"/>
      <c r="AF21" s="74"/>
      <c r="AG21" s="74"/>
      <c r="AH21" s="74"/>
    </row>
    <row r="22" spans="1:34" ht="15">
      <c r="A22" s="74"/>
      <c r="B22" s="74"/>
      <c r="C22" s="74"/>
      <c r="D22" s="74"/>
      <c r="E22" s="81" t="s">
        <v>23</v>
      </c>
      <c r="F22" s="77">
        <v>94309174.503650561</v>
      </c>
      <c r="G22" s="74"/>
      <c r="H22" s="74"/>
      <c r="I22" s="74"/>
      <c r="J22" s="78"/>
      <c r="K22" s="26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</row>
    <row r="23" spans="1:34" ht="15">
      <c r="A23" s="74"/>
      <c r="B23" s="74"/>
      <c r="C23" s="74"/>
      <c r="D23" s="74"/>
      <c r="E23" s="76" t="s">
        <v>28</v>
      </c>
      <c r="F23" s="77">
        <v>140749994.17037174</v>
      </c>
      <c r="G23" s="74"/>
      <c r="H23" s="74"/>
      <c r="I23" s="74"/>
      <c r="J23" s="78"/>
      <c r="K23" s="26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 spans="1:34" ht="15">
      <c r="A24" s="74"/>
      <c r="B24" s="74"/>
      <c r="C24" s="74"/>
      <c r="D24" s="74"/>
      <c r="E24" s="81" t="s">
        <v>29</v>
      </c>
      <c r="F24" s="84">
        <v>160732296.36472854</v>
      </c>
      <c r="G24" s="74"/>
      <c r="H24" s="74"/>
      <c r="I24" s="74"/>
      <c r="J24" s="78"/>
      <c r="K24" s="26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</row>
    <row r="25" spans="1:34" ht="15">
      <c r="A25" s="74"/>
      <c r="B25" s="74"/>
      <c r="C25" s="74"/>
      <c r="D25" s="74"/>
      <c r="E25" s="76" t="s">
        <v>30</v>
      </c>
      <c r="F25" s="77">
        <v>200948353.75811738</v>
      </c>
      <c r="G25" s="74"/>
      <c r="H25" s="74"/>
      <c r="I25" s="74"/>
      <c r="J25" s="78"/>
      <c r="K25" s="2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</row>
    <row r="26" spans="1:34" ht="15">
      <c r="A26" s="74"/>
      <c r="B26" s="74"/>
      <c r="C26" s="74"/>
      <c r="D26" s="74"/>
      <c r="E26" s="81" t="s">
        <v>31</v>
      </c>
      <c r="F26" s="77">
        <v>326046339.70582557</v>
      </c>
      <c r="G26" s="74"/>
      <c r="H26" s="74"/>
      <c r="I26" s="74"/>
      <c r="J26" s="78"/>
      <c r="K26" s="26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</row>
    <row r="27" spans="1:34" ht="15">
      <c r="A27" s="74"/>
      <c r="B27" s="74"/>
      <c r="C27" s="74"/>
      <c r="D27" s="74"/>
      <c r="E27" s="76" t="s">
        <v>32</v>
      </c>
      <c r="F27" s="77">
        <v>423252627.92640871</v>
      </c>
      <c r="G27" s="74"/>
      <c r="H27" s="74"/>
      <c r="I27" s="74"/>
      <c r="J27" s="78"/>
      <c r="K27" s="26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</row>
    <row r="28" spans="1:34" ht="15">
      <c r="A28" s="74"/>
      <c r="B28" s="74"/>
      <c r="C28" s="74"/>
      <c r="D28" s="74"/>
      <c r="E28" s="85" t="s">
        <v>33</v>
      </c>
      <c r="F28" s="77">
        <v>519153835.0280208</v>
      </c>
      <c r="G28" s="74"/>
      <c r="H28" s="74"/>
      <c r="I28" s="74"/>
      <c r="J28" s="78"/>
      <c r="K28" s="26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</row>
    <row r="29" spans="1:34" ht="15">
      <c r="A29" s="26"/>
      <c r="B29" s="26"/>
      <c r="C29" s="26"/>
      <c r="D29" s="26"/>
      <c r="E29" s="65" t="s">
        <v>44</v>
      </c>
      <c r="F29" s="86">
        <v>2017562412.5291893</v>
      </c>
      <c r="G29" s="26"/>
      <c r="H29" s="26"/>
      <c r="I29" s="26"/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5">
      <c r="A39" s="26"/>
      <c r="B39" s="26"/>
      <c r="C39" s="90">
        <f>SUM(P14)</f>
        <v>2017562412.5291893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5">
      <c r="A40" s="26"/>
      <c r="B40" s="90">
        <f>SUM(B14+L14+M14+O14)</f>
        <v>1614932957.4176607</v>
      </c>
      <c r="C40" s="90">
        <f>SUM(B14+L14+M14+O14)</f>
        <v>1614932957.4176607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5">
      <c r="A42" s="26"/>
      <c r="B42" s="26"/>
      <c r="C42" s="26"/>
      <c r="D42" s="26"/>
      <c r="E42" s="90">
        <f>SUM(C39-C40)</f>
        <v>402629455.11152864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5">
      <c r="A44" s="26"/>
      <c r="B44" s="26"/>
      <c r="C44" s="26"/>
      <c r="D44" s="26"/>
      <c r="E44" s="91">
        <f>SUM(E42/C39)</f>
        <v>0.19956232957710474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92" t="s">
        <v>50</v>
      </c>
      <c r="X44" s="92" t="s">
        <v>60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5">
      <c r="A45" s="26"/>
      <c r="B45" s="26"/>
      <c r="C45" s="91">
        <f>SUM(380409863/2017562413)</f>
        <v>0.18854924167344705</v>
      </c>
      <c r="D45" s="91">
        <f>SUM(C40/C39)</f>
        <v>0.80043767042289526</v>
      </c>
      <c r="E45" s="9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92" t="s">
        <v>61</v>
      </c>
      <c r="U45" s="26"/>
      <c r="V45" s="26"/>
      <c r="W45" s="92">
        <v>100</v>
      </c>
      <c r="X45" s="92">
        <v>10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92" t="s">
        <v>62</v>
      </c>
      <c r="U46" s="26"/>
      <c r="V46" s="26"/>
      <c r="W46" s="92">
        <v>200</v>
      </c>
      <c r="X46" s="92">
        <v>20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1:34" ht="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ht="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ht="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ht="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ht="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ht="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ht="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ht="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ht="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ht="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ht="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ht="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ht="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ht="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ht="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ht="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ht="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ht="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ht="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ht="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ht="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ht="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ht="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ht="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ht="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ht="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ht="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ht="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ht="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ht="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ht="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ht="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ht="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ht="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ht="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ht="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ht="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ht="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ht="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ht="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ht="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ht="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ht="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ht="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ht="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ht="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ht="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ht="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ht="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ht="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ht="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ht="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ht="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ht="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ht="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ht="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ht="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ht="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ht="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ht="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ht="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ht="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ht="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ht="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ht="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ht="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ht="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ht="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ht="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ht="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ht="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ht="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ht="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1:34" ht="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1:34" ht="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ht="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1:34" ht="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1:34" ht="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1:34" ht="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ht="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1:34" ht="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1:34" ht="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1:34" ht="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1:34" ht="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1:34" ht="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ht="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1:34" ht="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1:34" ht="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1:34" ht="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1:34" ht="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ht="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ht="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ht="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ht="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1:34" ht="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1:34" ht="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1:34" ht="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1:34" ht="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ht="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1:34" ht="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1:34" ht="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1:34" ht="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1:34" ht="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4" ht="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1:34" ht="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1:34" ht="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1:34" ht="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4" ht="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4" ht="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4" ht="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1:34" ht="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1:34" ht="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1:34" ht="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4" ht="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1:34" ht="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4" ht="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1:34" ht="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1:34" ht="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1:34" ht="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1:34" ht="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1:34" ht="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ht="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1:34" ht="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1:34" ht="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ht="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1:34" ht="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1:34" ht="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1:34" ht="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ht="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1:34" ht="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1:34" ht="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1:34" ht="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1:34" ht="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1:34" ht="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ht="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1:34" ht="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1:34" ht="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1:34" ht="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1:34" ht="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4" ht="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1:34" ht="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1:34" ht="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1:34" ht="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1:34" ht="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1:34" ht="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1:34" ht="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1:34" ht="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4" ht="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1:34" ht="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1:34" ht="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1:34" ht="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1:34" ht="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ht="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1:34" ht="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1:34" ht="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1:34" ht="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ht="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ht="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ht="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1:34" ht="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1:34" ht="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1:34" ht="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ht="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1:34" ht="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ht="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1:34" ht="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1:34" ht="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1:34" ht="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1:34" ht="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1:34" ht="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ht="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1:34" ht="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1:34" ht="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ht="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1:34" ht="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1:34" ht="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1:34" ht="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ht="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1:34" ht="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1:34" ht="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1:34" ht="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1:34" ht="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1:34" ht="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ht="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1:34" ht="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1:34" ht="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1:34" ht="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1:34" ht="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ht="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1:34" ht="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1:34" ht="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1:34" ht="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1:34" ht="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1:34" ht="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1:34" ht="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1:34" ht="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ht="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1:34" ht="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1:34" ht="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1:34" ht="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1:34" ht="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ht="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1:34" ht="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1:34" ht="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1:34" ht="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ht="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ht="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ht="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1:34" ht="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1:34" ht="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1:34" ht="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ht="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1:34" ht="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ht="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1:34" ht="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1:34" ht="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1:34" ht="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1:34" ht="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1:34" ht="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ht="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1:34" ht="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1:34" ht="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ht="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1:34" ht="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1:34" ht="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1:34" ht="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ht="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1:34" ht="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1:34" ht="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1:34" ht="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1:34" ht="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1:34" ht="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ht="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1:34" ht="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1:34" ht="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1:34" ht="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1:34" ht="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ht="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1:34" ht="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1:34" ht="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1:34" ht="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1:34" ht="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1:34" ht="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1:34" ht="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1:34" ht="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ht="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1:34" ht="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1:34" ht="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1:34" ht="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1:34" ht="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ht="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1:34" ht="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1:34" ht="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1:34" ht="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ht="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ht="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ht="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1:34" ht="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1:34" ht="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1:34" ht="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ht="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1:34" ht="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ht="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1:34" ht="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1:34" ht="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1:34" ht="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1:34" ht="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1:34" ht="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ht="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1:34" ht="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1:34" ht="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ht="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1:34" ht="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1:34" ht="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1:34" ht="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ht="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ht="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1:34" ht="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1:34" ht="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1:34" ht="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1:34" ht="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ht="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1:34" ht="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1:34" ht="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1:34" ht="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1:34" ht="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ht="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1:34" ht="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1:34" ht="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1:34" ht="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1:34" ht="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ht="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1:34" ht="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1:34" ht="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ht="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ht="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1:34" ht="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ht="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ht="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ht="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ht="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1:34" ht="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ht="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ht="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ht="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ht="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1:34" ht="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ht="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1:34" ht="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ht="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1:34" ht="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ht="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1:34" ht="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1:34" ht="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ht="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1:34" ht="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ht="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ht="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ht="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1:34" ht="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ht="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1:34" ht="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1:34" ht="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ht="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ht="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ht="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1:34" ht="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1:34" ht="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ht="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ht="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ht="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ht="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1:34" ht="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1:34" ht="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1:34" ht="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ht="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1:34" ht="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1:34" ht="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1:34" ht="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1:34" ht="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ht="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1:34" ht="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1:34" ht="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ht="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ht="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1:34" ht="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ht="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ht="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ht="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ht="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1:34" ht="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ht="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ht="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ht="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ht="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1:34" ht="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ht="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1:34" ht="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ht="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1:34" ht="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ht="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1:34" ht="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1:34" ht="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ht="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1:34" ht="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ht="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ht="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ht="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1:34" ht="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ht="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1:34" ht="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1:34" ht="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ht="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ht="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ht="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1:34" ht="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1:34" ht="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ht="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ht="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ht="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ht="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1:34" ht="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1:34" ht="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1:34" ht="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ht="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1:34" ht="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1:34" ht="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1:34" ht="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1:34" ht="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1:34" ht="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1:34" ht="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1:34" ht="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ht="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1:34" ht="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1:34" ht="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1:34" ht="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1:34" ht="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ht="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1:34" ht="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1:34" ht="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1:34" ht="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ht="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ht="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ht="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1:34" ht="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1:34" ht="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1:34" ht="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ht="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1:34" ht="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ht="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1:34" ht="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1:34" ht="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1:34" ht="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1:34" ht="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1:34" ht="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ht="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1:34" ht="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1:34" ht="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ht="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1:34" ht="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1:34" ht="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1:34" ht="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ht="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1:34" ht="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1:34" ht="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1:34" ht="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1:34" ht="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1:34" ht="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ht="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1:34" ht="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1:34" ht="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1:34" ht="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1:34" ht="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ht="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1:34" ht="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1:34" ht="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1:34" ht="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1:34" ht="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1:34" ht="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1:34" ht="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1:34" ht="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1:34" ht="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1:34" ht="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1:34" ht="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1:34" ht="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1:34" ht="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1:34" ht="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1:34" ht="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1:34" ht="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1:34" ht="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1:34" ht="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1:34" ht="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1:34" ht="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1:34" ht="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1:34" ht="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1:34" ht="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1:34" ht="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1:34" ht="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1:34" ht="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1:34" ht="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1:34" ht="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1:34" ht="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1:34" ht="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1:34" ht="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1:34" ht="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1:34" ht="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1:34" ht="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1:34" ht="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1:34" ht="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1:34" ht="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1:34" ht="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1:34" ht="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1:34" ht="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1:34" ht="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1:34" ht="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1:34" ht="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1:34" ht="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1:34" ht="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1:34" ht="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1:34" ht="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1:34" ht="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1:34" ht="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1:34" ht="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1:34" ht="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1:34" ht="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1:34" ht="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1:34" ht="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1:34" ht="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1:34" ht="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1:34" ht="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1:34" ht="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1:34" ht="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1:34" ht="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1:34" ht="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1:34" ht="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1:34" ht="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1:34" ht="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1:34" ht="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1:34" ht="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1:34" ht="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1:34" ht="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1:34" ht="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1:34" ht="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1:34" ht="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1:34" ht="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1:34" ht="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1:34" ht="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1:34" ht="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1:34" ht="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1:34" ht="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1:34" ht="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1:34" ht="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1:34" ht="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1:34" ht="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1:34" ht="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1:34" ht="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1:34" ht="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1:34" ht="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1:34" ht="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1:34" ht="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1:34" ht="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spans="1:34" ht="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spans="1:34" ht="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spans="1:34" ht="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spans="1:34" ht="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spans="1:34" ht="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spans="1:34" ht="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spans="1:34" ht="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spans="1:34" ht="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spans="1:34" ht="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spans="1:34" ht="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spans="1:34" ht="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spans="1:34" ht="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spans="1:34" ht="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spans="1:34" ht="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spans="1:34" ht="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spans="1:34" ht="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spans="1:34" ht="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spans="1:34" ht="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spans="1:34" ht="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spans="1:34" ht="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spans="1:34" ht="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spans="1:34" ht="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spans="1:34" ht="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spans="1:34" ht="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spans="1:34" ht="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spans="1:34" ht="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spans="1:34" ht="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spans="1:34" ht="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spans="1:34" ht="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spans="1:34" ht="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spans="1:34" ht="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spans="1:34" ht="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spans="1:34" ht="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spans="1:34" ht="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spans="1:34" ht="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spans="1:34" ht="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spans="1:34" ht="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spans="1:34" ht="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spans="1:34" ht="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spans="1:34" ht="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spans="1:34" ht="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spans="1:34" ht="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spans="1:34" ht="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spans="1:34" ht="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spans="1:34" ht="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spans="1:34" ht="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spans="1:34" ht="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spans="1:34" ht="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spans="1:34" ht="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spans="1:34" ht="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spans="1:34" ht="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spans="1:34" ht="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spans="1:34" ht="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spans="1:34" ht="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spans="1:34" ht="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spans="1:34" ht="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spans="1:34" ht="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spans="1:34" ht="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spans="1:34" ht="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spans="1:34" ht="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spans="1:34" ht="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spans="1:34" ht="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spans="1:34" ht="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spans="1:34" ht="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spans="1:34" ht="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spans="1:34" ht="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spans="1:34" ht="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spans="1:34" ht="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spans="1:34" ht="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spans="1:34" ht="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spans="1:34" ht="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spans="1:34" ht="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spans="1:34" ht="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spans="1:34" ht="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spans="1:34" ht="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spans="1:34" ht="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spans="1:34" ht="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spans="1:34" ht="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spans="1:34" ht="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spans="1:34" ht="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spans="1:34" ht="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spans="1:34" ht="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spans="1:34" ht="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spans="1:34" ht="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spans="1:34" ht="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spans="1:34" ht="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spans="1:34" ht="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spans="1:34" ht="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spans="1:34" ht="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spans="1:34" ht="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spans="1:34" ht="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spans="1:34" ht="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spans="1:34" ht="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spans="1:34" ht="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spans="1:34" ht="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spans="1:34" ht="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spans="1:34" ht="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spans="1:34" ht="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spans="1:34" ht="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spans="1:34" ht="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spans="1:34" ht="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spans="1:34" ht="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spans="1:34" ht="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spans="1:34" ht="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spans="1:34" ht="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spans="1:34" ht="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spans="1:34" ht="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spans="1:34" ht="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spans="1:34" ht="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spans="1:34" ht="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spans="1:34" ht="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spans="1:34" ht="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spans="1:34" ht="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spans="1:34" ht="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spans="1:34" ht="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spans="1:34" ht="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spans="1:34" ht="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spans="1:34" ht="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spans="1:34" ht="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spans="1:34" ht="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spans="1:34" ht="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spans="1:34" ht="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spans="1:34" ht="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spans="1:34" ht="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spans="1:34" ht="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spans="1:34" ht="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spans="1:34" ht="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spans="1:34" ht="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spans="1:34" ht="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spans="1:34" ht="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spans="1:34" ht="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spans="1:34" ht="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spans="1:34" ht="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spans="1:34" ht="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spans="1:34" ht="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spans="1:34" ht="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spans="1:34" ht="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spans="1:34" ht="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spans="1:34" ht="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spans="1:34" ht="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spans="1:34" ht="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spans="1:34" ht="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spans="1:34" ht="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spans="1:34" ht="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spans="1:34" ht="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spans="1:34" ht="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spans="1:34" ht="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spans="1:34" ht="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spans="1:34" ht="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spans="1:34" ht="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spans="1:34" ht="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spans="1:34" ht="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spans="1:34" ht="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spans="1:34" ht="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spans="1:34" ht="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spans="1:34" ht="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spans="1:34" ht="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spans="1:34" ht="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spans="1:34" ht="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spans="1:34" ht="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spans="1:34" ht="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spans="1:34" ht="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spans="1:34" ht="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spans="1:34" ht="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spans="1:34" ht="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spans="1:34" ht="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spans="1:34" ht="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spans="1:34" ht="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spans="1:34" ht="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spans="1:34" ht="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spans="1:34" ht="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spans="1:34" ht="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spans="1:34" ht="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spans="1:34" ht="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spans="1:34" ht="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spans="1:34" ht="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spans="1:34" ht="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spans="1:34" ht="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spans="1:34" ht="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spans="1:34" ht="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spans="1:34" ht="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spans="1:34" ht="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spans="1:34" ht="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spans="1:34" ht="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spans="1:34" ht="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spans="1:34" ht="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spans="1:34" ht="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spans="1:34" ht="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spans="1:34" ht="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spans="1:34" ht="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spans="1:34" ht="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spans="1:34" ht="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spans="1:34" ht="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spans="1:34" ht="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spans="1:34" ht="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spans="1:34" ht="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spans="1:34" ht="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spans="1:34" ht="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spans="1:34" ht="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spans="1:34" ht="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spans="1:34" ht="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spans="1:34" ht="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spans="1:34" ht="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spans="1:34" ht="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spans="1:34" ht="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spans="1:34" ht="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spans="1:34" ht="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spans="1:34" ht="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spans="1:34" ht="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spans="1:34" ht="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spans="1:34" ht="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spans="1:34" ht="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spans="1:34" ht="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spans="1:34" ht="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spans="1:34" ht="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spans="1:34" ht="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spans="1:34" ht="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spans="1:34" ht="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spans="1:34" ht="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spans="1:34" ht="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spans="1:34" ht="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spans="1:34" ht="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spans="1:34" ht="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spans="1:34" ht="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spans="1:34" ht="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spans="1:34" ht="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spans="1:34" ht="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spans="1:34" ht="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spans="1:34" ht="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spans="1:34" ht="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spans="1:34" ht="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spans="1:34" ht="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spans="1:34" ht="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spans="1:34" ht="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spans="1:34" ht="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spans="1:34" ht="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spans="1:34" ht="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spans="1:34" ht="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spans="1:34" ht="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spans="1:34" ht="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spans="1:34" ht="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spans="1:34" ht="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spans="1:34" ht="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spans="1:34" ht="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spans="1:34" ht="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spans="1:34" ht="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spans="1:34" ht="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spans="1:34" ht="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spans="1:34" ht="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spans="1:34" ht="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spans="1:34" ht="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spans="1:34" ht="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spans="1:34" ht="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spans="1:34" ht="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spans="1:34" ht="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spans="1:34" ht="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spans="1:34" ht="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spans="1:34" ht="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spans="1:34" ht="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spans="1:34" ht="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spans="1:34" ht="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spans="1:34" ht="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spans="1:34" ht="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spans="1:34" ht="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spans="1:34" ht="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spans="1:34" ht="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spans="1:34" ht="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spans="1:34" ht="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spans="1:34" ht="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spans="1:34" ht="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spans="1:34" ht="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spans="1:34" ht="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spans="1:34" ht="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spans="1:34" ht="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spans="1:34" ht="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spans="1:34" ht="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spans="1:34" ht="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spans="1:34" ht="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spans="1:34" ht="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spans="1:34" ht="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spans="1:34" ht="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spans="1:34" ht="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spans="1:34" ht="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spans="1:34" ht="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spans="1:34" ht="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spans="1:34" ht="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spans="1:34" ht="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spans="1:34" ht="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spans="1:34" ht="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spans="1:34" ht="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spans="1:34" ht="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spans="1:34" ht="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spans="1:34" ht="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spans="1:34" ht="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spans="1:34" ht="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spans="1:34" ht="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spans="1:34" ht="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spans="1:34" ht="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spans="1:34" ht="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spans="1:34" ht="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spans="1:34" ht="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spans="1:34" ht="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spans="1:34" ht="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spans="1:34" ht="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spans="1:34" ht="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spans="1:34" ht="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spans="1:34" ht="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spans="1:34" ht="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 spans="1:34" ht="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 spans="1:34" ht="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</sheetData>
  <phoneticPr fontId="9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9E30-89B0-4BC1-B4C2-D0C8FCCDE413}">
  <dimension ref="A1:AI1000"/>
  <sheetViews>
    <sheetView tabSelected="1" workbookViewId="0">
      <selection activeCell="N15" sqref="N15"/>
    </sheetView>
  </sheetViews>
  <sheetFormatPr defaultColWidth="14.42578125" defaultRowHeight="12.75"/>
  <cols>
    <col min="1" max="1" width="14.42578125" style="104"/>
    <col min="2" max="2" width="16" style="104" customWidth="1"/>
    <col min="3" max="3" width="14.42578125" style="104"/>
    <col min="4" max="4" width="15.42578125" style="104" customWidth="1"/>
    <col min="5" max="5" width="14.42578125" style="104"/>
    <col min="6" max="6" width="19.5703125" style="104" customWidth="1"/>
    <col min="7" max="7" width="14.42578125" style="104"/>
    <col min="8" max="8" width="17.28515625" style="104" customWidth="1"/>
    <col min="9" max="12" width="14.42578125" style="104"/>
    <col min="13" max="13" width="15.28515625" style="104" bestFit="1" customWidth="1"/>
    <col min="14" max="16" width="14.42578125" style="104"/>
    <col min="17" max="17" width="17.140625" style="104" customWidth="1"/>
    <col min="18" max="18" width="19.28515625" style="104" customWidth="1"/>
    <col min="19" max="19" width="21.42578125" style="104" customWidth="1"/>
    <col min="20" max="20" width="15.42578125" style="104" bestFit="1" customWidth="1"/>
    <col min="21" max="21" width="14.42578125" style="104"/>
    <col min="22" max="22" width="27.42578125" style="104" customWidth="1"/>
    <col min="23" max="23" width="31.5703125" style="104" customWidth="1"/>
    <col min="24" max="24" width="15.85546875" style="104" customWidth="1"/>
    <col min="25" max="27" width="14.42578125" style="104"/>
    <col min="28" max="28" width="21.7109375" style="104" customWidth="1"/>
    <col min="29" max="16384" width="14.42578125" style="104"/>
  </cols>
  <sheetData>
    <row r="1" spans="1:35" ht="20.25" customHeight="1">
      <c r="A1" s="26"/>
      <c r="B1" s="26" t="s">
        <v>0</v>
      </c>
      <c r="C1" s="26" t="s">
        <v>1</v>
      </c>
      <c r="D1" s="26" t="s">
        <v>76</v>
      </c>
      <c r="E1" s="26" t="s">
        <v>77</v>
      </c>
      <c r="F1" s="26" t="s">
        <v>75</v>
      </c>
      <c r="G1" s="103" t="s">
        <v>78</v>
      </c>
      <c r="H1" s="103" t="s">
        <v>7</v>
      </c>
      <c r="I1" s="103" t="s">
        <v>8</v>
      </c>
      <c r="J1" s="103" t="s">
        <v>5</v>
      </c>
      <c r="K1" s="26" t="s">
        <v>9</v>
      </c>
      <c r="L1" s="103" t="s">
        <v>10</v>
      </c>
      <c r="M1" s="108" t="s">
        <v>80</v>
      </c>
      <c r="N1" s="108" t="s">
        <v>81</v>
      </c>
      <c r="O1" s="108" t="s">
        <v>79</v>
      </c>
      <c r="P1" s="26" t="s">
        <v>25</v>
      </c>
      <c r="Q1" s="26" t="s">
        <v>12</v>
      </c>
      <c r="R1" s="26" t="s">
        <v>13</v>
      </c>
      <c r="S1" s="26" t="s">
        <v>14</v>
      </c>
      <c r="T1" s="27" t="s">
        <v>16</v>
      </c>
      <c r="U1" s="27" t="s">
        <v>17</v>
      </c>
      <c r="V1" s="26" t="s">
        <v>26</v>
      </c>
      <c r="W1" s="26" t="s">
        <v>27</v>
      </c>
      <c r="X1" s="27"/>
      <c r="Y1" s="27"/>
      <c r="Z1" s="26"/>
      <c r="AA1" s="26"/>
      <c r="AB1" s="27"/>
      <c r="AC1" s="26"/>
      <c r="AD1" s="26"/>
      <c r="AE1" s="26"/>
      <c r="AF1" s="26"/>
      <c r="AG1" s="26"/>
      <c r="AH1" s="26"/>
      <c r="AI1" s="26"/>
    </row>
    <row r="2" spans="1:35" ht="20.25" customHeight="1">
      <c r="A2" s="48" t="s">
        <v>18</v>
      </c>
      <c r="B2" s="39">
        <v>30000000</v>
      </c>
      <c r="C2" s="30">
        <f>SUM(B2/Q2)</f>
        <v>1.8239982040633067</v>
      </c>
      <c r="D2" s="48">
        <v>130</v>
      </c>
      <c r="E2" s="39">
        <f>SUM(B2/D2)</f>
        <v>230769.23076923078</v>
      </c>
      <c r="F2" s="38">
        <v>8.0000000000000002E-3</v>
      </c>
      <c r="G2" s="38">
        <v>0</v>
      </c>
      <c r="H2" s="39">
        <f t="shared" ref="H2:H13" si="0">SUM(J2*G2)</f>
        <v>0</v>
      </c>
      <c r="I2" s="34">
        <f>SUM(J2*G2)</f>
        <v>0</v>
      </c>
      <c r="J2" s="39">
        <f>SUM(E2*F2)</f>
        <v>1846.1538461538462</v>
      </c>
      <c r="K2" s="39">
        <v>8909</v>
      </c>
      <c r="L2" s="39">
        <f>SUM((K2*0.15)*J2)</f>
        <v>2467107.692307692</v>
      </c>
      <c r="M2" s="39">
        <v>3000000</v>
      </c>
      <c r="N2" s="39">
        <v>6000000</v>
      </c>
      <c r="O2" s="39">
        <v>1000000</v>
      </c>
      <c r="P2" s="39">
        <f t="shared" ref="P2:P4" si="1">SUM(Q2*0.08)</f>
        <v>1315790.7692307692</v>
      </c>
      <c r="Q2" s="39">
        <f>SUM(J2*K2)</f>
        <v>16447384.615384616</v>
      </c>
      <c r="R2" s="39">
        <f>SUM((Q2-B2)-L2)</f>
        <v>-16019723.076923076</v>
      </c>
      <c r="S2" s="36">
        <f t="shared" ref="S2:S14" si="2">SUM(Q2/(B2+L2)-1)</f>
        <v>-0.49341392614158142</v>
      </c>
      <c r="T2" s="39">
        <f>SUM(Q2-(B2+L2+M2+P2))</f>
        <v>-20335513.846153848</v>
      </c>
      <c r="U2" s="38">
        <f t="shared" ref="U2:U14" si="3">SUM((Q2-(B2+L2+M2+P2))/Q2)</f>
        <v>-1.2363980244696375</v>
      </c>
      <c r="V2" s="39">
        <f t="shared" ref="V2:V13" si="4">SUM(Q2*0.05)</f>
        <v>822369.23076923087</v>
      </c>
      <c r="W2" s="39">
        <f t="shared" ref="W2:W6" si="5">SUM(T2*0.25)</f>
        <v>-5083878.461538462</v>
      </c>
      <c r="X2" s="48"/>
      <c r="Y2" s="48"/>
      <c r="Z2" s="48"/>
      <c r="AA2" s="48"/>
      <c r="AB2" s="76"/>
      <c r="AC2" s="48"/>
      <c r="AD2" s="48"/>
      <c r="AE2" s="48"/>
      <c r="AF2" s="48"/>
      <c r="AG2" s="48"/>
      <c r="AH2" s="48"/>
      <c r="AI2" s="48"/>
    </row>
    <row r="3" spans="1:35" ht="20.25" customHeight="1">
      <c r="A3" s="48" t="s">
        <v>19</v>
      </c>
      <c r="B3" s="39">
        <v>30000000</v>
      </c>
      <c r="C3" s="30">
        <f t="shared" ref="C3:C12" si="6">SUM(B3/Q3)</f>
        <v>1.341175150046549</v>
      </c>
      <c r="D3" s="48">
        <v>130</v>
      </c>
      <c r="E3" s="39">
        <f t="shared" ref="E3:E13" si="7">SUM(B3/D3)</f>
        <v>230769.23076923078</v>
      </c>
      <c r="F3" s="38">
        <v>0.01</v>
      </c>
      <c r="G3" s="38">
        <v>0.11</v>
      </c>
      <c r="H3" s="39">
        <f>SUM(J2*G3)</f>
        <v>203.07692307692309</v>
      </c>
      <c r="I3" s="34">
        <f t="shared" ref="I3:I14" si="8">SUM(H3+I2)</f>
        <v>203.07692307692309</v>
      </c>
      <c r="J3" s="39">
        <f t="shared" ref="J3:J13" si="9">SUM((E3*F3)+I2)</f>
        <v>2307.6923076923081</v>
      </c>
      <c r="K3" s="39">
        <v>8909</v>
      </c>
      <c r="L3" s="39">
        <f t="shared" ref="L3:L13" si="10">SUM((K3*0.15)*J3)</f>
        <v>3083884.6153846155</v>
      </c>
      <c r="M3" s="39">
        <v>3000000</v>
      </c>
      <c r="N3" s="39">
        <v>6000000</v>
      </c>
      <c r="O3" s="39">
        <v>1000000</v>
      </c>
      <c r="P3" s="39">
        <f t="shared" si="1"/>
        <v>1789475.4461538463</v>
      </c>
      <c r="Q3" s="39">
        <f>SUM((J3*K3)+(I3*K3))</f>
        <v>22368443.07692308</v>
      </c>
      <c r="R3" s="39">
        <f t="shared" ref="R2:R14" si="11">SUM((Q3-B3)-L3)</f>
        <v>-10715441.538461536</v>
      </c>
      <c r="S3" s="36">
        <f t="shared" si="2"/>
        <v>-0.32388704237829002</v>
      </c>
      <c r="T3" s="39">
        <f t="shared" ref="T2:T13" si="12">SUM(Q3-(B3+L3+M3+P3))</f>
        <v>-15504916.984615386</v>
      </c>
      <c r="U3" s="38">
        <f t="shared" si="3"/>
        <v>-0.69316031211002749</v>
      </c>
      <c r="V3" s="39">
        <f t="shared" si="4"/>
        <v>1118422.153846154</v>
      </c>
      <c r="W3" s="39">
        <f t="shared" si="5"/>
        <v>-3876229.2461538464</v>
      </c>
      <c r="X3" s="76"/>
      <c r="Y3" s="76"/>
      <c r="Z3" s="48"/>
      <c r="AA3" s="48"/>
      <c r="AB3" s="76"/>
      <c r="AC3" s="48"/>
      <c r="AD3" s="48"/>
      <c r="AE3" s="48"/>
      <c r="AF3" s="48"/>
      <c r="AG3" s="48"/>
      <c r="AH3" s="48"/>
      <c r="AI3" s="48"/>
    </row>
    <row r="4" spans="1:35" ht="20.25" customHeight="1">
      <c r="A4" s="48" t="s">
        <v>20</v>
      </c>
      <c r="B4" s="39">
        <v>40000000</v>
      </c>
      <c r="C4" s="30">
        <f t="shared" si="6"/>
        <v>1.1335752842620817</v>
      </c>
      <c r="D4" s="48">
        <v>120</v>
      </c>
      <c r="E4" s="39">
        <f t="shared" si="7"/>
        <v>333333.33333333331</v>
      </c>
      <c r="F4" s="38">
        <v>0.01</v>
      </c>
      <c r="G4" s="38">
        <v>0.12</v>
      </c>
      <c r="H4" s="39">
        <f t="shared" si="0"/>
        <v>424.36923076923068</v>
      </c>
      <c r="I4" s="34">
        <f>SUM(H4+I3)</f>
        <v>627.44615384615372</v>
      </c>
      <c r="J4" s="39">
        <f t="shared" si="9"/>
        <v>3536.4102564102559</v>
      </c>
      <c r="K4" s="39">
        <v>8909</v>
      </c>
      <c r="L4" s="39">
        <f t="shared" si="10"/>
        <v>4725881.8461538451</v>
      </c>
      <c r="M4" s="39">
        <v>3000000</v>
      </c>
      <c r="N4" s="39">
        <v>6000000</v>
      </c>
      <c r="O4" s="39">
        <v>1000000</v>
      </c>
      <c r="P4" s="39">
        <f t="shared" si="1"/>
        <v>2822926.7561025638</v>
      </c>
      <c r="Q4" s="39">
        <f t="shared" ref="Q4:Q13" si="13">SUM((J4*K4)+(H4*K4))</f>
        <v>35286584.451282047</v>
      </c>
      <c r="R4" s="39">
        <f t="shared" si="11"/>
        <v>-9439297.3948717974</v>
      </c>
      <c r="S4" s="36">
        <f t="shared" si="2"/>
        <v>-0.21104776485661447</v>
      </c>
      <c r="T4" s="39">
        <f t="shared" si="12"/>
        <v>-15262224.150974363</v>
      </c>
      <c r="U4" s="38">
        <f t="shared" si="3"/>
        <v>-0.43252200201030933</v>
      </c>
      <c r="V4" s="39">
        <f t="shared" si="4"/>
        <v>1764329.2225641024</v>
      </c>
      <c r="W4" s="39">
        <f t="shared" si="5"/>
        <v>-3815556.0377435908</v>
      </c>
      <c r="X4" s="55"/>
      <c r="Y4" s="55"/>
      <c r="Z4" s="48"/>
      <c r="AA4" s="48"/>
      <c r="AB4" s="55"/>
      <c r="AC4" s="48"/>
      <c r="AD4" s="48"/>
      <c r="AE4" s="48"/>
      <c r="AF4" s="48"/>
      <c r="AG4" s="48"/>
      <c r="AH4" s="48"/>
      <c r="AI4" s="48"/>
    </row>
    <row r="5" spans="1:35" ht="20.25" customHeight="1">
      <c r="A5" s="48" t="s">
        <v>21</v>
      </c>
      <c r="B5" s="39">
        <v>50000000</v>
      </c>
      <c r="C5" s="30">
        <f t="shared" si="6"/>
        <v>0.95314704786186288</v>
      </c>
      <c r="D5" s="48">
        <v>120</v>
      </c>
      <c r="E5" s="39">
        <f t="shared" si="7"/>
        <v>416666.66666666669</v>
      </c>
      <c r="F5" s="38">
        <v>1.0999999999999999E-2</v>
      </c>
      <c r="G5" s="38">
        <v>0.13</v>
      </c>
      <c r="H5" s="39">
        <f t="shared" si="0"/>
        <v>677.40133333333335</v>
      </c>
      <c r="I5" s="34">
        <f t="shared" si="8"/>
        <v>1304.847487179487</v>
      </c>
      <c r="J5" s="39">
        <f t="shared" si="9"/>
        <v>5210.7794871794868</v>
      </c>
      <c r="K5" s="39">
        <v>8909</v>
      </c>
      <c r="L5" s="39">
        <f t="shared" si="10"/>
        <v>6963425.1676923065</v>
      </c>
      <c r="M5" s="39">
        <v>5000000</v>
      </c>
      <c r="N5" s="39">
        <v>5000000</v>
      </c>
      <c r="O5" s="39">
        <v>1000000</v>
      </c>
      <c r="P5" s="39">
        <f>SUM(Q5*0.08)</f>
        <v>4196624.234395897</v>
      </c>
      <c r="Q5" s="39">
        <f t="shared" si="13"/>
        <v>52457802.929948717</v>
      </c>
      <c r="R5" s="39">
        <f t="shared" si="11"/>
        <v>-4505622.2377435891</v>
      </c>
      <c r="S5" s="36">
        <f t="shared" si="2"/>
        <v>-7.909675769109159E-2</v>
      </c>
      <c r="T5" s="39">
        <f t="shared" si="12"/>
        <v>-13702246.472139485</v>
      </c>
      <c r="U5" s="38">
        <f t="shared" si="3"/>
        <v>-0.26120511547990749</v>
      </c>
      <c r="V5" s="39">
        <f t="shared" si="4"/>
        <v>2622890.1464974359</v>
      </c>
      <c r="W5" s="39">
        <f t="shared" si="5"/>
        <v>-3425561.6180348713</v>
      </c>
      <c r="X5" s="55"/>
      <c r="Y5" s="55"/>
      <c r="Z5" s="48"/>
      <c r="AA5" s="48"/>
      <c r="AB5" s="55"/>
      <c r="AC5" s="48"/>
      <c r="AD5" s="48"/>
      <c r="AE5" s="48"/>
      <c r="AF5" s="48"/>
      <c r="AG5" s="48"/>
      <c r="AH5" s="48"/>
      <c r="AI5" s="48"/>
    </row>
    <row r="6" spans="1:35" ht="20.25" customHeight="1">
      <c r="A6" s="48" t="s">
        <v>22</v>
      </c>
      <c r="B6" s="39">
        <v>60000000</v>
      </c>
      <c r="C6" s="30">
        <f t="shared" si="6"/>
        <v>0.80873509012497546</v>
      </c>
      <c r="D6" s="48">
        <v>110</v>
      </c>
      <c r="E6" s="39">
        <f t="shared" si="7"/>
        <v>545454.54545454541</v>
      </c>
      <c r="F6" s="38">
        <v>1.0999999999999999E-2</v>
      </c>
      <c r="G6" s="38">
        <v>0.14000000000000001</v>
      </c>
      <c r="H6" s="39">
        <f t="shared" si="0"/>
        <v>1022.6786482051282</v>
      </c>
      <c r="I6" s="34">
        <f t="shared" si="8"/>
        <v>2327.5261353846154</v>
      </c>
      <c r="J6" s="39">
        <f t="shared" si="9"/>
        <v>7304.8474871794861</v>
      </c>
      <c r="K6" s="39">
        <v>8909</v>
      </c>
      <c r="L6" s="39">
        <f t="shared" si="10"/>
        <v>9761832.9394923057</v>
      </c>
      <c r="M6" s="39">
        <v>5000000</v>
      </c>
      <c r="N6" s="39">
        <v>5000000</v>
      </c>
      <c r="O6" s="39">
        <v>1000000</v>
      </c>
      <c r="P6" s="39">
        <f t="shared" ref="P6:P13" si="14">SUM(Q6*0.08)</f>
        <v>5935194.4272113219</v>
      </c>
      <c r="Q6" s="39">
        <f t="shared" si="13"/>
        <v>74189930.34014152</v>
      </c>
      <c r="R6" s="39">
        <f t="shared" si="11"/>
        <v>4428097.4006492142</v>
      </c>
      <c r="S6" s="36">
        <f t="shared" si="2"/>
        <v>6.3474499078742808E-2</v>
      </c>
      <c r="T6" s="39">
        <f t="shared" si="12"/>
        <v>-6507097.0265621096</v>
      </c>
      <c r="U6" s="38">
        <f t="shared" si="3"/>
        <v>-8.7708628337144448E-2</v>
      </c>
      <c r="V6" s="39">
        <f t="shared" si="4"/>
        <v>3709496.5170070762</v>
      </c>
      <c r="W6" s="39">
        <f t="shared" si="5"/>
        <v>-1626774.2566405274</v>
      </c>
      <c r="X6" s="55"/>
      <c r="Y6" s="55"/>
      <c r="Z6" s="48"/>
      <c r="AA6" s="48"/>
      <c r="AB6" s="55"/>
      <c r="AC6" s="48"/>
      <c r="AD6" s="48"/>
      <c r="AE6" s="48"/>
      <c r="AF6" s="48"/>
      <c r="AG6" s="48"/>
      <c r="AH6" s="48"/>
      <c r="AI6" s="48"/>
    </row>
    <row r="7" spans="1:35" ht="20.25" customHeight="1">
      <c r="A7" s="48" t="s">
        <v>23</v>
      </c>
      <c r="B7" s="39">
        <v>70000000</v>
      </c>
      <c r="C7" s="30">
        <f t="shared" si="6"/>
        <v>0.7356938402070794</v>
      </c>
      <c r="D7" s="48">
        <v>110</v>
      </c>
      <c r="E7" s="39">
        <f t="shared" si="7"/>
        <v>636363.63636363635</v>
      </c>
      <c r="F7" s="38">
        <v>1.0999999999999999E-2</v>
      </c>
      <c r="G7" s="38">
        <v>0.14499999999999999</v>
      </c>
      <c r="H7" s="39">
        <f t="shared" si="0"/>
        <v>1352.491289630769</v>
      </c>
      <c r="I7" s="34">
        <f t="shared" si="8"/>
        <v>3680.0174250153841</v>
      </c>
      <c r="J7" s="39">
        <f t="shared" si="9"/>
        <v>9327.5261353846145</v>
      </c>
      <c r="K7" s="39">
        <v>8909</v>
      </c>
      <c r="L7" s="39">
        <f t="shared" si="10"/>
        <v>12464839.551021229</v>
      </c>
      <c r="M7" s="39">
        <v>5000000</v>
      </c>
      <c r="N7" s="39">
        <v>5000000</v>
      </c>
      <c r="O7" s="39">
        <v>1000000</v>
      </c>
      <c r="P7" s="39">
        <f t="shared" si="14"/>
        <v>7611862.0191569636</v>
      </c>
      <c r="Q7" s="39">
        <f t="shared" si="13"/>
        <v>95148275.239462048</v>
      </c>
      <c r="R7" s="39">
        <f t="shared" si="11"/>
        <v>12683435.688440818</v>
      </c>
      <c r="S7" s="36">
        <f t="shared" si="2"/>
        <v>0.15380416378053496</v>
      </c>
      <c r="T7" s="39">
        <f t="shared" si="12"/>
        <v>71573.669283851981</v>
      </c>
      <c r="U7" s="38">
        <f t="shared" si="3"/>
        <v>7.522329659021221E-4</v>
      </c>
      <c r="V7" s="39">
        <f t="shared" si="4"/>
        <v>4757413.7619731026</v>
      </c>
      <c r="W7" s="39">
        <f>SUM(T7*0.25)</f>
        <v>17893.417320962995</v>
      </c>
      <c r="X7" s="55"/>
      <c r="Y7" s="55"/>
      <c r="Z7" s="48"/>
      <c r="AA7" s="48"/>
      <c r="AB7" s="55"/>
      <c r="AC7" s="48"/>
      <c r="AD7" s="48"/>
      <c r="AE7" s="48"/>
      <c r="AF7" s="48"/>
      <c r="AG7" s="48"/>
      <c r="AH7" s="48"/>
      <c r="AI7" s="48"/>
    </row>
    <row r="8" spans="1:35" ht="20.25" customHeight="1">
      <c r="A8" s="48" t="s">
        <v>28</v>
      </c>
      <c r="B8" s="39">
        <v>80000000</v>
      </c>
      <c r="C8" s="30">
        <f t="shared" si="6"/>
        <v>0.62567383837967672</v>
      </c>
      <c r="D8" s="48">
        <v>100</v>
      </c>
      <c r="E8" s="39">
        <f t="shared" si="7"/>
        <v>800000</v>
      </c>
      <c r="F8" s="38">
        <v>1.0999999999999999E-2</v>
      </c>
      <c r="G8" s="38">
        <v>0.15</v>
      </c>
      <c r="H8" s="39">
        <f t="shared" si="0"/>
        <v>1872.0026137523073</v>
      </c>
      <c r="I8" s="34">
        <f t="shared" si="8"/>
        <v>5552.0200387676914</v>
      </c>
      <c r="J8" s="39">
        <f t="shared" si="9"/>
        <v>12480.017425015383</v>
      </c>
      <c r="K8" s="39">
        <v>8909</v>
      </c>
      <c r="L8" s="39">
        <f t="shared" si="10"/>
        <v>16677671.285919307</v>
      </c>
      <c r="M8" s="39">
        <v>8000000</v>
      </c>
      <c r="N8" s="39">
        <v>4000000</v>
      </c>
      <c r="O8" s="39">
        <f>Q8*1.2%</f>
        <v>1534345.7583045764</v>
      </c>
      <c r="P8" s="39">
        <f t="shared" si="14"/>
        <v>10228971.722030509</v>
      </c>
      <c r="Q8" s="39">
        <f t="shared" si="13"/>
        <v>127862146.52538136</v>
      </c>
      <c r="R8" s="39">
        <f t="shared" si="11"/>
        <v>31184475.239462048</v>
      </c>
      <c r="S8" s="36">
        <f t="shared" si="2"/>
        <v>0.32256129905358955</v>
      </c>
      <c r="T8" s="39">
        <f t="shared" si="12"/>
        <v>12955503.517431542</v>
      </c>
      <c r="U8" s="38">
        <f t="shared" si="3"/>
        <v>0.10132399517365995</v>
      </c>
      <c r="V8" s="39">
        <f t="shared" si="4"/>
        <v>6393107.3262690678</v>
      </c>
      <c r="W8" s="39">
        <f t="shared" ref="W7:W13" si="15">SUM(T8*0.25)</f>
        <v>3238875.8793578856</v>
      </c>
      <c r="X8" s="55"/>
      <c r="Y8" s="55"/>
      <c r="Z8" s="48"/>
      <c r="AA8" s="48"/>
      <c r="AB8" s="55"/>
      <c r="AC8" s="48"/>
      <c r="AD8" s="48"/>
      <c r="AE8" s="48"/>
      <c r="AF8" s="48"/>
      <c r="AG8" s="48"/>
      <c r="AH8" s="48"/>
      <c r="AI8" s="48"/>
    </row>
    <row r="9" spans="1:35" ht="20.25" customHeight="1">
      <c r="A9" s="48" t="s">
        <v>29</v>
      </c>
      <c r="B9" s="39">
        <v>90000000</v>
      </c>
      <c r="C9" s="30">
        <f t="shared" si="6"/>
        <v>0.53488467564454178</v>
      </c>
      <c r="D9" s="48">
        <v>100</v>
      </c>
      <c r="E9" s="39">
        <f t="shared" si="7"/>
        <v>900000</v>
      </c>
      <c r="F9" s="38">
        <v>1.2E-2</v>
      </c>
      <c r="G9" s="38">
        <v>0.155</v>
      </c>
      <c r="H9" s="39">
        <f t="shared" si="0"/>
        <v>2534.5631060089922</v>
      </c>
      <c r="I9" s="34">
        <f t="shared" si="8"/>
        <v>8086.5831447766832</v>
      </c>
      <c r="J9" s="39">
        <f t="shared" si="9"/>
        <v>16352.020038767692</v>
      </c>
      <c r="K9" s="39">
        <v>8909</v>
      </c>
      <c r="L9" s="39">
        <f t="shared" si="10"/>
        <v>21852021.978807203</v>
      </c>
      <c r="M9" s="39">
        <v>8000000</v>
      </c>
      <c r="N9" s="39">
        <v>4000000</v>
      </c>
      <c r="O9" s="39">
        <f>Q9*1.2%</f>
        <v>2019126.8308417855</v>
      </c>
      <c r="P9" s="39">
        <f t="shared" si="14"/>
        <v>13460845.538945237</v>
      </c>
      <c r="Q9" s="39">
        <f t="shared" si="13"/>
        <v>168260569.23681545</v>
      </c>
      <c r="R9" s="39">
        <f t="shared" si="11"/>
        <v>56408547.258008249</v>
      </c>
      <c r="S9" s="36">
        <f t="shared" si="2"/>
        <v>0.50431405941589569</v>
      </c>
      <c r="T9" s="39">
        <f t="shared" si="12"/>
        <v>34947701.719062999</v>
      </c>
      <c r="U9" s="38">
        <f t="shared" si="3"/>
        <v>0.20769988998359121</v>
      </c>
      <c r="V9" s="39">
        <f t="shared" si="4"/>
        <v>8413028.461840773</v>
      </c>
      <c r="W9" s="39">
        <f t="shared" si="15"/>
        <v>8736925.4297657497</v>
      </c>
      <c r="X9" s="55"/>
      <c r="Y9" s="55"/>
      <c r="Z9" s="48"/>
      <c r="AA9" s="48"/>
      <c r="AB9" s="55"/>
      <c r="AC9" s="48"/>
      <c r="AD9" s="48"/>
      <c r="AE9" s="48"/>
      <c r="AF9" s="48"/>
      <c r="AG9" s="48"/>
      <c r="AH9" s="48"/>
      <c r="AI9" s="48"/>
    </row>
    <row r="10" spans="1:35" ht="20.25" customHeight="1">
      <c r="A10" s="48" t="s">
        <v>30</v>
      </c>
      <c r="B10" s="39">
        <v>110000000</v>
      </c>
      <c r="C10" s="30">
        <f t="shared" si="6"/>
        <v>0.50003428345349021</v>
      </c>
      <c r="D10" s="48">
        <v>100</v>
      </c>
      <c r="E10" s="39">
        <f t="shared" si="7"/>
        <v>1100000</v>
      </c>
      <c r="F10" s="38">
        <v>1.2E-2</v>
      </c>
      <c r="G10" s="38">
        <v>0.16</v>
      </c>
      <c r="H10" s="39">
        <f t="shared" si="0"/>
        <v>3405.8533031642692</v>
      </c>
      <c r="I10" s="34">
        <f t="shared" si="8"/>
        <v>11492.436447940952</v>
      </c>
      <c r="J10" s="39">
        <f t="shared" si="9"/>
        <v>21286.583144776683</v>
      </c>
      <c r="K10" s="39">
        <v>8909</v>
      </c>
      <c r="L10" s="39">
        <f t="shared" si="10"/>
        <v>28446325.385522317</v>
      </c>
      <c r="M10" s="39">
        <v>8000000</v>
      </c>
      <c r="N10" s="39">
        <v>4000000</v>
      </c>
      <c r="O10" s="39">
        <f t="shared" ref="O10:O13" si="16">Q10*1.2%</f>
        <v>2639818.9957764717</v>
      </c>
      <c r="P10" s="39">
        <f t="shared" si="14"/>
        <v>17598793.305176478</v>
      </c>
      <c r="Q10" s="39">
        <f t="shared" si="13"/>
        <v>219984916.31470597</v>
      </c>
      <c r="R10" s="39">
        <f t="shared" si="11"/>
        <v>81538590.929183647</v>
      </c>
      <c r="S10" s="36">
        <f t="shared" si="2"/>
        <v>0.58895453311692125</v>
      </c>
      <c r="T10" s="39">
        <f t="shared" si="12"/>
        <v>55939797.624007195</v>
      </c>
      <c r="U10" s="38">
        <f t="shared" si="3"/>
        <v>0.25428924201321534</v>
      </c>
      <c r="V10" s="39">
        <f t="shared" si="4"/>
        <v>10999245.815735299</v>
      </c>
      <c r="W10" s="39">
        <f t="shared" si="15"/>
        <v>13984949.406001799</v>
      </c>
      <c r="X10" s="55"/>
      <c r="Y10" s="55"/>
      <c r="Z10" s="48"/>
      <c r="AA10" s="48"/>
      <c r="AB10" s="55"/>
      <c r="AC10" s="48"/>
      <c r="AD10" s="48"/>
      <c r="AE10" s="48"/>
      <c r="AF10" s="48"/>
      <c r="AG10" s="48"/>
      <c r="AH10" s="48"/>
      <c r="AI10" s="48"/>
    </row>
    <row r="11" spans="1:35" ht="20.25" customHeight="1">
      <c r="A11" s="48" t="s">
        <v>31</v>
      </c>
      <c r="B11" s="39">
        <v>130000000</v>
      </c>
      <c r="C11" s="30">
        <f t="shared" si="6"/>
        <v>0.42774906074336888</v>
      </c>
      <c r="D11" s="48">
        <v>95</v>
      </c>
      <c r="E11" s="39">
        <f t="shared" si="7"/>
        <v>1368421.0526315789</v>
      </c>
      <c r="F11" s="38">
        <v>1.2999999999999999E-2</v>
      </c>
      <c r="G11" s="38">
        <v>0.16500000000000001</v>
      </c>
      <c r="H11" s="39">
        <f t="shared" si="0"/>
        <v>4831.5151718049938</v>
      </c>
      <c r="I11" s="34">
        <f t="shared" si="8"/>
        <v>16323.951619745945</v>
      </c>
      <c r="J11" s="39">
        <f t="shared" si="9"/>
        <v>29281.910132151475</v>
      </c>
      <c r="K11" s="39">
        <v>8909</v>
      </c>
      <c r="L11" s="39">
        <f t="shared" si="10"/>
        <v>39130880.605100624</v>
      </c>
      <c r="M11" s="39">
        <v>11000000</v>
      </c>
      <c r="N11" s="39">
        <v>3000000</v>
      </c>
      <c r="O11" s="39">
        <f t="shared" si="16"/>
        <v>3646998.0723953783</v>
      </c>
      <c r="P11" s="39">
        <f t="shared" si="14"/>
        <v>24313320.482635856</v>
      </c>
      <c r="Q11" s="39">
        <f t="shared" si="13"/>
        <v>303916506.0329482</v>
      </c>
      <c r="R11" s="39">
        <f t="shared" si="11"/>
        <v>134785625.42784756</v>
      </c>
      <c r="S11" s="36">
        <f t="shared" si="2"/>
        <v>0.79693090313031045</v>
      </c>
      <c r="T11" s="39">
        <f t="shared" si="12"/>
        <v>99472304.945211709</v>
      </c>
      <c r="U11" s="38">
        <f t="shared" si="3"/>
        <v>0.32730142315609445</v>
      </c>
      <c r="V11" s="39">
        <f t="shared" si="4"/>
        <v>15195825.30164741</v>
      </c>
      <c r="W11" s="39">
        <f t="shared" si="15"/>
        <v>24868076.236302927</v>
      </c>
      <c r="X11" s="55"/>
      <c r="Y11" s="55"/>
      <c r="Z11" s="48"/>
      <c r="AA11" s="48"/>
      <c r="AB11" s="55"/>
      <c r="AC11" s="48"/>
      <c r="AD11" s="48"/>
      <c r="AE11" s="48"/>
      <c r="AF11" s="48"/>
      <c r="AG11" s="48"/>
      <c r="AH11" s="48"/>
      <c r="AI11" s="48"/>
    </row>
    <row r="12" spans="1:35" ht="20.25" customHeight="1">
      <c r="A12" s="48" t="s">
        <v>32</v>
      </c>
      <c r="B12" s="39">
        <v>150000000</v>
      </c>
      <c r="C12" s="30">
        <f t="shared" si="6"/>
        <v>0.39051326861341923</v>
      </c>
      <c r="D12" s="48">
        <v>95</v>
      </c>
      <c r="E12" s="39">
        <f t="shared" si="7"/>
        <v>1578947.3684210526</v>
      </c>
      <c r="F12" s="38">
        <v>1.2999999999999999E-2</v>
      </c>
      <c r="G12" s="38">
        <v>0.17</v>
      </c>
      <c r="H12" s="39">
        <f t="shared" si="0"/>
        <v>6264.5454595673364</v>
      </c>
      <c r="I12" s="34">
        <f t="shared" si="8"/>
        <v>22588.497079313282</v>
      </c>
      <c r="J12" s="39">
        <f t="shared" si="9"/>
        <v>36850.267409219625</v>
      </c>
      <c r="K12" s="39">
        <v>8909</v>
      </c>
      <c r="L12" s="39">
        <f t="shared" si="10"/>
        <v>49244854.852310643</v>
      </c>
      <c r="M12" s="39">
        <v>11000000</v>
      </c>
      <c r="N12" s="39">
        <v>3000000</v>
      </c>
      <c r="O12" s="39">
        <f t="shared" si="16"/>
        <v>4609318.4141762769</v>
      </c>
      <c r="P12" s="39">
        <f t="shared" si="14"/>
        <v>30728789.427841846</v>
      </c>
      <c r="Q12" s="39">
        <f t="shared" si="13"/>
        <v>384109867.84802306</v>
      </c>
      <c r="R12" s="39">
        <f t="shared" si="11"/>
        <v>184865012.9957124</v>
      </c>
      <c r="S12" s="36">
        <f t="shared" si="2"/>
        <v>0.92782829013448187</v>
      </c>
      <c r="T12" s="39">
        <f t="shared" si="12"/>
        <v>143136223.56787056</v>
      </c>
      <c r="U12" s="38">
        <f t="shared" si="3"/>
        <v>0.37264396348313511</v>
      </c>
      <c r="V12" s="39">
        <f t="shared" si="4"/>
        <v>19205493.392401155</v>
      </c>
      <c r="W12" s="39">
        <f t="shared" si="15"/>
        <v>35784055.891967639</v>
      </c>
      <c r="X12" s="55"/>
      <c r="Y12" s="55"/>
      <c r="Z12" s="48"/>
      <c r="AA12" s="48"/>
      <c r="AB12" s="55"/>
      <c r="AC12" s="48"/>
      <c r="AD12" s="48"/>
      <c r="AE12" s="48"/>
      <c r="AF12" s="48"/>
      <c r="AG12" s="48"/>
      <c r="AH12" s="48"/>
      <c r="AI12" s="48"/>
    </row>
    <row r="13" spans="1:35" ht="20.25" customHeight="1" thickBot="1">
      <c r="A13" s="48" t="s">
        <v>33</v>
      </c>
      <c r="B13" s="39">
        <v>170000000</v>
      </c>
      <c r="C13" s="30">
        <f>SUM(B13/Q13)</f>
        <v>0.34087884847535077</v>
      </c>
      <c r="D13" s="48">
        <v>95</v>
      </c>
      <c r="E13" s="39">
        <f t="shared" si="7"/>
        <v>1789473.6842105263</v>
      </c>
      <c r="F13" s="38">
        <v>1.4E-2</v>
      </c>
      <c r="G13" s="38">
        <v>0.17499999999999999</v>
      </c>
      <c r="H13" s="39">
        <f>SUM(J13*G13)</f>
        <v>8337.197515195614</v>
      </c>
      <c r="I13" s="34">
        <f t="shared" si="8"/>
        <v>30925.694594508896</v>
      </c>
      <c r="J13" s="39">
        <f t="shared" si="9"/>
        <v>47641.128658260655</v>
      </c>
      <c r="K13" s="39">
        <v>8909</v>
      </c>
      <c r="L13" s="39">
        <f t="shared" si="10"/>
        <v>63665222.28246662</v>
      </c>
      <c r="M13" s="39">
        <v>11000000</v>
      </c>
      <c r="N13" s="39">
        <v>2000000</v>
      </c>
      <c r="O13" s="39">
        <f t="shared" si="16"/>
        <v>5984530.894551863</v>
      </c>
      <c r="P13" s="39">
        <f t="shared" si="14"/>
        <v>39896872.630345754</v>
      </c>
      <c r="Q13" s="39">
        <f t="shared" si="13"/>
        <v>498710907.87932193</v>
      </c>
      <c r="R13" s="39">
        <f t="shared" si="11"/>
        <v>265045685.59685531</v>
      </c>
      <c r="S13" s="36">
        <f t="shared" si="2"/>
        <v>1.1342966788461757</v>
      </c>
      <c r="T13" s="39">
        <f>SUM(Q13-(B13+L13+M13+P13))</f>
        <v>214148812.96650958</v>
      </c>
      <c r="U13" s="38">
        <f t="shared" si="3"/>
        <v>0.42940471039051209</v>
      </c>
      <c r="V13" s="39">
        <f t="shared" si="4"/>
        <v>24935545.393966097</v>
      </c>
      <c r="W13" s="39">
        <f>SUM(T13*0.25)</f>
        <v>53537203.241627395</v>
      </c>
      <c r="X13" s="55"/>
      <c r="Y13" s="55"/>
      <c r="Z13" s="48"/>
      <c r="AA13" s="48"/>
      <c r="AB13" s="55"/>
      <c r="AC13" s="48"/>
      <c r="AD13" s="48"/>
      <c r="AE13" s="48"/>
      <c r="AF13" s="48"/>
      <c r="AG13" s="48"/>
      <c r="AH13" s="48"/>
      <c r="AI13" s="48"/>
    </row>
    <row r="14" spans="1:35" ht="20.25" customHeight="1" thickBot="1">
      <c r="A14" s="65" t="s">
        <v>44</v>
      </c>
      <c r="B14" s="39">
        <f>SUM(B2:B13)</f>
        <v>1010000000</v>
      </c>
      <c r="C14" s="38">
        <f>SUM(B14/Q14)</f>
        <v>0.505317507541578</v>
      </c>
      <c r="D14" s="48">
        <v>95</v>
      </c>
      <c r="E14" s="39">
        <f>SUM(E2:E13)</f>
        <v>9930198.7486198023</v>
      </c>
      <c r="F14" s="38">
        <v>1.4E-2</v>
      </c>
      <c r="G14" s="38">
        <f>SUBTOTAL(101,G1:G13)</f>
        <v>0.13500000000000001</v>
      </c>
      <c r="H14" s="39">
        <f>SUM(H2:H13)</f>
        <v>30925.694594508896</v>
      </c>
      <c r="I14" s="34">
        <f t="shared" si="8"/>
        <v>61851.389189017791</v>
      </c>
      <c r="J14" s="39">
        <f>SUM(J2:J13)</f>
        <v>193425.33632819151</v>
      </c>
      <c r="K14" s="39">
        <v>8909</v>
      </c>
      <c r="L14" s="39">
        <f t="shared" ref="L14:M14" si="17">SUM(L2:L13)</f>
        <v>258483948.20217869</v>
      </c>
      <c r="M14" s="39">
        <f t="shared" si="17"/>
        <v>81000000</v>
      </c>
      <c r="N14" s="39">
        <v>2000000</v>
      </c>
      <c r="O14" s="39"/>
      <c r="P14" s="39">
        <f>SUM(P2:P13)</f>
        <v>159899466.75922704</v>
      </c>
      <c r="Q14" s="66">
        <f>SUM(Q2:Q13)</f>
        <v>1998743334.4903378</v>
      </c>
      <c r="R14" s="39">
        <f t="shared" si="11"/>
        <v>730259386.28815913</v>
      </c>
      <c r="S14" s="36">
        <f t="shared" si="2"/>
        <v>0.57569462138102345</v>
      </c>
      <c r="T14" s="39">
        <f>SUM(T2:T13)</f>
        <v>489359919.52893221</v>
      </c>
      <c r="U14" s="38">
        <f t="shared" si="3"/>
        <v>0.24483379685852191</v>
      </c>
      <c r="V14" s="39">
        <f t="shared" ref="V14:W14" si="18">SUM(V2:V13)</f>
        <v>99937166.724516898</v>
      </c>
      <c r="W14" s="39">
        <f>SUM(W2:W13)</f>
        <v>122339979.88223305</v>
      </c>
      <c r="X14" s="48"/>
      <c r="Y14" s="48"/>
      <c r="Z14" s="48"/>
      <c r="AA14" s="48"/>
      <c r="AB14" s="76"/>
      <c r="AC14" s="48"/>
      <c r="AD14" s="48"/>
      <c r="AE14" s="48"/>
      <c r="AF14" s="48"/>
      <c r="AG14" s="48"/>
      <c r="AH14" s="48"/>
      <c r="AI14" s="48"/>
    </row>
    <row r="15" spans="1:35" ht="15">
      <c r="A15" s="76"/>
      <c r="B15" s="76"/>
      <c r="C15" s="76"/>
      <c r="D15" s="76"/>
      <c r="E15" s="76"/>
      <c r="F15" s="76"/>
      <c r="G15" s="76"/>
      <c r="H15" s="76"/>
      <c r="I15" s="69"/>
      <c r="J15" s="76"/>
      <c r="K15" s="76"/>
      <c r="L15" s="76"/>
      <c r="M15" s="76"/>
      <c r="N15" s="76"/>
      <c r="O15" s="76"/>
      <c r="P15" s="76"/>
      <c r="Q15" s="76"/>
      <c r="R15" s="76"/>
      <c r="S15" s="27"/>
      <c r="T15" s="76"/>
      <c r="U15" s="27"/>
      <c r="V15" s="76"/>
      <c r="W15" s="7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spans="1:35" ht="15">
      <c r="A16" s="105" t="s">
        <v>47</v>
      </c>
      <c r="B16" s="105" t="s">
        <v>4</v>
      </c>
      <c r="C16" s="105" t="s">
        <v>6</v>
      </c>
      <c r="D16" s="27"/>
      <c r="E16" s="105" t="s">
        <v>49</v>
      </c>
      <c r="F16" s="106" t="s">
        <v>50</v>
      </c>
      <c r="G16" s="26"/>
      <c r="H16" s="26"/>
      <c r="I16" s="26"/>
      <c r="J16" s="10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ht="15">
      <c r="A17" s="26"/>
      <c r="B17" s="26"/>
      <c r="C17" s="26"/>
      <c r="D17" s="26"/>
      <c r="E17" s="76" t="s">
        <v>18</v>
      </c>
      <c r="F17" s="86">
        <f>Q2</f>
        <v>16447384.615384616</v>
      </c>
      <c r="G17" s="26"/>
      <c r="H17" s="26"/>
      <c r="I17" s="26"/>
      <c r="J17" s="7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5">
      <c r="A18" s="26"/>
      <c r="B18" s="26"/>
      <c r="C18" s="26"/>
      <c r="D18" s="26"/>
      <c r="E18" s="85" t="s">
        <v>19</v>
      </c>
      <c r="F18" s="86">
        <f t="shared" ref="F18:F28" si="19">Q3</f>
        <v>22368443.07692308</v>
      </c>
      <c r="G18" s="27"/>
      <c r="H18" s="27"/>
      <c r="I18" s="27"/>
      <c r="J18" s="78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6"/>
      <c r="AD18" s="26"/>
      <c r="AE18" s="26"/>
      <c r="AF18" s="26"/>
      <c r="AG18" s="26"/>
      <c r="AH18" s="26"/>
      <c r="AI18" s="26"/>
    </row>
    <row r="19" spans="1:35" ht="15">
      <c r="A19" s="26"/>
      <c r="B19" s="26"/>
      <c r="C19" s="27"/>
      <c r="D19" s="26"/>
      <c r="E19" s="76" t="s">
        <v>20</v>
      </c>
      <c r="F19" s="86">
        <f t="shared" si="19"/>
        <v>35286584.451282047</v>
      </c>
      <c r="G19" s="27"/>
      <c r="H19" s="27"/>
      <c r="I19" s="27"/>
      <c r="J19" s="78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6"/>
      <c r="AD19" s="26"/>
      <c r="AE19" s="26"/>
      <c r="AF19" s="26"/>
      <c r="AG19" s="26"/>
      <c r="AH19" s="26"/>
      <c r="AI19" s="26"/>
    </row>
    <row r="20" spans="1:35" ht="15">
      <c r="A20" s="26"/>
      <c r="B20" s="26"/>
      <c r="C20" s="27"/>
      <c r="D20" s="26"/>
      <c r="E20" s="85" t="s">
        <v>21</v>
      </c>
      <c r="F20" s="86">
        <f t="shared" si="19"/>
        <v>52457802.929948717</v>
      </c>
      <c r="G20" s="27"/>
      <c r="H20" s="27"/>
      <c r="I20" s="27"/>
      <c r="J20" s="78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6"/>
      <c r="AD20" s="26"/>
      <c r="AE20" s="26"/>
      <c r="AF20" s="26"/>
      <c r="AG20" s="26"/>
      <c r="AH20" s="26"/>
      <c r="AI20" s="26"/>
    </row>
    <row r="21" spans="1:35" ht="15">
      <c r="A21" s="26"/>
      <c r="B21" s="26"/>
      <c r="C21" s="27"/>
      <c r="D21" s="26"/>
      <c r="E21" s="76" t="s">
        <v>22</v>
      </c>
      <c r="F21" s="86">
        <f t="shared" si="19"/>
        <v>74189930.34014152</v>
      </c>
      <c r="G21" s="27"/>
      <c r="H21" s="27"/>
      <c r="I21" s="27"/>
      <c r="J21" s="78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6"/>
      <c r="AD21" s="26"/>
      <c r="AE21" s="26"/>
      <c r="AF21" s="26"/>
      <c r="AG21" s="26"/>
      <c r="AH21" s="26"/>
      <c r="AI21" s="26"/>
    </row>
    <row r="22" spans="1:35" ht="15">
      <c r="A22" s="26"/>
      <c r="B22" s="26"/>
      <c r="C22" s="26"/>
      <c r="D22" s="26"/>
      <c r="E22" s="85" t="s">
        <v>23</v>
      </c>
      <c r="F22" s="86">
        <f t="shared" si="19"/>
        <v>95148275.239462048</v>
      </c>
      <c r="G22" s="26"/>
      <c r="H22" s="26"/>
      <c r="I22" s="26"/>
      <c r="J22" s="78"/>
      <c r="K22" s="26"/>
      <c r="L22" s="26"/>
      <c r="M22" s="39">
        <v>1960000</v>
      </c>
      <c r="N22" s="26"/>
      <c r="O22" s="26"/>
      <c r="P22" s="26"/>
      <c r="Q22" s="26"/>
      <c r="R22" s="26"/>
      <c r="S22" s="26"/>
      <c r="T22" s="90">
        <f>Q2-P2-O2-N2-M2-L2-B2</f>
        <v>-27335513.846153848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ht="15">
      <c r="A23" s="26"/>
      <c r="B23" s="26"/>
      <c r="C23" s="26"/>
      <c r="D23" s="26"/>
      <c r="E23" s="76" t="s">
        <v>28</v>
      </c>
      <c r="F23" s="86">
        <f t="shared" si="19"/>
        <v>127862146.52538136</v>
      </c>
      <c r="G23" s="26"/>
      <c r="H23" s="26"/>
      <c r="I23" s="26"/>
      <c r="J23" s="78"/>
      <c r="K23" s="26"/>
      <c r="L23" s="26"/>
      <c r="M23" s="39">
        <v>3386880</v>
      </c>
      <c r="N23" s="26"/>
      <c r="O23" s="26"/>
      <c r="P23" s="26"/>
      <c r="Q23" s="26"/>
      <c r="R23" s="26"/>
      <c r="S23" s="26"/>
      <c r="T23" s="90">
        <f t="shared" ref="T23:T33" si="20">Q3-P3-O3-N3-M3-L3-B3</f>
        <v>-22504916.984615382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">
      <c r="A24" s="26"/>
      <c r="B24" s="26"/>
      <c r="C24" s="26"/>
      <c r="D24" s="26"/>
      <c r="E24" s="85" t="s">
        <v>29</v>
      </c>
      <c r="F24" s="84">
        <f t="shared" si="19"/>
        <v>168260569.23681545</v>
      </c>
      <c r="G24" s="26"/>
      <c r="H24" s="26"/>
      <c r="I24" s="26"/>
      <c r="J24" s="78"/>
      <c r="K24" s="26">
        <v>9800</v>
      </c>
      <c r="L24" s="26"/>
      <c r="M24" s="39">
        <v>4829204.8000000007</v>
      </c>
      <c r="N24" s="26"/>
      <c r="O24" s="26"/>
      <c r="P24" s="26"/>
      <c r="Q24" s="26"/>
      <c r="R24" s="26"/>
      <c r="S24" s="26"/>
      <c r="T24" s="90">
        <f t="shared" si="20"/>
        <v>-22262224.150974359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ht="15">
      <c r="A25" s="26"/>
      <c r="B25" s="26"/>
      <c r="C25" s="26"/>
      <c r="D25" s="26"/>
      <c r="E25" s="76" t="s">
        <v>30</v>
      </c>
      <c r="F25" s="86">
        <f t="shared" si="19"/>
        <v>219984916.31470597</v>
      </c>
      <c r="G25" s="26"/>
      <c r="H25" s="26"/>
      <c r="I25" s="26"/>
      <c r="J25" s="78"/>
      <c r="K25" s="26">
        <f>K24/11</f>
        <v>890.90909090909088</v>
      </c>
      <c r="L25" s="26"/>
      <c r="M25" s="39">
        <v>8010633.2320000026</v>
      </c>
      <c r="N25" s="26"/>
      <c r="O25" s="26"/>
      <c r="P25" s="26"/>
      <c r="Q25" s="26"/>
      <c r="R25" s="26"/>
      <c r="S25" s="26"/>
      <c r="T25" s="90">
        <f t="shared" si="20"/>
        <v>-19702246.472139489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">
      <c r="A26" s="26"/>
      <c r="B26" s="26"/>
      <c r="C26" s="26"/>
      <c r="D26" s="26"/>
      <c r="E26" s="85" t="s">
        <v>31</v>
      </c>
      <c r="F26" s="86">
        <f t="shared" si="19"/>
        <v>303916506.0329482</v>
      </c>
      <c r="G26" s="26"/>
      <c r="H26" s="26"/>
      <c r="I26" s="26"/>
      <c r="J26" s="78"/>
      <c r="K26" s="26">
        <f>K25*10</f>
        <v>8909.0909090909081</v>
      </c>
      <c r="L26" s="26"/>
      <c r="M26" s="39">
        <v>11377743.389040001</v>
      </c>
      <c r="N26" s="26"/>
      <c r="O26" s="26"/>
      <c r="P26" s="26"/>
      <c r="Q26" s="26"/>
      <c r="R26" s="26"/>
      <c r="S26" s="26"/>
      <c r="T26" s="90">
        <f t="shared" si="20"/>
        <v>-12507097.026562117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">
      <c r="A27" s="26"/>
      <c r="B27" s="26"/>
      <c r="C27" s="26"/>
      <c r="D27" s="26"/>
      <c r="E27" s="76" t="s">
        <v>32</v>
      </c>
      <c r="F27" s="86">
        <f t="shared" si="19"/>
        <v>384109867.84802306</v>
      </c>
      <c r="G27" s="26"/>
      <c r="H27" s="26"/>
      <c r="I27" s="26"/>
      <c r="J27" s="78"/>
      <c r="K27" s="26"/>
      <c r="L27" s="26"/>
      <c r="M27" s="39">
        <v>17431671.574097846</v>
      </c>
      <c r="N27" s="26"/>
      <c r="O27" s="26"/>
      <c r="P27" s="26"/>
      <c r="Q27" s="26"/>
      <c r="R27" s="26"/>
      <c r="S27" s="26"/>
      <c r="T27" s="90">
        <f t="shared" si="20"/>
        <v>-5928426.330716148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ht="15">
      <c r="A28" s="26"/>
      <c r="B28" s="26"/>
      <c r="C28" s="26"/>
      <c r="D28" s="26"/>
      <c r="E28" s="85" t="s">
        <v>33</v>
      </c>
      <c r="F28" s="86">
        <f t="shared" si="19"/>
        <v>498710907.87932193</v>
      </c>
      <c r="G28" s="26"/>
      <c r="H28" s="26"/>
      <c r="I28" s="26"/>
      <c r="J28" s="78"/>
      <c r="K28" s="26"/>
      <c r="L28" s="26"/>
      <c r="M28" s="39">
        <v>24093397.089378119</v>
      </c>
      <c r="N28" s="26"/>
      <c r="O28" s="26"/>
      <c r="P28" s="26"/>
      <c r="Q28" s="26"/>
      <c r="R28" s="26"/>
      <c r="S28" s="26"/>
      <c r="T28" s="90">
        <f t="shared" si="20"/>
        <v>7421157.7591269612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15">
      <c r="A29" s="26"/>
      <c r="B29" s="26"/>
      <c r="C29" s="26"/>
      <c r="D29" s="26"/>
      <c r="E29" s="65" t="s">
        <v>44</v>
      </c>
      <c r="F29" s="86">
        <f>SUM(F17:F28)</f>
        <v>1998743334.4903378</v>
      </c>
      <c r="G29" s="26"/>
      <c r="H29" s="26"/>
      <c r="I29" s="26"/>
      <c r="J29" s="87"/>
      <c r="K29" s="26"/>
      <c r="L29" s="26"/>
      <c r="M29" s="39">
        <v>31485363.076902021</v>
      </c>
      <c r="N29" s="26"/>
      <c r="O29" s="26"/>
      <c r="P29" s="26"/>
      <c r="Q29" s="26"/>
      <c r="R29" s="26"/>
      <c r="S29" s="26"/>
      <c r="T29" s="90">
        <f t="shared" si="20"/>
        <v>28928574.888221234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ht="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9">
        <v>41298146.497412428</v>
      </c>
      <c r="N30" s="26"/>
      <c r="O30" s="26"/>
      <c r="P30" s="26"/>
      <c r="Q30" s="26"/>
      <c r="R30" s="26"/>
      <c r="S30" s="26"/>
      <c r="T30" s="90">
        <f t="shared" si="20"/>
        <v>49299978.628230721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ht="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39">
        <v>61853148.319526151</v>
      </c>
      <c r="N31" s="26"/>
      <c r="O31" s="26"/>
      <c r="P31" s="26"/>
      <c r="Q31" s="26"/>
      <c r="R31" s="26"/>
      <c r="S31" s="26"/>
      <c r="T31" s="90">
        <f t="shared" si="20"/>
        <v>92825306.872816324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ht="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39">
        <v>76801155.495830551</v>
      </c>
      <c r="N32" s="26"/>
      <c r="O32" s="26"/>
      <c r="P32" s="26"/>
      <c r="Q32" s="26"/>
      <c r="R32" s="26"/>
      <c r="S32" s="26"/>
      <c r="T32" s="90">
        <f t="shared" si="20"/>
        <v>135526905.15369427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ht="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39">
        <v>96852578.437561259</v>
      </c>
      <c r="N33" s="26"/>
      <c r="O33" s="26"/>
      <c r="P33" s="26"/>
      <c r="Q33" s="26"/>
      <c r="R33" s="26"/>
      <c r="S33" s="26"/>
      <c r="T33" s="90">
        <f>Q13-P13-O13-N13-M13-L13-B13</f>
        <v>206164282.07195771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ht="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ht="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ht="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ht="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ht="15">
      <c r="A39" s="26"/>
      <c r="B39" s="26"/>
      <c r="C39" s="90">
        <f>SUM(Q14)</f>
        <v>1998743334.4903378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ht="15">
      <c r="A40" s="26"/>
      <c r="B40" s="90">
        <f>SUM(B14+L14+M14+P14)</f>
        <v>1509383414.9614058</v>
      </c>
      <c r="C40" s="90">
        <f>SUM(B14+L14+M14+P14)</f>
        <v>1509383414.9614058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ht="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ht="15">
      <c r="A42" s="26"/>
      <c r="B42" s="26"/>
      <c r="C42" s="26"/>
      <c r="D42" s="26"/>
      <c r="E42" s="90">
        <f>SUM(C39-C40)</f>
        <v>489359919.52893209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ht="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ht="15">
      <c r="A44" s="26"/>
      <c r="B44" s="26"/>
      <c r="C44" s="26"/>
      <c r="D44" s="26"/>
      <c r="E44" s="91">
        <f>SUM(E42/C39)</f>
        <v>0.24483379685852191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 t="s">
        <v>50</v>
      </c>
      <c r="Y44" s="26" t="s">
        <v>60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ht="15">
      <c r="A45" s="26"/>
      <c r="B45" s="26"/>
      <c r="C45" s="91">
        <f>SUM(380409863/2017562413)</f>
        <v>0.18854924167344705</v>
      </c>
      <c r="D45" s="91">
        <f>SUM(C40/C39)</f>
        <v>0.75516620314147809</v>
      </c>
      <c r="E45" s="9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 t="s">
        <v>61</v>
      </c>
      <c r="V45" s="26"/>
      <c r="W45" s="26"/>
      <c r="X45" s="26">
        <v>100</v>
      </c>
      <c r="Y45" s="26">
        <v>10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ht="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 t="s">
        <v>62</v>
      </c>
      <c r="V46" s="26"/>
      <c r="W46" s="26"/>
      <c r="X46" s="26">
        <v>200</v>
      </c>
      <c r="Y46" s="26">
        <v>20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ht="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ht="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ht="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ht="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ht="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ht="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ht="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ht="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ht="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ht="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ht="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ht="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ht="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ht="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ht="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ht="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ht="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ht="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ht="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ht="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ht="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ht="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ht="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ht="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ht="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ht="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ht="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ht="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ht="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ht="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ht="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ht="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ht="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ht="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ht="1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ht="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ht="1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ht="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ht="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ht="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ht="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ht="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ht="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ht="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ht="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ht="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ht="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ht="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ht="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ht="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ht="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ht="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ht="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ht="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ht="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ht="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ht="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ht="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ht="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ht="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ht="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ht="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ht="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ht="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ht="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ht="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ht="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ht="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ht="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ht="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ht="1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ht="1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ht="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ht="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ht="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ht="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ht="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ht="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ht="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ht="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ht="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ht="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ht="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ht="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ht="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ht="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ht="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ht="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ht="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ht="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ht="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ht="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ht="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ht="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ht="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ht="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ht="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ht="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ht="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ht="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ht="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ht="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ht="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ht="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ht="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ht="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ht="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ht="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ht="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ht="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ht="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ht="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ht="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ht="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ht="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ht="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ht="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ht="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ht="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ht="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ht="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ht="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ht="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ht="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ht="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ht="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ht="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ht="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ht="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ht="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ht="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ht="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ht="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ht="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spans="1:35" ht="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spans="1:35" ht="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ht="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spans="1:35" ht="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spans="1:35" ht="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spans="1:35" ht="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spans="1:35" ht="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spans="1:35" ht="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spans="1:35" ht="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ht="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spans="1:35" ht="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spans="1:35" ht="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spans="1:35" ht="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spans="1:35" ht="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spans="1:35" ht="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spans="1:35" ht="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spans="1:35" ht="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spans="1:35" ht="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spans="1:35" ht="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1:35" ht="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spans="1:35" ht="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spans="1:35" ht="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spans="1:35" ht="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spans="1:35" ht="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spans="1:35" ht="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spans="1:35" ht="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spans="1:35" ht="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ht="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spans="1:35" ht="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1:35" ht="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ht="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spans="1:35" ht="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spans="1:35" ht="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spans="1:35" ht="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spans="1:35" ht="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spans="1:35" ht="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spans="1:35" ht="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ht="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spans="1:35" ht="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1:35" ht="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ht="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spans="1:35" ht="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ht="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spans="1:35" ht="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ht="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spans="1:35" ht="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spans="1:35" ht="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spans="1:35" ht="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spans="1:35" ht="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1:35" ht="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spans="1:35" ht="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spans="1:35" ht="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spans="1:35" ht="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spans="1:35" ht="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spans="1:35" ht="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spans="1:35" ht="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ht="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spans="1:35" ht="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spans="1:35" ht="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1:35" ht="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spans="1:35" ht="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spans="1:35" ht="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spans="1:35" ht="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spans="1:35" ht="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spans="1:35" ht="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spans="1:35" ht="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ht="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spans="1:35" ht="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ht="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1:35" ht="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ht="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spans="1:35" ht="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spans="1:35" ht="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ht="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spans="1:35" ht="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spans="1:35" ht="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spans="1:35" ht="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ht="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spans="1:35" ht="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1:35" ht="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spans="1:35" ht="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spans="1:35" ht="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spans="1:35" ht="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spans="1:35" ht="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spans="1:35" ht="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spans="1:35" ht="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spans="1:35" ht="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spans="1:35" ht="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ht="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ht="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ht="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spans="1:35" ht="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ht="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ht="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ht="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ht="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ht="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ht="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spans="1:35" ht="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spans="1:35" ht="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spans="1:35" ht="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spans="1:35" ht="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spans="1:35" ht="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spans="1:35" ht="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spans="1:35" ht="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spans="1:35" ht="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spans="1:35" ht="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spans="1:35" ht="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spans="1:35" ht="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ht="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spans="1:35" ht="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spans="1:35" ht="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spans="1:35" ht="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spans="1:35" ht="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spans="1:35" ht="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spans="1:35" ht="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spans="1:35" ht="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spans="1:35" ht="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spans="1:35" ht="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spans="1:35" ht="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spans="1:35" ht="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spans="1:35" ht="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spans="1:35" ht="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spans="1:35" ht="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spans="1:35" ht="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spans="1:35" ht="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ht="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spans="1:35" ht="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spans="1:35" ht="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spans="1:35" ht="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spans="1:35" ht="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spans="1:35" ht="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spans="1:35" ht="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spans="1:35" ht="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spans="1:35" ht="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spans="1:35" ht="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spans="1:35" ht="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spans="1:35" ht="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spans="1:35" ht="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spans="1:35" ht="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spans="1:35" ht="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spans="1:35" ht="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spans="1:35" ht="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spans="1:35" ht="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spans="1:35" ht="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spans="1:35" ht="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spans="1:35" ht="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spans="1:35" ht="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spans="1:35" ht="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spans="1:35" ht="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spans="1:35" ht="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spans="1:35" ht="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spans="1:35" ht="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spans="1:35" ht="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spans="1:35" ht="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spans="1:35" ht="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spans="1:35" ht="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spans="1:35" ht="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spans="1:35" ht="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spans="1:35" ht="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spans="1:35" ht="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spans="1:35" ht="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spans="1:35" ht="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spans="1:35" ht="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spans="1:35" ht="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spans="1:35" ht="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spans="1:35" ht="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spans="1:35" ht="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spans="1:35" ht="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spans="1:35" ht="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spans="1:35" ht="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spans="1:35" ht="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spans="1:35" ht="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spans="1:35" ht="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spans="1:35" ht="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spans="1:35" ht="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spans="1:35" ht="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spans="1:35" ht="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spans="1:35" ht="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spans="1:35" ht="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spans="1:35" ht="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spans="1:35" ht="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spans="1:35" ht="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spans="1:35" ht="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spans="1:35" ht="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spans="1:35" ht="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spans="1:35" ht="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spans="1:35" ht="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spans="1:35" ht="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spans="1:35" ht="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spans="1:35" ht="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spans="1:35" ht="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spans="1:35" ht="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spans="1:35" ht="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spans="1:35" ht="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spans="1:35" ht="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spans="1:35" ht="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spans="1:35" ht="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spans="1:35" ht="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spans="1:35" ht="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spans="1:35" ht="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spans="1:35" ht="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spans="1:35" ht="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spans="1:35" ht="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spans="1:35" ht="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spans="1:35" ht="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spans="1:35" ht="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spans="1:35" ht="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spans="1:35" ht="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spans="1:35" ht="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spans="1:35" ht="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spans="1:35" ht="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spans="1:35" ht="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spans="1:35" ht="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spans="1:35" ht="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spans="1:35" ht="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spans="1:35" ht="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spans="1:35" ht="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spans="1:35" ht="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spans="1:35" ht="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spans="1:35" ht="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spans="1:35" ht="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spans="1:35" ht="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spans="1:35" ht="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spans="1:35" ht="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spans="1:35" ht="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spans="1:35" ht="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spans="1:35" ht="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spans="1:35" ht="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spans="1:35" ht="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spans="1:35" ht="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 spans="1:35" ht="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 spans="1:35" ht="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 spans="1:35" ht="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 spans="1:35" ht="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 spans="1:35" ht="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 spans="1:35" ht="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 spans="1:35" ht="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 spans="1:35" ht="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 spans="1:35" ht="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 spans="1:35" ht="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 spans="1:35" ht="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 spans="1:35" ht="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 spans="1:35" ht="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 spans="1:35" ht="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 spans="1:35" ht="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 spans="1:35" ht="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 spans="1:35" ht="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 spans="1:35" ht="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 spans="1:35" ht="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 spans="1:35" ht="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 spans="1:35" ht="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 spans="1:35" ht="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 spans="1:35" ht="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 spans="1:35" ht="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 spans="1:35" ht="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 spans="1:35" ht="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 spans="1:35" ht="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 spans="1:35" ht="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 spans="1:35" ht="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 spans="1:35" ht="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 spans="1:35" ht="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 spans="1:35" ht="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 spans="1:35" ht="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 spans="1:35" ht="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 spans="1:35" ht="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 spans="1:35" ht="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 spans="1:35" ht="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 spans="1:35" ht="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 spans="1:35" ht="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 spans="1:35" ht="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 spans="1:35" ht="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 spans="1:35" ht="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 spans="1:35" ht="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 spans="1:35" ht="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 spans="1:35" ht="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 spans="1:35" ht="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 spans="1:35" ht="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 spans="1:35" ht="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 spans="1:35" ht="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 spans="1:35" ht="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 spans="1:35" ht="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 spans="1:35" ht="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 spans="1:35" ht="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 spans="1:35" ht="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 spans="1:35" ht="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 spans="1:35" ht="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 spans="1:35" ht="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 spans="1:35" ht="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 spans="1:35" ht="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 spans="1:35" ht="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 spans="1:35" ht="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 spans="1:35" ht="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 spans="1:35" ht="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 spans="1:35" ht="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 spans="1:35" ht="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 spans="1:35" ht="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 spans="1:35" ht="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 spans="1:35" ht="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 spans="1:35" ht="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 spans="1:35" ht="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 spans="1:35" ht="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 spans="1:35" ht="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 spans="1:35" ht="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 spans="1:35" ht="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 spans="1:35" ht="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 spans="1:35" ht="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 spans="1:35" ht="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 spans="1:35" ht="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 spans="1:35" ht="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 spans="1:35" ht="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 spans="1:35" ht="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 spans="1:35" ht="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 spans="1:35" ht="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 spans="1:35" ht="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 spans="1:35" ht="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 spans="1:35" ht="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 spans="1:35" ht="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 spans="1:35" ht="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 spans="1:35" ht="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 spans="1:35" ht="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 spans="1:35" ht="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 spans="1:35" ht="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 spans="1:35" ht="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 spans="1:35" ht="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 spans="1:35" ht="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 spans="1:35" ht="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 spans="1:35" ht="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 spans="1:35" ht="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 spans="1:35" ht="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 spans="1:35" ht="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 spans="1:35" ht="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 spans="1:35" ht="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 spans="1:35" ht="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 spans="1:35" ht="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 spans="1:35" ht="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 spans="1:35" ht="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 spans="1:35" ht="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 spans="1:35" ht="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 spans="1:35" ht="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 spans="1:35" ht="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 spans="1:35" ht="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 spans="1:35" ht="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 spans="1:35" ht="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 spans="1:35" ht="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 spans="1:35" ht="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 spans="1:35" ht="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 spans="1:35" ht="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 spans="1:35" ht="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 spans="1:35" ht="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 spans="1:35" ht="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 spans="1:35" ht="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 spans="1:35" ht="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 spans="1:35" ht="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 spans="1:35" ht="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 spans="1:35" ht="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 spans="1:35" ht="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 spans="1:35" ht="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 spans="1:35" ht="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 spans="1:35" ht="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 spans="1:35" ht="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 spans="1:35" ht="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 spans="1:35" ht="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 spans="1:35" ht="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 spans="1:35" ht="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 spans="1:35" ht="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 spans="1:35" ht="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 spans="1:35" ht="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 spans="1:35" ht="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 spans="1:35" ht="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 spans="1:35" ht="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 spans="1:35" ht="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 spans="1:35" ht="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 spans="1:35" ht="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 spans="1:35" ht="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 spans="1:35" ht="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 spans="1:35" ht="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 spans="1:35" ht="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 spans="1:35" ht="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 spans="1:35" ht="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 spans="1:35" ht="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 spans="1:35" ht="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 spans="1:35" ht="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 spans="1:35" ht="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 spans="1:35" ht="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 spans="1:35" ht="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 spans="1:35" ht="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 spans="1:35" ht="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 spans="1:35" ht="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 spans="1:35" ht="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 spans="1:35" ht="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 spans="1:35" ht="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 spans="1:35" ht="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 spans="1:35" ht="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 spans="1:35" ht="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 spans="1:35" ht="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 spans="1:35" ht="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 spans="1:35" ht="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 spans="1:35" ht="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 spans="1:35" ht="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 spans="1:35" ht="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 spans="1:35" ht="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 spans="1:35" ht="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 spans="1:35" ht="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 spans="1:35" ht="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 spans="1:35" ht="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 spans="1:35" ht="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 spans="1:35" ht="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 spans="1:35" ht="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 spans="1:35" ht="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 spans="1:35" ht="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 spans="1:35" ht="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 spans="1:35" ht="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 spans="1:35" ht="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 spans="1:35" ht="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 spans="1:35" ht="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 spans="1:35" ht="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 spans="1:35" ht="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 spans="1:35" ht="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 spans="1:35" ht="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 spans="1:35" ht="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 spans="1:35" ht="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 spans="1:35" ht="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 spans="1:35" ht="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 spans="1:35" ht="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 spans="1:35" ht="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 spans="1:35" ht="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 spans="1:35" ht="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 spans="1:35" ht="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 spans="1:35" ht="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 spans="1:35" ht="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 spans="1:35" ht="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 spans="1:35" ht="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 spans="1:35" ht="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 spans="1:35" ht="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 spans="1:35" ht="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 spans="1:35" ht="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 spans="1:35" ht="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 spans="1:35" ht="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 spans="1:35" ht="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 spans="1:35" ht="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 spans="1:35" ht="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 spans="1:35" ht="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 spans="1:35" ht="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 spans="1:35" ht="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 spans="1:35" ht="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 spans="1:35" ht="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 spans="1:35" ht="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 spans="1:35" ht="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 spans="1:35" ht="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 spans="1:35" ht="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 spans="1:35" ht="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 spans="1:35" ht="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 spans="1:35" ht="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 spans="1:35" ht="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 spans="1:35" ht="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 spans="1:35" ht="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 spans="1:35" ht="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 spans="1:35" ht="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 spans="1:35" ht="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 spans="1:35" ht="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 spans="1:35" ht="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 spans="1:35" ht="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 spans="1:35" ht="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 spans="1:35" ht="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 spans="1:35" ht="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 spans="1:35" ht="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 spans="1:35" ht="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 spans="1:35" ht="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 spans="1:35" ht="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 spans="1:35" ht="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 spans="1:35" ht="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 spans="1:35" ht="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 spans="1:35" ht="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 spans="1:35" ht="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 spans="1:35" ht="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 spans="1:35" ht="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 spans="1:35" ht="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 spans="1:35" ht="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 spans="1:35" ht="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 spans="1:35" ht="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 spans="1:35" ht="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 spans="1:35" ht="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 spans="1:35" ht="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 spans="1:35" ht="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 spans="1:35" ht="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 spans="1:35" ht="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 spans="1:35" ht="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 spans="1:35" ht="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 spans="1:35" ht="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 spans="1:35" ht="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 spans="1:35" ht="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 spans="1:35" ht="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 spans="1:35" ht="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 spans="1:35" ht="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 spans="1:35" ht="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 spans="1:35" ht="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 spans="1:35" ht="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 spans="1:35" ht="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 spans="1:35" ht="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 spans="1:35" ht="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 spans="1:35" ht="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 spans="1:35" ht="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 spans="1:35" ht="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 spans="1:35" ht="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 spans="1:35" ht="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 spans="1:35" ht="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 spans="1:35" ht="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 spans="1:35" ht="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 spans="1:35" ht="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 spans="1:35" ht="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 spans="1:35" ht="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 spans="1:35" ht="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 spans="1:35" ht="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 spans="1:35" ht="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 spans="1:35" ht="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 spans="1:35" ht="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 spans="1:35" ht="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 spans="1:35" ht="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 spans="1:35" ht="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 spans="1:35" ht="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 spans="1:35" ht="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 spans="1:35" ht="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 spans="1:35" ht="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 spans="1:35" ht="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 spans="1:35" ht="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 spans="1:35" ht="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 spans="1:35" ht="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 spans="1:35" ht="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 spans="1:35" ht="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 spans="1:35" ht="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 spans="1:35" ht="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 spans="1:35" ht="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 spans="1:35" ht="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 spans="1:35" ht="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 spans="1:35" ht="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 spans="1:35" ht="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 spans="1:35" ht="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 spans="1:35" ht="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 spans="1:35" ht="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 spans="1:35" ht="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 spans="1:35" ht="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 spans="1:35" ht="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 spans="1:35" ht="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 spans="1:35" ht="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 spans="1:35" ht="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 spans="1:35" ht="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 spans="1:35" ht="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 spans="1:35" ht="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 spans="1:35" ht="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 spans="1:35" ht="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 spans="1:35" ht="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 spans="1:35" ht="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 spans="1:35" ht="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 spans="1:35" ht="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 spans="1:35" ht="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 spans="1:35" ht="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 spans="1:35" ht="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 spans="1:35" ht="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 spans="1:35" ht="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 spans="1:35" ht="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 spans="1:35" ht="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 spans="1:35" ht="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 spans="1:35" ht="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 spans="1:35" ht="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 spans="1:35" ht="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 spans="1:35" ht="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 spans="1:35" ht="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 spans="1:35" ht="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 spans="1:35" ht="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 spans="1:35" ht="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 spans="1:35" ht="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 spans="1:35" ht="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 spans="1:35" ht="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 spans="1:35" ht="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 spans="1:35" ht="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 spans="1:35" ht="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 spans="1:35" ht="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 spans="1:35" ht="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 spans="1:35" ht="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 spans="1:35" ht="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 spans="1:35" ht="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 spans="1:35" ht="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 spans="1:35" ht="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 spans="1:35" ht="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 spans="1:35" ht="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 spans="1:35" ht="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 spans="1:35" ht="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 spans="1:35" ht="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 spans="1:35" ht="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 spans="1:35" ht="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 spans="1:35" ht="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 spans="1:35" ht="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 spans="1:35" ht="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 spans="1:35" ht="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 spans="1:35" ht="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 spans="1:35" ht="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 spans="1:35" ht="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 spans="1:35" ht="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 spans="1:35" ht="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 spans="1:35" ht="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 spans="1:35" ht="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 spans="1:35" ht="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 spans="1:35" ht="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 spans="1:35" ht="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 spans="1:35" ht="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 spans="1:35" ht="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 spans="1:35" ht="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 spans="1:35" ht="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 spans="1:35" ht="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 spans="1:35" ht="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 spans="1:35" ht="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 spans="1:35" ht="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 spans="1:35" ht="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 spans="1:35" ht="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 spans="1:35" ht="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 spans="1:35" ht="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 spans="1:35" ht="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 spans="1:35" ht="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 spans="1:35" ht="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 spans="1:35" ht="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 spans="1:35" ht="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 spans="1:35" ht="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 spans="1:35" ht="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 spans="1:35" ht="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 spans="1:35" ht="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 spans="1:35" ht="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 spans="1:35" ht="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 spans="1:35" ht="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 spans="1:35" ht="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 spans="1:35" ht="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 spans="1:35" ht="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 spans="1:35" ht="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 spans="1:35" ht="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 spans="1:35" ht="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 spans="1:35" ht="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 spans="1:35" ht="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 spans="1:35" ht="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 spans="1:35" ht="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 spans="1:35" ht="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 spans="1:35" ht="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 spans="1:35" ht="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 spans="1:35" ht="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 spans="1:35" ht="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 spans="1:35" ht="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 spans="1:35" ht="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 spans="1:35" ht="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 spans="1:35" ht="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 spans="1:35" ht="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 spans="1:35" ht="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 spans="1:35" ht="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 spans="1:35" ht="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 spans="1:35" ht="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 spans="1:35" ht="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 spans="1:35" ht="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 spans="1:35" ht="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 spans="1:35" ht="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 spans="1:35" ht="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 spans="1:35" ht="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 spans="1:35" ht="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 spans="1:35" ht="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 spans="1:35" ht="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 spans="1:35" ht="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 spans="1:35" ht="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 spans="1:35" ht="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 spans="1:35" ht="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 spans="1:35" ht="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 spans="1:35" ht="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 spans="1:35" ht="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 spans="1:35" ht="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 spans="1:35" ht="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 spans="1:35" ht="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 spans="1:35" ht="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 spans="1:35" ht="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 spans="1:35" ht="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 spans="1:35" ht="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 spans="1:35" ht="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 spans="1:35" ht="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 spans="1:35" ht="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 spans="1:35" ht="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 spans="1:35" ht="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 spans="1:35" ht="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 spans="1:35" ht="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 spans="1:35" ht="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 spans="1:35" ht="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 spans="1:35" ht="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 spans="1:35" ht="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 spans="1:35" ht="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 spans="1:35" ht="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 spans="1:35" ht="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 spans="1:35" ht="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 spans="1:35" ht="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 spans="1:35" ht="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 spans="1:35" ht="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 spans="1:35" ht="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 spans="1:35" ht="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 spans="1:35" ht="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 spans="1:35" ht="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 spans="1:35" ht="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 spans="1:35" ht="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 spans="1:35" ht="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 spans="1:35" ht="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 spans="1:35" ht="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 spans="1:35" ht="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 spans="1:35" ht="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 spans="1:35" ht="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 spans="1:35" ht="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 spans="1:35" ht="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 spans="1:35" ht="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 spans="1:35" ht="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 spans="1:35" ht="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 spans="1:35" ht="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 spans="1:35" ht="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 spans="1:35" ht="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 spans="1:35" ht="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 spans="1:35" ht="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 spans="1:35" ht="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 spans="1:35" ht="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 spans="1:35" ht="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 spans="1:35" ht="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 spans="1:35" ht="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 spans="1:35" ht="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 spans="1:35" ht="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 spans="1:35" ht="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 spans="1:35" ht="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 spans="1:35" ht="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 spans="1:35" ht="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 spans="1:35" ht="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 spans="1:35" ht="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 spans="1:35" ht="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 spans="1:35" ht="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 spans="1:35" ht="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 spans="1:35" ht="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 spans="1:35" ht="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 spans="1:35" ht="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 spans="1:35" ht="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 spans="1:35" ht="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 spans="1:35" ht="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 spans="1:35" ht="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 spans="1:35" ht="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 spans="1:35" ht="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 spans="1:35" ht="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 spans="1:35" ht="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 spans="1:35" ht="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 spans="1:35" ht="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 spans="1:35" ht="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 spans="1:35" ht="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 spans="1:35" ht="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 spans="1:35" ht="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 spans="1:35" ht="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 spans="1:35" ht="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 spans="1:35" ht="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 spans="1:35" ht="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 spans="1:35" ht="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 spans="1:35" ht="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 spans="1:35" ht="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 spans="1:35" ht="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 spans="1:35" ht="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 spans="1:35" ht="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 spans="1:35" ht="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 spans="1:35" ht="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 spans="1:35" ht="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 spans="1:35" ht="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 spans="1:35" ht="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 spans="1:35" ht="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 spans="1:35" ht="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 spans="1:35" ht="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 spans="1:35" ht="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 spans="1:35" ht="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 spans="1:35" ht="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 spans="1:35" ht="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 spans="1:35" ht="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 spans="1:35" ht="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 spans="1:35" ht="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 spans="1:35" ht="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 spans="1:35" ht="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 spans="1:35" ht="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 spans="1:35" ht="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 spans="1:35" ht="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 spans="1:35" ht="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 spans="1:35" ht="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 spans="1:35" ht="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 spans="1:35" ht="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 spans="1:35" ht="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 spans="1:35" ht="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 spans="1:35" ht="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 spans="1:35" ht="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 spans="1:35" ht="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 spans="1:35" ht="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 spans="1:35" ht="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 spans="1:35" ht="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 spans="1:35" ht="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 spans="1:35" ht="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 spans="1:35" ht="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 spans="1:35" ht="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 spans="1:35" ht="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 spans="1:35" ht="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 spans="1:35" ht="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 spans="1:35" ht="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 spans="1:35" ht="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 spans="1:35" ht="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 spans="1:35" ht="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 spans="1:35" ht="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 spans="1:35" ht="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 spans="1:35" ht="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 spans="1:35" ht="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 spans="1:35" ht="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 spans="1:35" ht="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 spans="1:35" ht="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 spans="1:35" ht="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 spans="1:35" ht="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 spans="1:35" ht="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 spans="1:35" ht="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 spans="1:35" ht="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 spans="1:35" ht="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 spans="1:35" ht="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 spans="1:35" ht="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 spans="1:35" ht="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 spans="1:35" ht="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 spans="1:35" ht="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</sheetData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workbookViewId="0"/>
  </sheetViews>
  <sheetFormatPr defaultColWidth="14.42578125" defaultRowHeight="15.75" customHeight="1"/>
  <cols>
    <col min="2" max="2" width="16" customWidth="1"/>
    <col min="6" max="6" width="15.7109375" customWidth="1"/>
    <col min="15" max="15" width="15.28515625" customWidth="1"/>
    <col min="16" max="16" width="17" customWidth="1"/>
    <col min="17" max="17" width="15.28515625" customWidth="1"/>
    <col min="20" max="20" width="47.28515625" customWidth="1"/>
    <col min="24" max="24" width="47" customWidth="1"/>
  </cols>
  <sheetData>
    <row r="1" spans="1:31" ht="1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6.5" customHeight="1">
      <c r="A2" s="5" t="s">
        <v>18</v>
      </c>
      <c r="B2" s="6">
        <v>10000000</v>
      </c>
      <c r="C2" s="7">
        <f t="shared" ref="C2:C35" si="0">SUM(B2/N2)</f>
        <v>1.2244897959183674</v>
      </c>
      <c r="D2" s="5">
        <v>120</v>
      </c>
      <c r="E2" s="8">
        <f t="shared" ref="E2:E35" si="1">SUM(B2/D2)</f>
        <v>83333.333333333328</v>
      </c>
      <c r="F2" s="9">
        <v>0.01</v>
      </c>
      <c r="G2" s="8">
        <f t="shared" ref="G2:G35" si="2">SUM(E2*F2)</f>
        <v>833.33333333333326</v>
      </c>
      <c r="H2" s="10">
        <v>0.05</v>
      </c>
      <c r="I2" s="8">
        <f t="shared" ref="I2:I35" si="3">SUM(G2*H2)</f>
        <v>41.666666666666664</v>
      </c>
      <c r="J2" s="11">
        <f>SUM(G2*H2)</f>
        <v>41.666666666666664</v>
      </c>
      <c r="K2" s="6">
        <v>9800</v>
      </c>
      <c r="L2" s="8">
        <f t="shared" ref="L2:L35" si="4">SUM((K2*0.15)*G2)</f>
        <v>1225000</v>
      </c>
      <c r="M2" s="8">
        <f t="shared" ref="M2:M35" si="5">SUM(N2*0.2)</f>
        <v>1633333.3333333333</v>
      </c>
      <c r="N2" s="8">
        <f>SUM(G2*K2)</f>
        <v>8166666.666666666</v>
      </c>
      <c r="O2" s="8">
        <f t="shared" ref="O2:O35" si="6">SUM(N2-B2-L2)</f>
        <v>-3058333.333333334</v>
      </c>
      <c r="P2" s="12">
        <f t="shared" ref="P2:P35" si="7">SUM(N2/(B2+L2)-1)</f>
        <v>-0.27245731254639949</v>
      </c>
      <c r="Q2" s="8">
        <f t="shared" ref="Q2:Q35" si="8">SUM(N2*0.05)</f>
        <v>408333.33333333331</v>
      </c>
      <c r="R2" s="13">
        <f t="shared" ref="R2:R35" si="9">SUM(N2-(B2+L2+M2+Q2))</f>
        <v>-5100000.0000000019</v>
      </c>
      <c r="S2" s="14">
        <f t="shared" ref="S2:S35" si="10">SUM(N2/(B2+L2+M2+Q2)-1)</f>
        <v>-0.38442211055276387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16.5" customHeight="1">
      <c r="A3" s="5" t="s">
        <v>19</v>
      </c>
      <c r="B3" s="6">
        <v>15000000</v>
      </c>
      <c r="C3" s="7">
        <f t="shared" si="0"/>
        <v>1.1302982731554159</v>
      </c>
      <c r="D3" s="5">
        <v>120</v>
      </c>
      <c r="E3" s="8">
        <f t="shared" si="1"/>
        <v>125000</v>
      </c>
      <c r="F3" s="9">
        <v>0.01</v>
      </c>
      <c r="G3" s="8">
        <f t="shared" si="2"/>
        <v>1250</v>
      </c>
      <c r="H3" s="10">
        <v>0.05</v>
      </c>
      <c r="I3" s="8">
        <f t="shared" si="3"/>
        <v>62.5</v>
      </c>
      <c r="J3" s="11">
        <f t="shared" ref="J3:J35" si="11">SUM(I3+J2)</f>
        <v>104.16666666666666</v>
      </c>
      <c r="K3" s="6">
        <v>9800</v>
      </c>
      <c r="L3" s="8">
        <f t="shared" si="4"/>
        <v>1837500</v>
      </c>
      <c r="M3" s="8">
        <f t="shared" si="5"/>
        <v>2654166.666666667</v>
      </c>
      <c r="N3" s="8">
        <f t="shared" ref="N3:N35" si="12">SUM(((G3+J3)*K3))</f>
        <v>13270833.333333334</v>
      </c>
      <c r="O3" s="8">
        <f t="shared" si="6"/>
        <v>-3566666.666666666</v>
      </c>
      <c r="P3" s="12">
        <f t="shared" si="7"/>
        <v>-0.21182875525859934</v>
      </c>
      <c r="Q3" s="8">
        <f t="shared" si="8"/>
        <v>663541.66666666674</v>
      </c>
      <c r="R3" s="13">
        <f t="shared" si="9"/>
        <v>-6884375.0000000019</v>
      </c>
      <c r="S3" s="14">
        <f t="shared" si="10"/>
        <v>-0.3415680396919738</v>
      </c>
      <c r="T3" s="16"/>
      <c r="U3" s="4"/>
      <c r="V3" s="4"/>
      <c r="W3" s="4"/>
      <c r="X3" s="16"/>
      <c r="Y3" s="4"/>
      <c r="Z3" s="4"/>
      <c r="AA3" s="4"/>
      <c r="AB3" s="4"/>
      <c r="AC3" s="4"/>
      <c r="AD3" s="4"/>
      <c r="AE3" s="4"/>
    </row>
    <row r="4" spans="1:31" ht="16.5" customHeight="1">
      <c r="A4" s="5" t="s">
        <v>20</v>
      </c>
      <c r="B4" s="6">
        <v>25000000</v>
      </c>
      <c r="C4" s="7">
        <f t="shared" si="0"/>
        <v>1.1131725417439702</v>
      </c>
      <c r="D4" s="5">
        <v>120</v>
      </c>
      <c r="E4" s="8">
        <f t="shared" si="1"/>
        <v>208333.33333333334</v>
      </c>
      <c r="F4" s="9">
        <v>0.01</v>
      </c>
      <c r="G4" s="8">
        <f t="shared" si="2"/>
        <v>2083.3333333333335</v>
      </c>
      <c r="H4" s="10">
        <v>0.05</v>
      </c>
      <c r="I4" s="8">
        <f t="shared" si="3"/>
        <v>104.16666666666669</v>
      </c>
      <c r="J4" s="11">
        <f t="shared" si="11"/>
        <v>208.33333333333334</v>
      </c>
      <c r="K4" s="6">
        <v>9800</v>
      </c>
      <c r="L4" s="8">
        <f t="shared" si="4"/>
        <v>3062500</v>
      </c>
      <c r="M4" s="8">
        <f t="shared" si="5"/>
        <v>4491666.666666667</v>
      </c>
      <c r="N4" s="8">
        <f t="shared" si="12"/>
        <v>22458333.333333336</v>
      </c>
      <c r="O4" s="8">
        <f t="shared" si="6"/>
        <v>-5604166.6666666642</v>
      </c>
      <c r="P4" s="12">
        <f t="shared" si="7"/>
        <v>-0.1997030438010392</v>
      </c>
      <c r="Q4" s="8">
        <f t="shared" si="8"/>
        <v>1122916.6666666667</v>
      </c>
      <c r="R4" s="13">
        <f t="shared" si="9"/>
        <v>-11218750</v>
      </c>
      <c r="S4" s="14">
        <f t="shared" si="10"/>
        <v>-0.33312712650788734</v>
      </c>
      <c r="T4" s="17"/>
      <c r="U4" s="18"/>
      <c r="V4" s="18"/>
      <c r="W4" s="18"/>
      <c r="X4" s="17"/>
      <c r="Y4" s="18"/>
      <c r="Z4" s="18"/>
      <c r="AA4" s="18"/>
      <c r="AB4" s="18"/>
      <c r="AC4" s="18"/>
      <c r="AD4" s="18"/>
      <c r="AE4" s="18"/>
    </row>
    <row r="5" spans="1:31" ht="16.5" customHeight="1">
      <c r="A5" s="5" t="s">
        <v>21</v>
      </c>
      <c r="B5" s="6">
        <v>30000000</v>
      </c>
      <c r="C5" s="7">
        <f t="shared" si="0"/>
        <v>1.0804321728691475</v>
      </c>
      <c r="D5" s="5">
        <v>120</v>
      </c>
      <c r="E5" s="8">
        <f t="shared" si="1"/>
        <v>250000</v>
      </c>
      <c r="F5" s="9">
        <v>0.01</v>
      </c>
      <c r="G5" s="8">
        <f t="shared" si="2"/>
        <v>2500</v>
      </c>
      <c r="H5" s="10">
        <v>0.05</v>
      </c>
      <c r="I5" s="8">
        <f t="shared" si="3"/>
        <v>125</v>
      </c>
      <c r="J5" s="11">
        <f t="shared" si="11"/>
        <v>333.33333333333337</v>
      </c>
      <c r="K5" s="6">
        <v>9800</v>
      </c>
      <c r="L5" s="8">
        <f t="shared" si="4"/>
        <v>3675000</v>
      </c>
      <c r="M5" s="8">
        <f t="shared" si="5"/>
        <v>5553333.333333334</v>
      </c>
      <c r="N5" s="8">
        <f t="shared" si="12"/>
        <v>27766666.666666668</v>
      </c>
      <c r="O5" s="8">
        <f t="shared" si="6"/>
        <v>-5908333.3333333321</v>
      </c>
      <c r="P5" s="12">
        <f t="shared" si="7"/>
        <v>-0.17545162088591926</v>
      </c>
      <c r="Q5" s="8">
        <f t="shared" si="8"/>
        <v>1388333.3333333335</v>
      </c>
      <c r="R5" s="13">
        <f t="shared" si="9"/>
        <v>-12850000.000000004</v>
      </c>
      <c r="S5" s="14">
        <f t="shared" si="10"/>
        <v>-0.31637258924907674</v>
      </c>
      <c r="T5" s="19"/>
      <c r="U5" s="4"/>
      <c r="V5" s="4"/>
      <c r="W5" s="4"/>
      <c r="X5" s="19"/>
      <c r="Y5" s="4"/>
      <c r="Z5" s="4"/>
      <c r="AA5" s="4"/>
      <c r="AB5" s="4"/>
      <c r="AC5" s="4"/>
      <c r="AD5" s="4"/>
      <c r="AE5" s="4"/>
    </row>
    <row r="6" spans="1:31" ht="16.5" customHeight="1">
      <c r="A6" s="5" t="s">
        <v>22</v>
      </c>
      <c r="B6" s="6">
        <v>40000000</v>
      </c>
      <c r="C6" s="7">
        <f t="shared" si="0"/>
        <v>1.064773735581189</v>
      </c>
      <c r="D6" s="5">
        <v>120</v>
      </c>
      <c r="E6" s="8">
        <f t="shared" si="1"/>
        <v>333333.33333333331</v>
      </c>
      <c r="F6" s="9">
        <v>0.01</v>
      </c>
      <c r="G6" s="8">
        <f t="shared" si="2"/>
        <v>3333.333333333333</v>
      </c>
      <c r="H6" s="10">
        <v>0.05</v>
      </c>
      <c r="I6" s="8">
        <f t="shared" si="3"/>
        <v>166.66666666666666</v>
      </c>
      <c r="J6" s="11">
        <f t="shared" si="11"/>
        <v>500</v>
      </c>
      <c r="K6" s="6">
        <v>9800</v>
      </c>
      <c r="L6" s="8">
        <f t="shared" si="4"/>
        <v>4900000</v>
      </c>
      <c r="M6" s="8">
        <f t="shared" si="5"/>
        <v>7513333.333333333</v>
      </c>
      <c r="N6" s="8">
        <f t="shared" si="12"/>
        <v>37566666.666666664</v>
      </c>
      <c r="O6" s="8">
        <f t="shared" si="6"/>
        <v>-7333333.3333333358</v>
      </c>
      <c r="P6" s="12">
        <f t="shared" si="7"/>
        <v>-0.16332590942835934</v>
      </c>
      <c r="Q6" s="8">
        <f t="shared" si="8"/>
        <v>1878333.3333333333</v>
      </c>
      <c r="R6" s="13">
        <f t="shared" si="9"/>
        <v>-16725000.000000007</v>
      </c>
      <c r="S6" s="14">
        <f t="shared" si="10"/>
        <v>-0.30805832693783586</v>
      </c>
      <c r="T6" s="17"/>
      <c r="U6" s="4"/>
      <c r="V6" s="4"/>
      <c r="W6" s="4"/>
      <c r="X6" s="17"/>
      <c r="Y6" s="4"/>
      <c r="Z6" s="4"/>
      <c r="AA6" s="4"/>
      <c r="AB6" s="4"/>
      <c r="AC6" s="4"/>
      <c r="AD6" s="4"/>
      <c r="AE6" s="4"/>
    </row>
    <row r="7" spans="1:31" ht="16.5" customHeight="1">
      <c r="A7" s="5" t="s">
        <v>23</v>
      </c>
      <c r="B7" s="6">
        <v>50000000</v>
      </c>
      <c r="C7" s="7">
        <f t="shared" si="0"/>
        <v>1.0465724751439036</v>
      </c>
      <c r="D7" s="5">
        <v>120</v>
      </c>
      <c r="E7" s="8">
        <f t="shared" si="1"/>
        <v>416666.66666666669</v>
      </c>
      <c r="F7" s="9">
        <v>0.01</v>
      </c>
      <c r="G7" s="8">
        <f t="shared" si="2"/>
        <v>4166.666666666667</v>
      </c>
      <c r="H7" s="10">
        <v>0.05</v>
      </c>
      <c r="I7" s="8">
        <f t="shared" si="3"/>
        <v>208.33333333333337</v>
      </c>
      <c r="J7" s="11">
        <f t="shared" si="11"/>
        <v>708.33333333333337</v>
      </c>
      <c r="K7" s="6">
        <v>9800</v>
      </c>
      <c r="L7" s="8">
        <f t="shared" si="4"/>
        <v>6125000</v>
      </c>
      <c r="M7" s="8">
        <f t="shared" si="5"/>
        <v>9555000</v>
      </c>
      <c r="N7" s="8">
        <f t="shared" si="12"/>
        <v>47775000</v>
      </c>
      <c r="O7" s="8">
        <f t="shared" si="6"/>
        <v>-8350000</v>
      </c>
      <c r="P7" s="12">
        <f t="shared" si="7"/>
        <v>-0.14877505567928728</v>
      </c>
      <c r="Q7" s="8">
        <f t="shared" si="8"/>
        <v>2388750</v>
      </c>
      <c r="R7" s="13">
        <f t="shared" si="9"/>
        <v>-20293750</v>
      </c>
      <c r="S7" s="14">
        <f t="shared" si="10"/>
        <v>-0.29813607565880085</v>
      </c>
      <c r="T7" s="19"/>
      <c r="U7" s="4"/>
      <c r="V7" s="4"/>
      <c r="W7" s="4"/>
      <c r="X7" s="19"/>
      <c r="Y7" s="4"/>
      <c r="Z7" s="4"/>
      <c r="AA7" s="4"/>
      <c r="AB7" s="4"/>
      <c r="AC7" s="4"/>
      <c r="AD7" s="4"/>
      <c r="AE7" s="4"/>
    </row>
    <row r="8" spans="1:31" ht="16.5" customHeight="1">
      <c r="A8" s="5" t="s">
        <v>28</v>
      </c>
      <c r="B8" s="6">
        <v>65000000</v>
      </c>
      <c r="C8" s="7">
        <f t="shared" si="0"/>
        <v>1.0370271887256532</v>
      </c>
      <c r="D8" s="5">
        <v>120</v>
      </c>
      <c r="E8" s="8">
        <f t="shared" si="1"/>
        <v>541666.66666666663</v>
      </c>
      <c r="F8" s="9">
        <v>0.01</v>
      </c>
      <c r="G8" s="8">
        <f t="shared" si="2"/>
        <v>5416.6666666666661</v>
      </c>
      <c r="H8" s="10">
        <v>0.05</v>
      </c>
      <c r="I8" s="8">
        <f t="shared" si="3"/>
        <v>270.83333333333331</v>
      </c>
      <c r="J8" s="11">
        <f t="shared" si="11"/>
        <v>979.16666666666674</v>
      </c>
      <c r="K8" s="6">
        <v>9800</v>
      </c>
      <c r="L8" s="8">
        <f t="shared" si="4"/>
        <v>7962499.9999999991</v>
      </c>
      <c r="M8" s="8">
        <f t="shared" si="5"/>
        <v>12535833.333333334</v>
      </c>
      <c r="N8" s="8">
        <f t="shared" si="12"/>
        <v>62679166.666666664</v>
      </c>
      <c r="O8" s="8">
        <f t="shared" si="6"/>
        <v>-10283333.333333336</v>
      </c>
      <c r="P8" s="12">
        <f t="shared" si="7"/>
        <v>-0.14093998058363322</v>
      </c>
      <c r="Q8" s="8">
        <f t="shared" si="8"/>
        <v>3133958.3333333335</v>
      </c>
      <c r="R8" s="13">
        <f t="shared" si="9"/>
        <v>-25953124.999999993</v>
      </c>
      <c r="S8" s="14">
        <f t="shared" si="10"/>
        <v>-0.29281793928567224</v>
      </c>
      <c r="T8" s="17"/>
      <c r="U8" s="4"/>
      <c r="V8" s="4"/>
      <c r="W8" s="4"/>
      <c r="X8" s="17"/>
      <c r="Y8" s="4"/>
      <c r="Z8" s="4"/>
      <c r="AA8" s="4"/>
      <c r="AB8" s="4"/>
      <c r="AC8" s="4"/>
      <c r="AD8" s="4"/>
      <c r="AE8" s="4"/>
    </row>
    <row r="9" spans="1:31" ht="16.5" customHeight="1">
      <c r="A9" s="5" t="s">
        <v>29</v>
      </c>
      <c r="B9" s="6">
        <v>70000000</v>
      </c>
      <c r="C9" s="7">
        <f t="shared" si="0"/>
        <v>1.0054461667364891</v>
      </c>
      <c r="D9" s="5">
        <v>120</v>
      </c>
      <c r="E9" s="8">
        <f t="shared" si="1"/>
        <v>583333.33333333337</v>
      </c>
      <c r="F9" s="9">
        <v>0.01</v>
      </c>
      <c r="G9" s="8">
        <f t="shared" si="2"/>
        <v>5833.3333333333339</v>
      </c>
      <c r="H9" s="10">
        <v>0.05</v>
      </c>
      <c r="I9" s="8">
        <f t="shared" si="3"/>
        <v>291.66666666666669</v>
      </c>
      <c r="J9" s="11">
        <f t="shared" si="11"/>
        <v>1270.8333333333335</v>
      </c>
      <c r="K9" s="6">
        <v>9800</v>
      </c>
      <c r="L9" s="8">
        <f t="shared" si="4"/>
        <v>8575000</v>
      </c>
      <c r="M9" s="8">
        <f t="shared" si="5"/>
        <v>13924166.66666667</v>
      </c>
      <c r="N9" s="8">
        <f t="shared" si="12"/>
        <v>69620833.333333343</v>
      </c>
      <c r="O9" s="8">
        <f t="shared" si="6"/>
        <v>-8954166.6666666567</v>
      </c>
      <c r="P9" s="12">
        <f t="shared" si="7"/>
        <v>-0.11395694135115053</v>
      </c>
      <c r="Q9" s="8">
        <f t="shared" si="8"/>
        <v>3481041.6666666674</v>
      </c>
      <c r="R9" s="13">
        <f t="shared" si="9"/>
        <v>-26359375</v>
      </c>
      <c r="S9" s="14">
        <f t="shared" si="10"/>
        <v>-0.27463344222441688</v>
      </c>
      <c r="T9" s="19"/>
      <c r="U9" s="4"/>
      <c r="V9" s="4"/>
      <c r="W9" s="4"/>
      <c r="X9" s="19"/>
      <c r="Y9" s="4"/>
      <c r="Z9" s="4"/>
      <c r="AA9" s="4"/>
      <c r="AB9" s="4"/>
      <c r="AC9" s="4"/>
      <c r="AD9" s="4"/>
      <c r="AE9" s="4"/>
    </row>
    <row r="10" spans="1:31" ht="16.5" customHeight="1">
      <c r="A10" s="5" t="s">
        <v>30</v>
      </c>
      <c r="B10" s="6">
        <v>80000000</v>
      </c>
      <c r="C10" s="7">
        <f t="shared" si="0"/>
        <v>0.98699429393923832</v>
      </c>
      <c r="D10" s="5">
        <v>120</v>
      </c>
      <c r="E10" s="8">
        <f t="shared" si="1"/>
        <v>666666.66666666663</v>
      </c>
      <c r="F10" s="9">
        <v>0.01</v>
      </c>
      <c r="G10" s="8">
        <f t="shared" si="2"/>
        <v>6666.6666666666661</v>
      </c>
      <c r="H10" s="10">
        <v>0.05</v>
      </c>
      <c r="I10" s="8">
        <f t="shared" si="3"/>
        <v>333.33333333333331</v>
      </c>
      <c r="J10" s="11">
        <f t="shared" si="11"/>
        <v>1604.1666666666667</v>
      </c>
      <c r="K10" s="6">
        <v>9800</v>
      </c>
      <c r="L10" s="8">
        <f t="shared" si="4"/>
        <v>9800000</v>
      </c>
      <c r="M10" s="8">
        <f t="shared" si="5"/>
        <v>16210833.333333332</v>
      </c>
      <c r="N10" s="8">
        <f t="shared" si="12"/>
        <v>81054166.666666657</v>
      </c>
      <c r="O10" s="8">
        <f t="shared" si="6"/>
        <v>-8745833.3333333433</v>
      </c>
      <c r="P10" s="12">
        <f t="shared" si="7"/>
        <v>-9.7392353377876884E-2</v>
      </c>
      <c r="Q10" s="8">
        <f t="shared" si="8"/>
        <v>4052708.333333333</v>
      </c>
      <c r="R10" s="13">
        <f t="shared" si="9"/>
        <v>-29009375</v>
      </c>
      <c r="S10" s="14">
        <f t="shared" si="10"/>
        <v>-0.26356933968067686</v>
      </c>
      <c r="T10" s="17"/>
      <c r="U10" s="18"/>
      <c r="V10" s="18"/>
      <c r="W10" s="18"/>
      <c r="X10" s="17"/>
      <c r="Y10" s="18"/>
      <c r="Z10" s="18"/>
      <c r="AA10" s="18"/>
      <c r="AB10" s="18"/>
      <c r="AC10" s="18"/>
      <c r="AD10" s="18"/>
      <c r="AE10" s="18"/>
    </row>
    <row r="11" spans="1:31" ht="16.5" customHeight="1">
      <c r="A11" s="5" t="s">
        <v>31</v>
      </c>
      <c r="B11" s="6">
        <v>90000000</v>
      </c>
      <c r="C11" s="7">
        <f t="shared" si="0"/>
        <v>0.96882709127607092</v>
      </c>
      <c r="D11" s="5">
        <v>120</v>
      </c>
      <c r="E11" s="8">
        <f t="shared" si="1"/>
        <v>750000</v>
      </c>
      <c r="F11" s="9">
        <v>0.01</v>
      </c>
      <c r="G11" s="8">
        <f t="shared" si="2"/>
        <v>7500</v>
      </c>
      <c r="H11" s="10">
        <v>0.05</v>
      </c>
      <c r="I11" s="8">
        <f t="shared" si="3"/>
        <v>375</v>
      </c>
      <c r="J11" s="11">
        <f t="shared" si="11"/>
        <v>1979.1666666666667</v>
      </c>
      <c r="K11" s="6">
        <v>9800</v>
      </c>
      <c r="L11" s="8">
        <f t="shared" si="4"/>
        <v>11025000</v>
      </c>
      <c r="M11" s="8">
        <f t="shared" si="5"/>
        <v>18579166.666666668</v>
      </c>
      <c r="N11" s="8">
        <f t="shared" si="12"/>
        <v>92895833.333333328</v>
      </c>
      <c r="O11" s="8">
        <f t="shared" si="6"/>
        <v>-8129166.6666666716</v>
      </c>
      <c r="P11" s="12">
        <f t="shared" si="7"/>
        <v>-8.0466881135032642E-2</v>
      </c>
      <c r="Q11" s="8">
        <f t="shared" si="8"/>
        <v>4644791.666666667</v>
      </c>
      <c r="R11" s="13">
        <f t="shared" si="9"/>
        <v>-31353125.000000015</v>
      </c>
      <c r="S11" s="14">
        <f t="shared" si="10"/>
        <v>-0.25234114974136279</v>
      </c>
      <c r="T11" s="19"/>
      <c r="U11" s="18"/>
      <c r="V11" s="18"/>
      <c r="W11" s="18"/>
      <c r="X11" s="19"/>
      <c r="Y11" s="18"/>
      <c r="Z11" s="18"/>
      <c r="AA11" s="18"/>
      <c r="AB11" s="18"/>
      <c r="AC11" s="18"/>
      <c r="AD11" s="18"/>
      <c r="AE11" s="18"/>
    </row>
    <row r="12" spans="1:31" ht="16.5" customHeight="1">
      <c r="A12" s="5" t="s">
        <v>32</v>
      </c>
      <c r="B12" s="6">
        <v>120000000</v>
      </c>
      <c r="C12" s="7">
        <f t="shared" si="0"/>
        <v>0.98122721542707225</v>
      </c>
      <c r="D12" s="5">
        <v>120</v>
      </c>
      <c r="E12" s="8">
        <f t="shared" si="1"/>
        <v>1000000</v>
      </c>
      <c r="F12" s="9">
        <v>0.01</v>
      </c>
      <c r="G12" s="8">
        <f t="shared" si="2"/>
        <v>10000</v>
      </c>
      <c r="H12" s="10">
        <v>0.05</v>
      </c>
      <c r="I12" s="8">
        <f t="shared" si="3"/>
        <v>500</v>
      </c>
      <c r="J12" s="11">
        <f t="shared" si="11"/>
        <v>2479.166666666667</v>
      </c>
      <c r="K12" s="6">
        <v>9800</v>
      </c>
      <c r="L12" s="8">
        <f t="shared" si="4"/>
        <v>14700000</v>
      </c>
      <c r="M12" s="8">
        <f t="shared" si="5"/>
        <v>24459166.666666672</v>
      </c>
      <c r="N12" s="8">
        <f t="shared" si="12"/>
        <v>122295833.33333334</v>
      </c>
      <c r="O12" s="8">
        <f t="shared" si="6"/>
        <v>-12404166.666666657</v>
      </c>
      <c r="P12" s="12">
        <f t="shared" si="7"/>
        <v>-9.2087354615194239E-2</v>
      </c>
      <c r="Q12" s="8">
        <f t="shared" si="8"/>
        <v>6114791.6666666679</v>
      </c>
      <c r="R12" s="13">
        <f t="shared" si="9"/>
        <v>-42978125</v>
      </c>
      <c r="S12" s="14">
        <f t="shared" si="10"/>
        <v>-0.26004172365327771</v>
      </c>
      <c r="T12" s="17"/>
      <c r="U12" s="18"/>
      <c r="V12" s="18"/>
      <c r="W12" s="18"/>
      <c r="X12" s="17"/>
      <c r="Y12" s="18"/>
      <c r="Z12" s="18"/>
      <c r="AA12" s="18"/>
      <c r="AB12" s="18"/>
      <c r="AC12" s="18"/>
      <c r="AD12" s="18"/>
      <c r="AE12" s="18"/>
    </row>
    <row r="13" spans="1:31" ht="16.5" customHeight="1">
      <c r="A13" s="5" t="s">
        <v>33</v>
      </c>
      <c r="B13" s="6">
        <v>150000000</v>
      </c>
      <c r="C13" s="7">
        <f t="shared" si="0"/>
        <v>0.98089970300536766</v>
      </c>
      <c r="D13" s="5">
        <v>120</v>
      </c>
      <c r="E13" s="8">
        <f t="shared" si="1"/>
        <v>1250000</v>
      </c>
      <c r="F13" s="9">
        <v>0.01</v>
      </c>
      <c r="G13" s="8">
        <f t="shared" si="2"/>
        <v>12500</v>
      </c>
      <c r="H13" s="10">
        <v>0.05</v>
      </c>
      <c r="I13" s="8">
        <f t="shared" si="3"/>
        <v>625</v>
      </c>
      <c r="J13" s="11">
        <f t="shared" si="11"/>
        <v>3104.166666666667</v>
      </c>
      <c r="K13" s="6">
        <v>9800</v>
      </c>
      <c r="L13" s="8">
        <f t="shared" si="4"/>
        <v>18375000</v>
      </c>
      <c r="M13" s="8">
        <f t="shared" si="5"/>
        <v>30584166.666666672</v>
      </c>
      <c r="N13" s="8">
        <f t="shared" si="12"/>
        <v>152920833.33333334</v>
      </c>
      <c r="O13" s="8">
        <f t="shared" si="6"/>
        <v>-15454166.666666657</v>
      </c>
      <c r="P13" s="12">
        <f t="shared" si="7"/>
        <v>-9.178421182875518E-2</v>
      </c>
      <c r="Q13" s="8">
        <f t="shared" si="8"/>
        <v>7646041.6666666679</v>
      </c>
      <c r="R13" s="13">
        <f t="shared" si="9"/>
        <v>-53684375</v>
      </c>
      <c r="S13" s="14">
        <f t="shared" si="10"/>
        <v>-0.25984037591824183</v>
      </c>
      <c r="T13" s="19"/>
      <c r="U13" s="18"/>
      <c r="V13" s="18"/>
      <c r="W13" s="18"/>
      <c r="X13" s="19"/>
      <c r="Y13" s="18"/>
      <c r="Z13" s="18"/>
      <c r="AA13" s="18"/>
      <c r="AB13" s="18"/>
      <c r="AC13" s="18"/>
      <c r="AD13" s="18"/>
      <c r="AE13" s="18"/>
    </row>
    <row r="14" spans="1:31" ht="16.5" customHeight="1">
      <c r="A14" s="5" t="s">
        <v>34</v>
      </c>
      <c r="B14" s="6">
        <v>150000000</v>
      </c>
      <c r="C14" s="7">
        <f t="shared" si="0"/>
        <v>0.94312436142621359</v>
      </c>
      <c r="D14" s="5">
        <v>120</v>
      </c>
      <c r="E14" s="8">
        <f t="shared" si="1"/>
        <v>1250000</v>
      </c>
      <c r="F14" s="9">
        <v>0.01</v>
      </c>
      <c r="G14" s="8">
        <f t="shared" si="2"/>
        <v>12500</v>
      </c>
      <c r="H14" s="10">
        <v>0.05</v>
      </c>
      <c r="I14" s="8">
        <f t="shared" si="3"/>
        <v>625</v>
      </c>
      <c r="J14" s="11">
        <f t="shared" si="11"/>
        <v>3729.166666666667</v>
      </c>
      <c r="K14" s="6">
        <v>9800</v>
      </c>
      <c r="L14" s="8">
        <f t="shared" si="4"/>
        <v>18375000</v>
      </c>
      <c r="M14" s="8">
        <f t="shared" si="5"/>
        <v>31809166.666666672</v>
      </c>
      <c r="N14" s="8">
        <f t="shared" si="12"/>
        <v>159045833.33333334</v>
      </c>
      <c r="O14" s="8">
        <f t="shared" si="6"/>
        <v>-9329166.6666666567</v>
      </c>
      <c r="P14" s="12">
        <f t="shared" si="7"/>
        <v>-5.5407077456075204E-2</v>
      </c>
      <c r="Q14" s="8">
        <f t="shared" si="8"/>
        <v>7952291.6666666679</v>
      </c>
      <c r="R14" s="13">
        <f t="shared" si="9"/>
        <v>-49090625</v>
      </c>
      <c r="S14" s="14">
        <f t="shared" si="10"/>
        <v>-0.2358578857019884</v>
      </c>
      <c r="T14" s="19"/>
      <c r="U14" s="18"/>
      <c r="V14" s="18"/>
      <c r="W14" s="18"/>
      <c r="X14" s="19"/>
      <c r="Y14" s="18"/>
      <c r="Z14" s="18"/>
      <c r="AA14" s="18"/>
      <c r="AB14" s="18"/>
      <c r="AC14" s="18"/>
      <c r="AD14" s="18"/>
      <c r="AE14" s="18"/>
    </row>
    <row r="15" spans="1:31" ht="16.5" customHeight="1">
      <c r="A15" s="5" t="s">
        <v>35</v>
      </c>
      <c r="B15" s="6">
        <v>150000000</v>
      </c>
      <c r="C15" s="7">
        <f t="shared" si="0"/>
        <v>0.90815065210262091</v>
      </c>
      <c r="D15" s="5">
        <v>120</v>
      </c>
      <c r="E15" s="8">
        <f t="shared" si="1"/>
        <v>1250000</v>
      </c>
      <c r="F15" s="9">
        <v>0.01</v>
      </c>
      <c r="G15" s="8">
        <f t="shared" si="2"/>
        <v>12500</v>
      </c>
      <c r="H15" s="10">
        <v>0.05</v>
      </c>
      <c r="I15" s="8">
        <f t="shared" si="3"/>
        <v>625</v>
      </c>
      <c r="J15" s="11">
        <f t="shared" si="11"/>
        <v>4354.166666666667</v>
      </c>
      <c r="K15" s="6">
        <v>9800</v>
      </c>
      <c r="L15" s="8">
        <f t="shared" si="4"/>
        <v>18375000</v>
      </c>
      <c r="M15" s="8">
        <f t="shared" si="5"/>
        <v>33034166.666666672</v>
      </c>
      <c r="N15" s="8">
        <f t="shared" si="12"/>
        <v>165170833.33333334</v>
      </c>
      <c r="O15" s="8">
        <f t="shared" si="6"/>
        <v>-3204166.6666666567</v>
      </c>
      <c r="P15" s="12">
        <f t="shared" si="7"/>
        <v>-1.9029943083395118E-2</v>
      </c>
      <c r="Q15" s="8">
        <f t="shared" si="8"/>
        <v>8258541.6666666679</v>
      </c>
      <c r="R15" s="13">
        <f t="shared" si="9"/>
        <v>-44496875</v>
      </c>
      <c r="S15" s="14">
        <f t="shared" si="10"/>
        <v>-0.21222569442719386</v>
      </c>
      <c r="T15" s="19"/>
      <c r="U15" s="18"/>
      <c r="V15" s="18"/>
      <c r="W15" s="18"/>
      <c r="X15" s="19"/>
      <c r="Y15" s="18"/>
      <c r="Z15" s="18"/>
      <c r="AA15" s="18"/>
      <c r="AB15" s="18"/>
      <c r="AC15" s="18"/>
      <c r="AD15" s="18"/>
      <c r="AE15" s="18"/>
    </row>
    <row r="16" spans="1:31" ht="16.5" customHeight="1">
      <c r="A16" s="52" t="s">
        <v>36</v>
      </c>
      <c r="B16" s="54">
        <v>150000000</v>
      </c>
      <c r="C16" s="56">
        <f t="shared" si="0"/>
        <v>0.87567804237308744</v>
      </c>
      <c r="D16" s="57">
        <v>120</v>
      </c>
      <c r="E16" s="54">
        <f t="shared" si="1"/>
        <v>1250000</v>
      </c>
      <c r="F16" s="58">
        <v>0.01</v>
      </c>
      <c r="G16" s="54">
        <f t="shared" si="2"/>
        <v>12500</v>
      </c>
      <c r="H16" s="56">
        <v>0.05</v>
      </c>
      <c r="I16" s="54">
        <f t="shared" si="3"/>
        <v>625</v>
      </c>
      <c r="J16" s="11">
        <f t="shared" si="11"/>
        <v>4979.166666666667</v>
      </c>
      <c r="K16" s="54">
        <v>9800</v>
      </c>
      <c r="L16" s="54">
        <f t="shared" si="4"/>
        <v>18375000</v>
      </c>
      <c r="M16" s="54">
        <f t="shared" si="5"/>
        <v>34259166.666666672</v>
      </c>
      <c r="N16" s="54">
        <f t="shared" si="12"/>
        <v>171295833.33333334</v>
      </c>
      <c r="O16" s="54">
        <f t="shared" si="6"/>
        <v>2920833.3333333433</v>
      </c>
      <c r="P16" s="59">
        <f t="shared" si="7"/>
        <v>1.7347191289284858E-2</v>
      </c>
      <c r="Q16" s="54">
        <f t="shared" si="8"/>
        <v>8564791.6666666679</v>
      </c>
      <c r="R16" s="60">
        <f t="shared" si="9"/>
        <v>-39903125</v>
      </c>
      <c r="S16" s="61">
        <f t="shared" si="10"/>
        <v>-0.18893618280551017</v>
      </c>
      <c r="T16" s="18"/>
      <c r="U16" s="18"/>
      <c r="V16" s="18"/>
      <c r="W16" s="18"/>
      <c r="X16" s="62"/>
      <c r="Y16" s="18"/>
      <c r="Z16" s="18"/>
      <c r="AA16" s="18"/>
      <c r="AB16" s="18"/>
      <c r="AC16" s="18"/>
      <c r="AD16" s="18"/>
      <c r="AE16" s="18"/>
    </row>
    <row r="17" spans="1:31" ht="16.5" customHeight="1">
      <c r="A17" s="52" t="s">
        <v>37</v>
      </c>
      <c r="B17" s="54">
        <v>150000000</v>
      </c>
      <c r="C17" s="56">
        <f t="shared" si="0"/>
        <v>0.84544750005871161</v>
      </c>
      <c r="D17" s="57">
        <v>120</v>
      </c>
      <c r="E17" s="54">
        <f t="shared" si="1"/>
        <v>1250000</v>
      </c>
      <c r="F17" s="58">
        <v>0.01</v>
      </c>
      <c r="G17" s="54">
        <f t="shared" si="2"/>
        <v>12500</v>
      </c>
      <c r="H17" s="56">
        <v>0.05</v>
      </c>
      <c r="I17" s="54">
        <f t="shared" si="3"/>
        <v>625</v>
      </c>
      <c r="J17" s="11">
        <f t="shared" si="11"/>
        <v>5604.166666666667</v>
      </c>
      <c r="K17" s="54">
        <v>9800</v>
      </c>
      <c r="L17" s="54">
        <f t="shared" si="4"/>
        <v>18375000</v>
      </c>
      <c r="M17" s="54">
        <f t="shared" si="5"/>
        <v>35484166.666666672</v>
      </c>
      <c r="N17" s="54">
        <f t="shared" si="12"/>
        <v>177420833.33333334</v>
      </c>
      <c r="O17" s="54">
        <f t="shared" si="6"/>
        <v>9045833.3333333433</v>
      </c>
      <c r="P17" s="59">
        <f t="shared" si="7"/>
        <v>5.3724325661964834E-2</v>
      </c>
      <c r="Q17" s="54">
        <f t="shared" si="8"/>
        <v>8871041.6666666679</v>
      </c>
      <c r="R17" s="60">
        <f t="shared" si="9"/>
        <v>-35309375</v>
      </c>
      <c r="S17" s="61">
        <f t="shared" si="10"/>
        <v>-0.16598195092571277</v>
      </c>
      <c r="T17" s="18"/>
      <c r="U17" s="18"/>
      <c r="V17" s="18"/>
      <c r="W17" s="18"/>
      <c r="X17" s="62"/>
      <c r="Y17" s="18"/>
      <c r="Z17" s="18"/>
      <c r="AA17" s="18"/>
      <c r="AB17" s="18"/>
      <c r="AC17" s="18"/>
      <c r="AD17" s="18"/>
      <c r="AE17" s="18"/>
    </row>
    <row r="18" spans="1:31" ht="16.5" customHeight="1">
      <c r="A18" s="52" t="s">
        <v>38</v>
      </c>
      <c r="B18" s="54">
        <v>150000000</v>
      </c>
      <c r="C18" s="56">
        <f t="shared" si="0"/>
        <v>0.81723456902226965</v>
      </c>
      <c r="D18" s="57">
        <v>120</v>
      </c>
      <c r="E18" s="54">
        <f t="shared" si="1"/>
        <v>1250000</v>
      </c>
      <c r="F18" s="58">
        <v>0.01</v>
      </c>
      <c r="G18" s="54">
        <f t="shared" si="2"/>
        <v>12500</v>
      </c>
      <c r="H18" s="56">
        <v>0.05</v>
      </c>
      <c r="I18" s="54">
        <f t="shared" si="3"/>
        <v>625</v>
      </c>
      <c r="J18" s="11">
        <f t="shared" si="11"/>
        <v>6229.166666666667</v>
      </c>
      <c r="K18" s="54">
        <v>9800</v>
      </c>
      <c r="L18" s="54">
        <f t="shared" si="4"/>
        <v>18375000</v>
      </c>
      <c r="M18" s="54">
        <f t="shared" si="5"/>
        <v>36709166.666666672</v>
      </c>
      <c r="N18" s="54">
        <f t="shared" si="12"/>
        <v>183545833.33333334</v>
      </c>
      <c r="O18" s="54">
        <f t="shared" si="6"/>
        <v>15170833.333333343</v>
      </c>
      <c r="P18" s="59">
        <f t="shared" si="7"/>
        <v>9.0101460034645031E-2</v>
      </c>
      <c r="Q18" s="54">
        <f t="shared" si="8"/>
        <v>9177291.6666666679</v>
      </c>
      <c r="R18" s="60">
        <f t="shared" si="9"/>
        <v>-30715625</v>
      </c>
      <c r="S18" s="61">
        <f t="shared" si="10"/>
        <v>-0.14335581041465106</v>
      </c>
      <c r="T18" s="63"/>
      <c r="U18" s="63"/>
      <c r="V18" s="63"/>
      <c r="W18" s="63"/>
      <c r="X18" s="64"/>
      <c r="Y18" s="18"/>
      <c r="Z18" s="18"/>
      <c r="AA18" s="18"/>
      <c r="AB18" s="18"/>
      <c r="AC18" s="18"/>
      <c r="AD18" s="18"/>
      <c r="AE18" s="18"/>
    </row>
    <row r="19" spans="1:31" ht="16.5" customHeight="1">
      <c r="A19" s="52" t="s">
        <v>39</v>
      </c>
      <c r="B19" s="54">
        <v>150000000</v>
      </c>
      <c r="C19" s="56">
        <f t="shared" si="0"/>
        <v>0.79084378638430608</v>
      </c>
      <c r="D19" s="57">
        <v>120</v>
      </c>
      <c r="E19" s="54">
        <f t="shared" si="1"/>
        <v>1250000</v>
      </c>
      <c r="F19" s="58">
        <v>0.01</v>
      </c>
      <c r="G19" s="54">
        <f t="shared" si="2"/>
        <v>12500</v>
      </c>
      <c r="H19" s="56">
        <v>0.05</v>
      </c>
      <c r="I19" s="54">
        <f t="shared" si="3"/>
        <v>625</v>
      </c>
      <c r="J19" s="11">
        <f t="shared" si="11"/>
        <v>6854.166666666667</v>
      </c>
      <c r="K19" s="54">
        <v>9800</v>
      </c>
      <c r="L19" s="54">
        <f t="shared" si="4"/>
        <v>18375000</v>
      </c>
      <c r="M19" s="54">
        <f t="shared" si="5"/>
        <v>37934166.666666672</v>
      </c>
      <c r="N19" s="54">
        <f t="shared" si="12"/>
        <v>189670833.33333334</v>
      </c>
      <c r="O19" s="54">
        <f t="shared" si="6"/>
        <v>21295833.333333343</v>
      </c>
      <c r="P19" s="59">
        <f t="shared" si="7"/>
        <v>0.12647859440732501</v>
      </c>
      <c r="Q19" s="54">
        <f t="shared" si="8"/>
        <v>9483541.6666666679</v>
      </c>
      <c r="R19" s="60">
        <f t="shared" si="9"/>
        <v>-26121875</v>
      </c>
      <c r="S19" s="61">
        <f t="shared" si="10"/>
        <v>-0.12105077693195143</v>
      </c>
      <c r="T19" s="63"/>
      <c r="U19" s="63"/>
      <c r="V19" s="63"/>
      <c r="W19" s="63"/>
      <c r="X19" s="64"/>
      <c r="Y19" s="18"/>
      <c r="Z19" s="18"/>
      <c r="AA19" s="18"/>
      <c r="AB19" s="18"/>
      <c r="AC19" s="18"/>
      <c r="AD19" s="18"/>
      <c r="AE19" s="18"/>
    </row>
    <row r="20" spans="1:31" ht="16.5" customHeight="1">
      <c r="A20" s="52" t="s">
        <v>40</v>
      </c>
      <c r="B20" s="54">
        <v>150000000</v>
      </c>
      <c r="C20" s="56">
        <f t="shared" si="0"/>
        <v>0.76610414760273238</v>
      </c>
      <c r="D20" s="57">
        <v>120</v>
      </c>
      <c r="E20" s="54">
        <f t="shared" si="1"/>
        <v>1250000</v>
      </c>
      <c r="F20" s="58">
        <v>0.01</v>
      </c>
      <c r="G20" s="54">
        <f t="shared" si="2"/>
        <v>12500</v>
      </c>
      <c r="H20" s="56">
        <v>0.05</v>
      </c>
      <c r="I20" s="54">
        <f t="shared" si="3"/>
        <v>625</v>
      </c>
      <c r="J20" s="11">
        <f t="shared" si="11"/>
        <v>7479.166666666667</v>
      </c>
      <c r="K20" s="54">
        <v>9800</v>
      </c>
      <c r="L20" s="54">
        <f t="shared" si="4"/>
        <v>18375000</v>
      </c>
      <c r="M20" s="54">
        <f t="shared" si="5"/>
        <v>39159166.666666672</v>
      </c>
      <c r="N20" s="54">
        <f t="shared" si="12"/>
        <v>195795833.33333334</v>
      </c>
      <c r="O20" s="54">
        <f t="shared" si="6"/>
        <v>27420833.333333343</v>
      </c>
      <c r="P20" s="59">
        <f t="shared" si="7"/>
        <v>0.16285572878000498</v>
      </c>
      <c r="Q20" s="54">
        <f t="shared" si="8"/>
        <v>9789791.6666666679</v>
      </c>
      <c r="R20" s="60">
        <f t="shared" si="9"/>
        <v>-21528125</v>
      </c>
      <c r="S20" s="61">
        <f t="shared" si="10"/>
        <v>-9.906006298201131E-2</v>
      </c>
      <c r="T20" s="63"/>
      <c r="U20" s="63"/>
      <c r="V20" s="63"/>
      <c r="W20" s="63"/>
      <c r="X20" s="64"/>
      <c r="Y20" s="18"/>
      <c r="Z20" s="18"/>
      <c r="AA20" s="18"/>
      <c r="AB20" s="18"/>
      <c r="AC20" s="18"/>
      <c r="AD20" s="18"/>
      <c r="AE20" s="18"/>
    </row>
    <row r="21" spans="1:31" ht="16.5" customHeight="1">
      <c r="A21" s="52" t="s">
        <v>41</v>
      </c>
      <c r="B21" s="54">
        <v>150000000</v>
      </c>
      <c r="C21" s="56">
        <f t="shared" si="0"/>
        <v>0.74286539691710851</v>
      </c>
      <c r="D21" s="57">
        <v>120</v>
      </c>
      <c r="E21" s="54">
        <f t="shared" si="1"/>
        <v>1250000</v>
      </c>
      <c r="F21" s="58">
        <v>0.01</v>
      </c>
      <c r="G21" s="54">
        <f t="shared" si="2"/>
        <v>12500</v>
      </c>
      <c r="H21" s="56">
        <v>0.05</v>
      </c>
      <c r="I21" s="54">
        <f t="shared" si="3"/>
        <v>625</v>
      </c>
      <c r="J21" s="11">
        <f t="shared" si="11"/>
        <v>8104.166666666667</v>
      </c>
      <c r="K21" s="54">
        <v>9800</v>
      </c>
      <c r="L21" s="54">
        <f t="shared" si="4"/>
        <v>18375000</v>
      </c>
      <c r="M21" s="54">
        <f t="shared" si="5"/>
        <v>40384166.666666672</v>
      </c>
      <c r="N21" s="54">
        <f t="shared" si="12"/>
        <v>201920833.33333334</v>
      </c>
      <c r="O21" s="54">
        <f t="shared" si="6"/>
        <v>33545833.333333343</v>
      </c>
      <c r="P21" s="59">
        <f t="shared" si="7"/>
        <v>0.19923286315268496</v>
      </c>
      <c r="Q21" s="54">
        <f t="shared" si="8"/>
        <v>10096041.666666668</v>
      </c>
      <c r="R21" s="60">
        <f t="shared" si="9"/>
        <v>-16934375</v>
      </c>
      <c r="S21" s="61">
        <f t="shared" si="10"/>
        <v>-7.7377071027743827E-2</v>
      </c>
      <c r="T21" s="18"/>
      <c r="U21" s="18"/>
      <c r="V21" s="18"/>
      <c r="W21" s="18"/>
      <c r="X21" s="62"/>
      <c r="Y21" s="18"/>
      <c r="Z21" s="18"/>
      <c r="AA21" s="18"/>
      <c r="AB21" s="18"/>
      <c r="AC21" s="18"/>
      <c r="AD21" s="18"/>
      <c r="AE21" s="18"/>
    </row>
    <row r="22" spans="1:31" ht="16.5" customHeight="1">
      <c r="A22" s="52" t="s">
        <v>42</v>
      </c>
      <c r="B22" s="54">
        <v>150000000</v>
      </c>
      <c r="C22" s="56">
        <f t="shared" si="0"/>
        <v>0.72099497306282667</v>
      </c>
      <c r="D22" s="57">
        <v>120</v>
      </c>
      <c r="E22" s="54">
        <f t="shared" si="1"/>
        <v>1250000</v>
      </c>
      <c r="F22" s="58">
        <v>0.01</v>
      </c>
      <c r="G22" s="54">
        <f t="shared" si="2"/>
        <v>12500</v>
      </c>
      <c r="H22" s="56">
        <v>0.05</v>
      </c>
      <c r="I22" s="54">
        <f t="shared" si="3"/>
        <v>625</v>
      </c>
      <c r="J22" s="11">
        <f t="shared" si="11"/>
        <v>8729.1666666666679</v>
      </c>
      <c r="K22" s="54">
        <v>9800</v>
      </c>
      <c r="L22" s="54">
        <f t="shared" si="4"/>
        <v>18375000</v>
      </c>
      <c r="M22" s="54">
        <f t="shared" si="5"/>
        <v>41609166.666666672</v>
      </c>
      <c r="N22" s="54">
        <f t="shared" si="12"/>
        <v>208045833.33333334</v>
      </c>
      <c r="O22" s="54">
        <f t="shared" si="6"/>
        <v>39670833.333333343</v>
      </c>
      <c r="P22" s="59">
        <f t="shared" si="7"/>
        <v>0.23560999752536516</v>
      </c>
      <c r="Q22" s="54">
        <f t="shared" si="8"/>
        <v>10402291.666666668</v>
      </c>
      <c r="R22" s="60">
        <f t="shared" si="9"/>
        <v>-12340625</v>
      </c>
      <c r="S22" s="61">
        <f t="shared" si="10"/>
        <v>-5.5995386891398158E-2</v>
      </c>
      <c r="T22" s="18"/>
      <c r="U22" s="18"/>
      <c r="V22" s="18"/>
      <c r="W22" s="18"/>
      <c r="X22" s="62"/>
      <c r="Y22" s="18"/>
      <c r="Z22" s="18"/>
      <c r="AA22" s="18"/>
      <c r="AB22" s="18"/>
      <c r="AC22" s="18"/>
      <c r="AD22" s="18"/>
      <c r="AE22" s="18"/>
    </row>
    <row r="23" spans="1:31" ht="16.5" customHeight="1">
      <c r="A23" s="52" t="s">
        <v>43</v>
      </c>
      <c r="B23" s="54">
        <v>150000000</v>
      </c>
      <c r="C23" s="56">
        <f t="shared" si="0"/>
        <v>0.7003754790762825</v>
      </c>
      <c r="D23" s="57">
        <v>120</v>
      </c>
      <c r="E23" s="54">
        <f t="shared" si="1"/>
        <v>1250000</v>
      </c>
      <c r="F23" s="58">
        <v>0.01</v>
      </c>
      <c r="G23" s="54">
        <f t="shared" si="2"/>
        <v>12500</v>
      </c>
      <c r="H23" s="56">
        <v>0.05</v>
      </c>
      <c r="I23" s="54">
        <f t="shared" si="3"/>
        <v>625</v>
      </c>
      <c r="J23" s="11">
        <f t="shared" si="11"/>
        <v>9354.1666666666679</v>
      </c>
      <c r="K23" s="54">
        <v>9800</v>
      </c>
      <c r="L23" s="54">
        <f t="shared" si="4"/>
        <v>18375000</v>
      </c>
      <c r="M23" s="54">
        <f t="shared" si="5"/>
        <v>42834166.666666672</v>
      </c>
      <c r="N23" s="54">
        <f t="shared" si="12"/>
        <v>214170833.33333334</v>
      </c>
      <c r="O23" s="54">
        <f t="shared" si="6"/>
        <v>45795833.333333343</v>
      </c>
      <c r="P23" s="59">
        <f t="shared" si="7"/>
        <v>0.27198713189804513</v>
      </c>
      <c r="Q23" s="54">
        <f t="shared" si="8"/>
        <v>10708541.666666668</v>
      </c>
      <c r="R23" s="60">
        <f t="shared" si="9"/>
        <v>-7746875</v>
      </c>
      <c r="S23" s="61">
        <f t="shared" si="10"/>
        <v>-3.4908773428588891E-2</v>
      </c>
      <c r="T23" s="18"/>
      <c r="U23" s="18"/>
      <c r="V23" s="18"/>
      <c r="W23" s="18"/>
      <c r="X23" s="62"/>
      <c r="Y23" s="18"/>
      <c r="Z23" s="18"/>
      <c r="AA23" s="18"/>
      <c r="AB23" s="18"/>
      <c r="AC23" s="18"/>
      <c r="AD23" s="18"/>
      <c r="AE23" s="18"/>
    </row>
    <row r="24" spans="1:31" ht="16.5" customHeight="1">
      <c r="A24" s="52" t="s">
        <v>45</v>
      </c>
      <c r="B24" s="54">
        <v>150000000</v>
      </c>
      <c r="C24" s="56">
        <f t="shared" si="0"/>
        <v>0.68090257419000966</v>
      </c>
      <c r="D24" s="57">
        <v>120</v>
      </c>
      <c r="E24" s="54">
        <f t="shared" si="1"/>
        <v>1250000</v>
      </c>
      <c r="F24" s="58">
        <v>0.01</v>
      </c>
      <c r="G24" s="54">
        <f t="shared" si="2"/>
        <v>12500</v>
      </c>
      <c r="H24" s="56">
        <v>0.05</v>
      </c>
      <c r="I24" s="54">
        <f t="shared" si="3"/>
        <v>625</v>
      </c>
      <c r="J24" s="11">
        <f t="shared" si="11"/>
        <v>9979.1666666666679</v>
      </c>
      <c r="K24" s="54">
        <v>9800</v>
      </c>
      <c r="L24" s="54">
        <f t="shared" si="4"/>
        <v>18375000</v>
      </c>
      <c r="M24" s="54">
        <f t="shared" si="5"/>
        <v>44059166.666666672</v>
      </c>
      <c r="N24" s="54">
        <f t="shared" si="12"/>
        <v>220295833.33333334</v>
      </c>
      <c r="O24" s="54">
        <f t="shared" si="6"/>
        <v>51920833.333333343</v>
      </c>
      <c r="P24" s="59">
        <f t="shared" si="7"/>
        <v>0.30836426627072511</v>
      </c>
      <c r="Q24" s="54">
        <f t="shared" si="8"/>
        <v>11014791.666666668</v>
      </c>
      <c r="R24" s="60">
        <f t="shared" si="9"/>
        <v>-3153125</v>
      </c>
      <c r="S24" s="61">
        <f t="shared" si="10"/>
        <v>-1.4111164462428549E-2</v>
      </c>
      <c r="T24" s="18"/>
      <c r="U24" s="18"/>
      <c r="V24" s="18"/>
      <c r="W24" s="18"/>
      <c r="X24" s="62"/>
      <c r="Y24" s="18"/>
      <c r="Z24" s="18"/>
      <c r="AA24" s="18"/>
      <c r="AB24" s="18"/>
      <c r="AC24" s="18"/>
      <c r="AD24" s="18"/>
      <c r="AE24" s="18"/>
    </row>
    <row r="25" spans="1:31" ht="16.5" customHeight="1">
      <c r="A25" s="52" t="s">
        <v>46</v>
      </c>
      <c r="B25" s="54">
        <v>150000000</v>
      </c>
      <c r="C25" s="56">
        <f t="shared" si="0"/>
        <v>0.66248320789091109</v>
      </c>
      <c r="D25" s="57">
        <v>120</v>
      </c>
      <c r="E25" s="54">
        <f t="shared" si="1"/>
        <v>1250000</v>
      </c>
      <c r="F25" s="58">
        <v>0.01</v>
      </c>
      <c r="G25" s="54">
        <f t="shared" si="2"/>
        <v>12500</v>
      </c>
      <c r="H25" s="56">
        <v>0.05</v>
      </c>
      <c r="I25" s="54">
        <f t="shared" si="3"/>
        <v>625</v>
      </c>
      <c r="J25" s="11">
        <f t="shared" si="11"/>
        <v>10604.166666666668</v>
      </c>
      <c r="K25" s="54">
        <v>9800</v>
      </c>
      <c r="L25" s="54">
        <f t="shared" si="4"/>
        <v>18375000</v>
      </c>
      <c r="M25" s="54">
        <f t="shared" si="5"/>
        <v>45284166.666666672</v>
      </c>
      <c r="N25" s="54">
        <f t="shared" si="12"/>
        <v>226420833.33333334</v>
      </c>
      <c r="O25" s="54">
        <f t="shared" si="6"/>
        <v>58045833.333333343</v>
      </c>
      <c r="P25" s="59">
        <f t="shared" si="7"/>
        <v>0.34474140064340508</v>
      </c>
      <c r="Q25" s="54">
        <f t="shared" si="8"/>
        <v>11321041.666666668</v>
      </c>
      <c r="R25" s="60">
        <f t="shared" si="9"/>
        <v>1440625</v>
      </c>
      <c r="S25" s="61">
        <f t="shared" si="10"/>
        <v>6.4033410346280295E-3</v>
      </c>
      <c r="T25" s="18"/>
      <c r="U25" s="18"/>
      <c r="V25" s="18"/>
      <c r="W25" s="18"/>
      <c r="X25" s="62"/>
      <c r="Y25" s="18"/>
      <c r="Z25" s="18"/>
      <c r="AA25" s="18"/>
      <c r="AB25" s="18"/>
      <c r="AC25" s="18"/>
      <c r="AD25" s="18"/>
      <c r="AE25" s="18"/>
    </row>
    <row r="26" spans="1:31" ht="16.5" customHeight="1">
      <c r="A26" s="52" t="s">
        <v>48</v>
      </c>
      <c r="B26" s="54">
        <v>150000000</v>
      </c>
      <c r="C26" s="56">
        <f t="shared" si="0"/>
        <v>0.64503413305620749</v>
      </c>
      <c r="D26" s="57">
        <v>120</v>
      </c>
      <c r="E26" s="54">
        <f t="shared" si="1"/>
        <v>1250000</v>
      </c>
      <c r="F26" s="58">
        <v>0.01</v>
      </c>
      <c r="G26" s="54">
        <f t="shared" si="2"/>
        <v>12500</v>
      </c>
      <c r="H26" s="56">
        <v>0.05</v>
      </c>
      <c r="I26" s="54">
        <f t="shared" si="3"/>
        <v>625</v>
      </c>
      <c r="J26" s="11">
        <f t="shared" si="11"/>
        <v>11229.166666666668</v>
      </c>
      <c r="K26" s="54">
        <v>9800</v>
      </c>
      <c r="L26" s="54">
        <f t="shared" si="4"/>
        <v>18375000</v>
      </c>
      <c r="M26" s="54">
        <f t="shared" si="5"/>
        <v>46509166.666666672</v>
      </c>
      <c r="N26" s="54">
        <f t="shared" si="12"/>
        <v>232545833.33333334</v>
      </c>
      <c r="O26" s="54">
        <f t="shared" si="6"/>
        <v>64170833.333333343</v>
      </c>
      <c r="P26" s="59">
        <f t="shared" si="7"/>
        <v>0.38111853501608528</v>
      </c>
      <c r="Q26" s="54">
        <f t="shared" si="8"/>
        <v>11627291.666666668</v>
      </c>
      <c r="R26" s="60">
        <f t="shared" si="9"/>
        <v>6034375</v>
      </c>
      <c r="S26" s="61">
        <f t="shared" si="10"/>
        <v>2.6640484522949981E-2</v>
      </c>
      <c r="T26" s="18"/>
      <c r="U26" s="18"/>
      <c r="V26" s="18"/>
      <c r="W26" s="18"/>
      <c r="X26" s="62"/>
      <c r="Y26" s="18"/>
      <c r="Z26" s="18"/>
      <c r="AA26" s="18"/>
      <c r="AB26" s="18"/>
      <c r="AC26" s="18"/>
      <c r="AD26" s="18"/>
      <c r="AE26" s="18"/>
    </row>
    <row r="27" spans="1:31" ht="16.5" customHeight="1">
      <c r="A27" s="52" t="s">
        <v>51</v>
      </c>
      <c r="B27" s="54">
        <v>150000000</v>
      </c>
      <c r="C27" s="56">
        <f t="shared" si="0"/>
        <v>0.62848064803337933</v>
      </c>
      <c r="D27" s="57">
        <v>120</v>
      </c>
      <c r="E27" s="54">
        <f t="shared" si="1"/>
        <v>1250000</v>
      </c>
      <c r="F27" s="58">
        <v>0.01</v>
      </c>
      <c r="G27" s="54">
        <f t="shared" si="2"/>
        <v>12500</v>
      </c>
      <c r="H27" s="56">
        <v>0.05</v>
      </c>
      <c r="I27" s="54">
        <f t="shared" si="3"/>
        <v>625</v>
      </c>
      <c r="J27" s="11">
        <f t="shared" si="11"/>
        <v>11854.166666666668</v>
      </c>
      <c r="K27" s="54">
        <v>9800</v>
      </c>
      <c r="L27" s="54">
        <f t="shared" si="4"/>
        <v>18375000</v>
      </c>
      <c r="M27" s="54">
        <f t="shared" si="5"/>
        <v>47734166.666666672</v>
      </c>
      <c r="N27" s="54">
        <f t="shared" si="12"/>
        <v>238670833.33333334</v>
      </c>
      <c r="O27" s="54">
        <f t="shared" si="6"/>
        <v>70295833.333333343</v>
      </c>
      <c r="P27" s="59">
        <f t="shared" si="7"/>
        <v>0.41749566938876526</v>
      </c>
      <c r="Q27" s="54">
        <f t="shared" si="8"/>
        <v>11933541.666666668</v>
      </c>
      <c r="R27" s="60">
        <f t="shared" si="9"/>
        <v>10628125</v>
      </c>
      <c r="S27" s="61">
        <f t="shared" si="10"/>
        <v>4.660585325300004E-2</v>
      </c>
      <c r="T27" s="18"/>
      <c r="U27" s="18"/>
      <c r="V27" s="18"/>
      <c r="W27" s="18"/>
      <c r="X27" s="62"/>
      <c r="Y27" s="18"/>
      <c r="Z27" s="18"/>
      <c r="AA27" s="18"/>
      <c r="AB27" s="18"/>
      <c r="AC27" s="18"/>
      <c r="AD27" s="18"/>
      <c r="AE27" s="18"/>
    </row>
    <row r="28" spans="1:31" ht="16.5" customHeight="1">
      <c r="A28" s="52" t="s">
        <v>52</v>
      </c>
      <c r="B28" s="54">
        <v>150000000</v>
      </c>
      <c r="C28" s="56">
        <f t="shared" si="0"/>
        <v>0.61275552756548823</v>
      </c>
      <c r="D28" s="57">
        <v>120</v>
      </c>
      <c r="E28" s="54">
        <f t="shared" si="1"/>
        <v>1250000</v>
      </c>
      <c r="F28" s="58">
        <v>0.01</v>
      </c>
      <c r="G28" s="54">
        <f t="shared" si="2"/>
        <v>12500</v>
      </c>
      <c r="H28" s="56">
        <v>0.05</v>
      </c>
      <c r="I28" s="54">
        <f t="shared" si="3"/>
        <v>625</v>
      </c>
      <c r="J28" s="11">
        <f t="shared" si="11"/>
        <v>12479.166666666668</v>
      </c>
      <c r="K28" s="54">
        <v>9800</v>
      </c>
      <c r="L28" s="54">
        <f t="shared" si="4"/>
        <v>18375000</v>
      </c>
      <c r="M28" s="54">
        <f t="shared" si="5"/>
        <v>48959166.666666672</v>
      </c>
      <c r="N28" s="54">
        <f t="shared" si="12"/>
        <v>244795833.33333334</v>
      </c>
      <c r="O28" s="54">
        <f t="shared" si="6"/>
        <v>76420833.333333343</v>
      </c>
      <c r="P28" s="59">
        <f t="shared" si="7"/>
        <v>0.45387280376144523</v>
      </c>
      <c r="Q28" s="54">
        <f t="shared" si="8"/>
        <v>12239791.666666668</v>
      </c>
      <c r="R28" s="60">
        <f t="shared" si="9"/>
        <v>15221875</v>
      </c>
      <c r="S28" s="61">
        <f t="shared" si="10"/>
        <v>6.6304885408206227E-2</v>
      </c>
      <c r="T28" s="18"/>
      <c r="U28" s="18"/>
      <c r="V28" s="18"/>
      <c r="W28" s="18"/>
      <c r="X28" s="62"/>
      <c r="Y28" s="18"/>
      <c r="Z28" s="18"/>
      <c r="AA28" s="18"/>
      <c r="AB28" s="18"/>
      <c r="AC28" s="18"/>
      <c r="AD28" s="18"/>
      <c r="AE28" s="18"/>
    </row>
    <row r="29" spans="1:31" ht="16.5" customHeight="1">
      <c r="A29" s="52" t="s">
        <v>53</v>
      </c>
      <c r="B29" s="54">
        <v>150000000</v>
      </c>
      <c r="C29" s="56">
        <f t="shared" si="0"/>
        <v>0.59779811029375129</v>
      </c>
      <c r="D29" s="57">
        <v>120</v>
      </c>
      <c r="E29" s="54">
        <f t="shared" si="1"/>
        <v>1250000</v>
      </c>
      <c r="F29" s="58">
        <v>0.01</v>
      </c>
      <c r="G29" s="54">
        <f t="shared" si="2"/>
        <v>12500</v>
      </c>
      <c r="H29" s="56">
        <v>0.05</v>
      </c>
      <c r="I29" s="54">
        <f t="shared" si="3"/>
        <v>625</v>
      </c>
      <c r="J29" s="11">
        <f t="shared" si="11"/>
        <v>13104.166666666668</v>
      </c>
      <c r="K29" s="54">
        <v>9800</v>
      </c>
      <c r="L29" s="54">
        <f t="shared" si="4"/>
        <v>18375000</v>
      </c>
      <c r="M29" s="54">
        <f t="shared" si="5"/>
        <v>50184166.666666672</v>
      </c>
      <c r="N29" s="54">
        <f t="shared" si="12"/>
        <v>250920833.33333334</v>
      </c>
      <c r="O29" s="54">
        <f t="shared" si="6"/>
        <v>82545833.333333343</v>
      </c>
      <c r="P29" s="59">
        <f t="shared" si="7"/>
        <v>0.49024993813412521</v>
      </c>
      <c r="Q29" s="54">
        <f t="shared" si="8"/>
        <v>12546041.666666668</v>
      </c>
      <c r="R29" s="60">
        <f t="shared" si="9"/>
        <v>19815625</v>
      </c>
      <c r="S29" s="61">
        <f t="shared" si="10"/>
        <v>8.5742875043383071E-2</v>
      </c>
      <c r="T29" s="18"/>
      <c r="U29" s="18"/>
      <c r="V29" s="18"/>
      <c r="W29" s="18"/>
      <c r="X29" s="62"/>
      <c r="Y29" s="18"/>
      <c r="Z29" s="18"/>
      <c r="AA29" s="18"/>
      <c r="AB29" s="18"/>
      <c r="AC29" s="18"/>
      <c r="AD29" s="18"/>
      <c r="AE29" s="18"/>
    </row>
    <row r="30" spans="1:31" ht="16.5" customHeight="1">
      <c r="A30" s="52" t="s">
        <v>54</v>
      </c>
      <c r="B30" s="54">
        <v>150000000</v>
      </c>
      <c r="C30" s="56">
        <f t="shared" si="0"/>
        <v>0.58355351672042921</v>
      </c>
      <c r="D30" s="57">
        <v>120</v>
      </c>
      <c r="E30" s="54">
        <f t="shared" si="1"/>
        <v>1250000</v>
      </c>
      <c r="F30" s="58">
        <v>0.01</v>
      </c>
      <c r="G30" s="54">
        <f t="shared" si="2"/>
        <v>12500</v>
      </c>
      <c r="H30" s="56">
        <v>0.05</v>
      </c>
      <c r="I30" s="54">
        <f t="shared" si="3"/>
        <v>625</v>
      </c>
      <c r="J30" s="11">
        <f t="shared" si="11"/>
        <v>13729.166666666668</v>
      </c>
      <c r="K30" s="54">
        <v>9800</v>
      </c>
      <c r="L30" s="54">
        <f t="shared" si="4"/>
        <v>18375000</v>
      </c>
      <c r="M30" s="54">
        <f t="shared" si="5"/>
        <v>51409166.666666672</v>
      </c>
      <c r="N30" s="54">
        <f t="shared" si="12"/>
        <v>257045833.33333334</v>
      </c>
      <c r="O30" s="54">
        <f t="shared" si="6"/>
        <v>88670833.333333343</v>
      </c>
      <c r="P30" s="59">
        <f t="shared" si="7"/>
        <v>0.5266270725068054</v>
      </c>
      <c r="Q30" s="54">
        <f t="shared" si="8"/>
        <v>12852291.666666668</v>
      </c>
      <c r="R30" s="60">
        <f t="shared" si="9"/>
        <v>24409375</v>
      </c>
      <c r="S30" s="61">
        <f t="shared" si="10"/>
        <v>0.10492497682811619</v>
      </c>
      <c r="T30" s="18"/>
      <c r="U30" s="18"/>
      <c r="V30" s="18"/>
      <c r="W30" s="18"/>
      <c r="X30" s="62"/>
      <c r="Y30" s="18"/>
      <c r="Z30" s="18"/>
      <c r="AA30" s="18"/>
      <c r="AB30" s="18"/>
      <c r="AC30" s="18"/>
      <c r="AD30" s="18"/>
      <c r="AE30" s="18"/>
    </row>
    <row r="31" spans="1:31" ht="16.5" customHeight="1">
      <c r="A31" s="52" t="s">
        <v>55</v>
      </c>
      <c r="B31" s="54">
        <v>150000000</v>
      </c>
      <c r="C31" s="56">
        <f t="shared" si="0"/>
        <v>0.56997197637782804</v>
      </c>
      <c r="D31" s="57">
        <v>120</v>
      </c>
      <c r="E31" s="54">
        <f t="shared" si="1"/>
        <v>1250000</v>
      </c>
      <c r="F31" s="58">
        <v>0.01</v>
      </c>
      <c r="G31" s="54">
        <f t="shared" si="2"/>
        <v>12500</v>
      </c>
      <c r="H31" s="56">
        <v>0.05</v>
      </c>
      <c r="I31" s="54">
        <f t="shared" si="3"/>
        <v>625</v>
      </c>
      <c r="J31" s="11">
        <f t="shared" si="11"/>
        <v>14354.166666666668</v>
      </c>
      <c r="K31" s="54">
        <v>9800</v>
      </c>
      <c r="L31" s="54">
        <f t="shared" si="4"/>
        <v>18375000</v>
      </c>
      <c r="M31" s="54">
        <f t="shared" si="5"/>
        <v>52634166.666666672</v>
      </c>
      <c r="N31" s="54">
        <f t="shared" si="12"/>
        <v>263170833.33333334</v>
      </c>
      <c r="O31" s="54">
        <f t="shared" si="6"/>
        <v>94795833.333333343</v>
      </c>
      <c r="P31" s="59">
        <f t="shared" si="7"/>
        <v>0.56300420687948538</v>
      </c>
      <c r="Q31" s="54">
        <f t="shared" si="8"/>
        <v>13158541.666666668</v>
      </c>
      <c r="R31" s="60">
        <f t="shared" si="9"/>
        <v>29003125</v>
      </c>
      <c r="S31" s="61">
        <f t="shared" si="10"/>
        <v>0.12385621060404528</v>
      </c>
      <c r="T31" s="18"/>
      <c r="U31" s="18"/>
      <c r="V31" s="18"/>
      <c r="W31" s="18"/>
      <c r="X31" s="62"/>
      <c r="Y31" s="18"/>
      <c r="Z31" s="18"/>
      <c r="AA31" s="18"/>
      <c r="AB31" s="18"/>
      <c r="AC31" s="18"/>
      <c r="AD31" s="18"/>
      <c r="AE31" s="18"/>
    </row>
    <row r="32" spans="1:31" ht="16.5" customHeight="1">
      <c r="A32" s="52" t="s">
        <v>56</v>
      </c>
      <c r="B32" s="54">
        <v>150000000</v>
      </c>
      <c r="C32" s="56">
        <f t="shared" si="0"/>
        <v>0.55700824681654304</v>
      </c>
      <c r="D32" s="57">
        <v>120</v>
      </c>
      <c r="E32" s="54">
        <f t="shared" si="1"/>
        <v>1250000</v>
      </c>
      <c r="F32" s="58">
        <v>0.01</v>
      </c>
      <c r="G32" s="54">
        <f t="shared" si="2"/>
        <v>12500</v>
      </c>
      <c r="H32" s="56">
        <v>0.05</v>
      </c>
      <c r="I32" s="54">
        <f t="shared" si="3"/>
        <v>625</v>
      </c>
      <c r="J32" s="11">
        <f t="shared" si="11"/>
        <v>14979.166666666668</v>
      </c>
      <c r="K32" s="54">
        <v>9800</v>
      </c>
      <c r="L32" s="54">
        <f t="shared" si="4"/>
        <v>18375000</v>
      </c>
      <c r="M32" s="54">
        <f t="shared" si="5"/>
        <v>53859166.666666679</v>
      </c>
      <c r="N32" s="54">
        <f t="shared" si="12"/>
        <v>269295833.33333337</v>
      </c>
      <c r="O32" s="54">
        <f t="shared" si="6"/>
        <v>100920833.33333337</v>
      </c>
      <c r="P32" s="59">
        <f t="shared" si="7"/>
        <v>0.59938134125216558</v>
      </c>
      <c r="Q32" s="54">
        <f t="shared" si="8"/>
        <v>13464791.66666667</v>
      </c>
      <c r="R32" s="60">
        <f t="shared" si="9"/>
        <v>33596875.00000003</v>
      </c>
      <c r="S32" s="61">
        <f t="shared" si="10"/>
        <v>0.14254146576450366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ht="16.5" customHeight="1">
      <c r="A33" s="52" t="s">
        <v>57</v>
      </c>
      <c r="B33" s="54">
        <v>150000000</v>
      </c>
      <c r="C33" s="56">
        <f t="shared" si="0"/>
        <v>0.54462111011936276</v>
      </c>
      <c r="D33" s="57">
        <v>120</v>
      </c>
      <c r="E33" s="54">
        <f t="shared" si="1"/>
        <v>1250000</v>
      </c>
      <c r="F33" s="58">
        <v>0.01</v>
      </c>
      <c r="G33" s="54">
        <f t="shared" si="2"/>
        <v>12500</v>
      </c>
      <c r="H33" s="56">
        <v>0.05</v>
      </c>
      <c r="I33" s="54">
        <f t="shared" si="3"/>
        <v>625</v>
      </c>
      <c r="J33" s="11">
        <f t="shared" si="11"/>
        <v>15604.166666666668</v>
      </c>
      <c r="K33" s="54">
        <v>9800</v>
      </c>
      <c r="L33" s="54">
        <f t="shared" si="4"/>
        <v>18375000</v>
      </c>
      <c r="M33" s="54">
        <f t="shared" si="5"/>
        <v>55084166.666666679</v>
      </c>
      <c r="N33" s="54">
        <f t="shared" si="12"/>
        <v>275420833.33333337</v>
      </c>
      <c r="O33" s="54">
        <f t="shared" si="6"/>
        <v>107045833.33333337</v>
      </c>
      <c r="P33" s="59">
        <f t="shared" si="7"/>
        <v>0.63575847562484555</v>
      </c>
      <c r="Q33" s="54">
        <f t="shared" si="8"/>
        <v>13771041.66666667</v>
      </c>
      <c r="R33" s="60">
        <f t="shared" si="9"/>
        <v>38190625.00000003</v>
      </c>
      <c r="S33" s="61">
        <f t="shared" si="10"/>
        <v>0.16098550546454105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ht="16.5" customHeight="1">
      <c r="A34" s="52" t="s">
        <v>58</v>
      </c>
      <c r="B34" s="54">
        <v>150000000</v>
      </c>
      <c r="C34" s="56">
        <f t="shared" si="0"/>
        <v>0.5327729351348951</v>
      </c>
      <c r="D34" s="57">
        <v>120</v>
      </c>
      <c r="E34" s="54">
        <f t="shared" si="1"/>
        <v>1250000</v>
      </c>
      <c r="F34" s="58">
        <v>0.01</v>
      </c>
      <c r="G34" s="54">
        <f t="shared" si="2"/>
        <v>12500</v>
      </c>
      <c r="H34" s="56">
        <v>0.05</v>
      </c>
      <c r="I34" s="54">
        <f t="shared" si="3"/>
        <v>625</v>
      </c>
      <c r="J34" s="11">
        <f t="shared" si="11"/>
        <v>16229.166666666668</v>
      </c>
      <c r="K34" s="54">
        <v>9800</v>
      </c>
      <c r="L34" s="54">
        <f t="shared" si="4"/>
        <v>18375000</v>
      </c>
      <c r="M34" s="54">
        <f t="shared" si="5"/>
        <v>56309166.666666679</v>
      </c>
      <c r="N34" s="54">
        <f t="shared" si="12"/>
        <v>281545833.33333337</v>
      </c>
      <c r="O34" s="54">
        <f t="shared" si="6"/>
        <v>113170833.33333337</v>
      </c>
      <c r="P34" s="59">
        <f t="shared" si="7"/>
        <v>0.67213560999752553</v>
      </c>
      <c r="Q34" s="54">
        <f t="shared" si="8"/>
        <v>14077291.66666667</v>
      </c>
      <c r="R34" s="60">
        <f t="shared" si="9"/>
        <v>42784375.00000003</v>
      </c>
      <c r="S34" s="61">
        <f t="shared" si="10"/>
        <v>0.17919297066894702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ht="16.5" customHeight="1">
      <c r="A35" s="52" t="s">
        <v>59</v>
      </c>
      <c r="B35" s="54">
        <v>150000000</v>
      </c>
      <c r="C35" s="56">
        <f t="shared" si="0"/>
        <v>0.52142929563592644</v>
      </c>
      <c r="D35" s="57">
        <v>120</v>
      </c>
      <c r="E35" s="54">
        <f t="shared" si="1"/>
        <v>1250000</v>
      </c>
      <c r="F35" s="58">
        <v>0.01</v>
      </c>
      <c r="G35" s="54">
        <f t="shared" si="2"/>
        <v>12500</v>
      </c>
      <c r="H35" s="56">
        <v>0.05</v>
      </c>
      <c r="I35" s="54">
        <f t="shared" si="3"/>
        <v>625</v>
      </c>
      <c r="J35" s="11">
        <f t="shared" si="11"/>
        <v>16854.166666666668</v>
      </c>
      <c r="K35" s="54">
        <v>9800</v>
      </c>
      <c r="L35" s="54">
        <f t="shared" si="4"/>
        <v>18375000</v>
      </c>
      <c r="M35" s="54">
        <f t="shared" si="5"/>
        <v>57534166.666666679</v>
      </c>
      <c r="N35" s="54">
        <f t="shared" si="12"/>
        <v>287670833.33333337</v>
      </c>
      <c r="O35" s="54">
        <f t="shared" si="6"/>
        <v>119295833.33333337</v>
      </c>
      <c r="P35" s="59">
        <f t="shared" si="7"/>
        <v>0.70851274437020573</v>
      </c>
      <c r="Q35" s="54">
        <f t="shared" si="8"/>
        <v>14383541.66666667</v>
      </c>
      <c r="R35" s="60">
        <f t="shared" si="9"/>
        <v>47378125.00000003</v>
      </c>
      <c r="S35" s="61">
        <f t="shared" si="10"/>
        <v>0.19716838404550008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ht="16.5" customHeight="1">
      <c r="A36" s="18"/>
      <c r="B36" s="18"/>
      <c r="C36" s="18"/>
      <c r="D36" s="18"/>
      <c r="E36" s="57"/>
      <c r="F36" s="88"/>
      <c r="G36" s="5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6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ht="16.5" customHeight="1">
      <c r="A37" s="18"/>
      <c r="B37" s="18"/>
      <c r="C37" s="18"/>
      <c r="D37" s="18"/>
      <c r="E37" s="57"/>
      <c r="F37" s="88"/>
      <c r="G37" s="5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ht="16.5" customHeight="1">
      <c r="A38" s="18"/>
      <c r="B38" s="18"/>
      <c r="C38" s="18"/>
      <c r="D38" s="18"/>
      <c r="E38" s="57"/>
      <c r="F38" s="88"/>
      <c r="G38" s="5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ht="16.5" customHeight="1">
      <c r="A39" s="18"/>
      <c r="B39" s="18"/>
      <c r="C39" s="18"/>
      <c r="D39" s="18"/>
      <c r="E39" s="57"/>
      <c r="F39" s="89"/>
      <c r="G39" s="5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ht="16.5" customHeight="1">
      <c r="A40" s="18"/>
      <c r="B40" s="18"/>
      <c r="C40" s="18"/>
      <c r="D40" s="18"/>
      <c r="E40" s="57"/>
      <c r="F40" s="88"/>
      <c r="G40" s="5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ht="16.5" customHeight="1">
      <c r="A41" s="18"/>
      <c r="B41" s="18"/>
      <c r="C41" s="18"/>
      <c r="D41" s="18"/>
      <c r="E41" s="57"/>
      <c r="F41" s="88"/>
      <c r="G41" s="5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6.5" customHeight="1">
      <c r="A42" s="18"/>
      <c r="B42" s="18"/>
      <c r="C42" s="18"/>
      <c r="D42" s="18"/>
      <c r="E42" s="57"/>
      <c r="F42" s="88"/>
      <c r="G42" s="5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ht="16.5" customHeight="1">
      <c r="A43" s="18"/>
      <c r="B43" s="18"/>
      <c r="C43" s="18"/>
      <c r="D43" s="18"/>
      <c r="E43" s="57"/>
      <c r="F43" s="88"/>
      <c r="G43" s="5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ht="16.5" customHeight="1">
      <c r="A44" s="18"/>
      <c r="B44" s="18"/>
      <c r="C44" s="18"/>
      <c r="D44" s="18"/>
      <c r="E44" s="57"/>
      <c r="F44" s="88"/>
      <c r="G44" s="5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63"/>
      <c r="U44" s="63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63"/>
      <c r="T45" s="63"/>
      <c r="U45" s="63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phoneticPr fontId="9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46"/>
  <sheetViews>
    <sheetView workbookViewId="0"/>
  </sheetViews>
  <sheetFormatPr defaultColWidth="14.42578125" defaultRowHeight="15.75" customHeight="1"/>
  <cols>
    <col min="5" max="5" width="15.7109375" customWidth="1"/>
  </cols>
  <sheetData>
    <row r="1" spans="1:25">
      <c r="A1" s="93" t="s">
        <v>0</v>
      </c>
      <c r="B1" s="93" t="s">
        <v>2</v>
      </c>
      <c r="C1" s="93" t="s">
        <v>3</v>
      </c>
      <c r="D1" s="93" t="s">
        <v>9</v>
      </c>
      <c r="E1" s="94" t="s">
        <v>4</v>
      </c>
      <c r="F1" s="95" t="s">
        <v>5</v>
      </c>
      <c r="G1" s="95" t="s">
        <v>6</v>
      </c>
      <c r="H1" s="93" t="s">
        <v>63</v>
      </c>
      <c r="I1" s="93" t="s">
        <v>12</v>
      </c>
      <c r="K1" s="95" t="s">
        <v>64</v>
      </c>
    </row>
    <row r="2" spans="1:25">
      <c r="A2" s="96" t="str">
        <f>TEXT(1000000, "#,##0" )</f>
        <v>1,000,000</v>
      </c>
      <c r="B2" s="96">
        <v>50</v>
      </c>
      <c r="C2" s="97" t="str">
        <f t="shared" ref="C2:C12" si="0">TEXT( SUM(A2/B2), "#,##0" )</f>
        <v>20,000</v>
      </c>
      <c r="D2" s="96" t="str">
        <f t="shared" ref="D2:D12" si="1">TEXT(7500, "#,##0" )</f>
        <v>7,500</v>
      </c>
      <c r="E2" s="98">
        <v>0.01</v>
      </c>
      <c r="F2" s="97" t="str">
        <f t="shared" ref="F2:F12" si="2">TEXT( SUM(C2*E2), "#,##0" )</f>
        <v>200</v>
      </c>
      <c r="G2" s="99">
        <v>0.2</v>
      </c>
      <c r="H2" s="97" t="str">
        <f>TEXT( SUM(F2*G2), "#,##0" )</f>
        <v>40</v>
      </c>
      <c r="I2" s="97" t="str">
        <f>TEXT( SUM(F2*D2), "#,##0" )</f>
        <v>1,500,000</v>
      </c>
      <c r="J2" s="100"/>
      <c r="K2" s="97" t="str">
        <f>TEXT( SUM(I2+I3+I4+I5+I6+I7+I8+I9+I10+I11+I12+I13), "#,##0" )</f>
        <v>2,037,000,000</v>
      </c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>
      <c r="A3" s="96" t="str">
        <f>TEXT(3000000, "#,##0" )</f>
        <v>3,000,000</v>
      </c>
      <c r="B3" s="96">
        <v>50</v>
      </c>
      <c r="C3" s="97" t="str">
        <f t="shared" si="0"/>
        <v>60,000</v>
      </c>
      <c r="D3" s="96" t="str">
        <f t="shared" si="1"/>
        <v>7,500</v>
      </c>
      <c r="E3" s="98">
        <v>2.5000000000000001E-2</v>
      </c>
      <c r="F3" s="97" t="str">
        <f t="shared" si="2"/>
        <v>1,500</v>
      </c>
      <c r="G3" s="99">
        <v>0.2</v>
      </c>
      <c r="H3" s="97" t="str">
        <f t="shared" ref="H3:H12" si="3">TEXT( SUM((F3*G3)+(H2)), "#,##0" )</f>
        <v>340</v>
      </c>
      <c r="I3" s="97" t="str">
        <f t="shared" ref="I3:I12" si="4">TEXT( SUM((F3*D3)+(H3*D3)), "#,##0" )</f>
        <v>13,800,000</v>
      </c>
    </row>
    <row r="4" spans="1:25">
      <c r="A4" s="96" t="str">
        <f>TEXT(5000000, "#,##0" )</f>
        <v>5,000,000</v>
      </c>
      <c r="B4" s="96">
        <v>50</v>
      </c>
      <c r="C4" s="97" t="str">
        <f t="shared" si="0"/>
        <v>100,000</v>
      </c>
      <c r="D4" s="96" t="str">
        <f t="shared" si="1"/>
        <v>7,500</v>
      </c>
      <c r="E4" s="98">
        <v>2.5000000000000001E-2</v>
      </c>
      <c r="F4" s="97" t="str">
        <f t="shared" si="2"/>
        <v>2,500</v>
      </c>
      <c r="G4" s="99">
        <v>0.2</v>
      </c>
      <c r="H4" s="97" t="str">
        <f t="shared" si="3"/>
        <v>840</v>
      </c>
      <c r="I4" s="97" t="str">
        <f t="shared" si="4"/>
        <v>25,050,000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spans="1:25">
      <c r="A5" s="96" t="str">
        <f>TEXT(15000000, "#,##0" )</f>
        <v>15,000,000</v>
      </c>
      <c r="B5" s="96">
        <v>50</v>
      </c>
      <c r="C5" s="97" t="str">
        <f t="shared" si="0"/>
        <v>300,000</v>
      </c>
      <c r="D5" s="96" t="str">
        <f t="shared" si="1"/>
        <v>7,500</v>
      </c>
      <c r="E5" s="98">
        <v>2.5000000000000001E-2</v>
      </c>
      <c r="F5" s="97" t="str">
        <f t="shared" si="2"/>
        <v>7,500</v>
      </c>
      <c r="G5" s="99">
        <v>0.2</v>
      </c>
      <c r="H5" s="97" t="str">
        <f t="shared" si="3"/>
        <v>2,340</v>
      </c>
      <c r="I5" s="97" t="str">
        <f t="shared" si="4"/>
        <v>73,800,000</v>
      </c>
    </row>
    <row r="6" spans="1:25">
      <c r="A6" s="96" t="str">
        <f>TEXT(30000000, "#,##0" )</f>
        <v>30,000,000</v>
      </c>
      <c r="B6" s="96">
        <v>50</v>
      </c>
      <c r="C6" s="97" t="str">
        <f t="shared" si="0"/>
        <v>600,000</v>
      </c>
      <c r="D6" s="96" t="str">
        <f t="shared" si="1"/>
        <v>7,500</v>
      </c>
      <c r="E6" s="98">
        <v>2.5000000000000001E-2</v>
      </c>
      <c r="F6" s="97" t="str">
        <f t="shared" si="2"/>
        <v>15,000</v>
      </c>
      <c r="G6" s="99">
        <v>0.2</v>
      </c>
      <c r="H6" s="97" t="str">
        <f t="shared" si="3"/>
        <v>5,340</v>
      </c>
      <c r="I6" s="97" t="str">
        <f t="shared" si="4"/>
        <v>152,550,000</v>
      </c>
    </row>
    <row r="7" spans="1:25">
      <c r="A7" s="96" t="str">
        <f t="shared" ref="A7:A12" si="5">TEXT(40000000, "#,##0" )</f>
        <v>40,000,000</v>
      </c>
      <c r="B7" s="96">
        <v>50</v>
      </c>
      <c r="C7" s="97" t="str">
        <f t="shared" si="0"/>
        <v>800,000</v>
      </c>
      <c r="D7" s="96" t="str">
        <f t="shared" si="1"/>
        <v>7,500</v>
      </c>
      <c r="E7" s="98">
        <v>2.5000000000000001E-2</v>
      </c>
      <c r="F7" s="97" t="str">
        <f t="shared" si="2"/>
        <v>20,000</v>
      </c>
      <c r="G7" s="99">
        <v>0.2</v>
      </c>
      <c r="H7" s="97" t="str">
        <f t="shared" si="3"/>
        <v>9,340</v>
      </c>
      <c r="I7" s="97" t="str">
        <f t="shared" si="4"/>
        <v>220,050,000</v>
      </c>
    </row>
    <row r="8" spans="1:25">
      <c r="A8" s="96" t="str">
        <f t="shared" si="5"/>
        <v>40,000,000</v>
      </c>
      <c r="B8" s="96">
        <v>50</v>
      </c>
      <c r="C8" s="97" t="str">
        <f t="shared" si="0"/>
        <v>800,000</v>
      </c>
      <c r="D8" s="96" t="str">
        <f t="shared" si="1"/>
        <v>7,500</v>
      </c>
      <c r="E8" s="98">
        <v>2.5000000000000001E-2</v>
      </c>
      <c r="F8" s="97" t="str">
        <f t="shared" si="2"/>
        <v>20,000</v>
      </c>
      <c r="G8" s="99">
        <v>0.2</v>
      </c>
      <c r="H8" s="97" t="str">
        <f t="shared" si="3"/>
        <v>13,340</v>
      </c>
      <c r="I8" s="97" t="str">
        <f t="shared" si="4"/>
        <v>250,050,000</v>
      </c>
    </row>
    <row r="9" spans="1:25">
      <c r="A9" s="96" t="str">
        <f t="shared" si="5"/>
        <v>40,000,000</v>
      </c>
      <c r="B9" s="96">
        <v>50</v>
      </c>
      <c r="C9" s="97" t="str">
        <f t="shared" si="0"/>
        <v>800,000</v>
      </c>
      <c r="D9" s="96" t="str">
        <f t="shared" si="1"/>
        <v>7,500</v>
      </c>
      <c r="E9" s="98">
        <v>2.5000000000000001E-2</v>
      </c>
      <c r="F9" s="97" t="str">
        <f t="shared" si="2"/>
        <v>20,000</v>
      </c>
      <c r="G9" s="99">
        <v>0.2</v>
      </c>
      <c r="H9" s="97" t="str">
        <f t="shared" si="3"/>
        <v>17,340</v>
      </c>
      <c r="I9" s="97" t="str">
        <f t="shared" si="4"/>
        <v>280,050,000</v>
      </c>
    </row>
    <row r="10" spans="1:25">
      <c r="A10" s="96" t="str">
        <f t="shared" si="5"/>
        <v>40,000,000</v>
      </c>
      <c r="B10" s="96">
        <v>50</v>
      </c>
      <c r="C10" s="97" t="str">
        <f t="shared" si="0"/>
        <v>800,000</v>
      </c>
      <c r="D10" s="96" t="str">
        <f t="shared" si="1"/>
        <v>7,500</v>
      </c>
      <c r="E10" s="98">
        <v>2.5000000000000001E-2</v>
      </c>
      <c r="F10" s="97" t="str">
        <f t="shared" si="2"/>
        <v>20,000</v>
      </c>
      <c r="G10" s="99">
        <v>0.2</v>
      </c>
      <c r="H10" s="97" t="str">
        <f t="shared" si="3"/>
        <v>21,340</v>
      </c>
      <c r="I10" s="97" t="str">
        <f t="shared" si="4"/>
        <v>310,050,000</v>
      </c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 spans="1:25">
      <c r="A11" s="96" t="str">
        <f t="shared" si="5"/>
        <v>40,000,000</v>
      </c>
      <c r="B11" s="96">
        <v>50</v>
      </c>
      <c r="C11" s="97" t="str">
        <f t="shared" si="0"/>
        <v>800,000</v>
      </c>
      <c r="D11" s="96" t="str">
        <f t="shared" si="1"/>
        <v>7,500</v>
      </c>
      <c r="E11" s="98">
        <v>2.5000000000000001E-2</v>
      </c>
      <c r="F11" s="97" t="str">
        <f t="shared" si="2"/>
        <v>20,000</v>
      </c>
      <c r="G11" s="99">
        <v>0.2</v>
      </c>
      <c r="H11" s="97" t="str">
        <f t="shared" si="3"/>
        <v>25,340</v>
      </c>
      <c r="I11" s="97" t="str">
        <f t="shared" si="4"/>
        <v>340,050,000</v>
      </c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>
      <c r="A12" s="96" t="str">
        <f t="shared" si="5"/>
        <v>40,000,000</v>
      </c>
      <c r="B12" s="96">
        <v>50</v>
      </c>
      <c r="C12" s="97" t="str">
        <f t="shared" si="0"/>
        <v>800,000</v>
      </c>
      <c r="D12" s="96" t="str">
        <f t="shared" si="1"/>
        <v>7,500</v>
      </c>
      <c r="E12" s="98">
        <v>2.5000000000000001E-2</v>
      </c>
      <c r="F12" s="97" t="str">
        <f t="shared" si="2"/>
        <v>20,000</v>
      </c>
      <c r="G12" s="99">
        <v>0.2</v>
      </c>
      <c r="H12" s="97" t="str">
        <f t="shared" si="3"/>
        <v>29,340</v>
      </c>
      <c r="I12" s="97" t="str">
        <f t="shared" si="4"/>
        <v>370,050,000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8" spans="6:18">
      <c r="F18" s="102"/>
      <c r="G18" s="93" t="s">
        <v>61</v>
      </c>
      <c r="H18" s="93" t="s">
        <v>62</v>
      </c>
      <c r="I18" s="93" t="s">
        <v>65</v>
      </c>
      <c r="J18" s="93" t="s">
        <v>66</v>
      </c>
      <c r="K18" s="93" t="s">
        <v>67</v>
      </c>
      <c r="L18" s="93" t="s">
        <v>68</v>
      </c>
      <c r="M18" s="93" t="s">
        <v>69</v>
      </c>
      <c r="N18" s="93" t="s">
        <v>70</v>
      </c>
      <c r="O18" s="93" t="s">
        <v>71</v>
      </c>
      <c r="P18" s="93" t="s">
        <v>72</v>
      </c>
      <c r="Q18" s="93" t="s">
        <v>73</v>
      </c>
      <c r="R18" s="93" t="s">
        <v>74</v>
      </c>
    </row>
    <row r="19" spans="6:18">
      <c r="F19" s="93" t="s">
        <v>12</v>
      </c>
      <c r="G19" s="96">
        <v>1500000</v>
      </c>
      <c r="H19" s="93">
        <v>13800000</v>
      </c>
      <c r="I19" s="93">
        <v>25050000</v>
      </c>
      <c r="J19" s="93">
        <v>1380000</v>
      </c>
      <c r="K19" s="93">
        <v>13800000</v>
      </c>
      <c r="L19" s="93">
        <v>13800000</v>
      </c>
      <c r="M19" s="93">
        <v>13800000</v>
      </c>
      <c r="N19" s="93">
        <v>13800000</v>
      </c>
      <c r="O19" s="93">
        <v>13800000</v>
      </c>
      <c r="P19" s="93">
        <v>13800000</v>
      </c>
      <c r="Q19" s="93">
        <v>13800000</v>
      </c>
      <c r="R19" s="93">
        <v>13800000</v>
      </c>
    </row>
    <row r="20" spans="6:18">
      <c r="F20" s="93" t="s">
        <v>60</v>
      </c>
      <c r="G20" s="93">
        <v>14</v>
      </c>
      <c r="H20" s="93">
        <v>30</v>
      </c>
      <c r="I20" s="93">
        <v>308</v>
      </c>
      <c r="J20" s="93">
        <v>30</v>
      </c>
      <c r="K20" s="93">
        <v>30</v>
      </c>
      <c r="L20" s="93">
        <v>30</v>
      </c>
      <c r="M20" s="93">
        <v>100</v>
      </c>
      <c r="N20" s="93">
        <v>30</v>
      </c>
      <c r="O20" s="93">
        <v>303434</v>
      </c>
      <c r="P20" s="93">
        <v>3043434</v>
      </c>
      <c r="Q20" s="93">
        <v>301434</v>
      </c>
      <c r="R20" s="93">
        <v>300</v>
      </c>
    </row>
    <row r="44" spans="13:15">
      <c r="M44" s="95" t="s">
        <v>49</v>
      </c>
      <c r="N44" s="95" t="s">
        <v>50</v>
      </c>
      <c r="O44" s="95" t="s">
        <v>60</v>
      </c>
    </row>
    <row r="45" spans="13:15">
      <c r="M45" s="95" t="s">
        <v>61</v>
      </c>
      <c r="N45" s="95">
        <v>100</v>
      </c>
      <c r="O45" s="95">
        <v>10</v>
      </c>
    </row>
    <row r="46" spans="13:15">
      <c r="M46" s="95" t="s">
        <v>62</v>
      </c>
      <c r="N46" s="95">
        <v>200</v>
      </c>
      <c r="O46" s="95">
        <v>20</v>
      </c>
    </row>
  </sheetData>
  <phoneticPr fontId="9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メイン</vt:lpstr>
      <vt:lpstr>ver.4月8日</vt:lpstr>
      <vt:lpstr>Ver新井</vt:lpstr>
      <vt:lpstr>テスト</vt:lpstr>
      <vt:lpstr>原本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arai</cp:lastModifiedBy>
  <dcterms:modified xsi:type="dcterms:W3CDTF">2020-04-08T09:53:22Z</dcterms:modified>
</cp:coreProperties>
</file>