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メイン" sheetId="1" r:id="rId4"/>
    <sheet state="visible" name="ver.4月8日" sheetId="2" r:id="rId5"/>
    <sheet state="visible" name="テスト" sheetId="3" r:id="rId6"/>
    <sheet state="visible" name="原本" sheetId="4" r:id="rId7"/>
  </sheets>
  <definedNames/>
  <calcPr/>
</workbook>
</file>

<file path=xl/sharedStrings.xml><?xml version="1.0" encoding="utf-8"?>
<sst xmlns="http://schemas.openxmlformats.org/spreadsheetml/2006/main" count="193" uniqueCount="75">
  <si>
    <t>広告費</t>
  </si>
  <si>
    <t>広告比率</t>
  </si>
  <si>
    <t>クリック単価</t>
  </si>
  <si>
    <t>クリック数</t>
  </si>
  <si>
    <t>コンバージョン率</t>
  </si>
  <si>
    <t>販売数</t>
  </si>
  <si>
    <t>リピート率</t>
  </si>
  <si>
    <t>新規リピート数</t>
  </si>
  <si>
    <t>総リピート数</t>
  </si>
  <si>
    <t>値段</t>
  </si>
  <si>
    <t>商品原価</t>
  </si>
  <si>
    <t>人件費</t>
  </si>
  <si>
    <t>売上</t>
  </si>
  <si>
    <t>売上総利益(粗利)</t>
  </si>
  <si>
    <t>売上総利益率(粗利)</t>
  </si>
  <si>
    <t>GACKTさん報酬</t>
  </si>
  <si>
    <t>営業利益</t>
  </si>
  <si>
    <t>営業利益率</t>
  </si>
  <si>
    <t>初月</t>
  </si>
  <si>
    <t>2ヶ月目</t>
  </si>
  <si>
    <t>3ヶ月目</t>
  </si>
  <si>
    <t>4ヶ月目</t>
  </si>
  <si>
    <t>5ヶ月目</t>
  </si>
  <si>
    <t>6ヶ月目</t>
  </si>
  <si>
    <t>外注費</t>
  </si>
  <si>
    <t>販管費</t>
  </si>
  <si>
    <t>GACKTさん報酬(売上5%</t>
  </si>
  <si>
    <t>GACKTさん報酬(利益率25%</t>
  </si>
  <si>
    <t>7ヶ月目</t>
  </si>
  <si>
    <t>8ヶ月目</t>
  </si>
  <si>
    <t>9ヶ月目</t>
  </si>
  <si>
    <t>10ヶ月目</t>
  </si>
  <si>
    <t>11ヶ月目</t>
  </si>
  <si>
    <t>12ヶ月目</t>
  </si>
  <si>
    <t>13ヶ月目</t>
  </si>
  <si>
    <t>14ヶ月目</t>
  </si>
  <si>
    <t>15ヶ月目</t>
  </si>
  <si>
    <t>16ヶ月目</t>
  </si>
  <si>
    <t>17ヶ月目</t>
  </si>
  <si>
    <t>18ヶ月目</t>
  </si>
  <si>
    <t>19ヶ月目</t>
  </si>
  <si>
    <t>20ヶ月目</t>
  </si>
  <si>
    <t>21ヶ月目</t>
  </si>
  <si>
    <t>22ヶ月目</t>
  </si>
  <si>
    <t>合計</t>
  </si>
  <si>
    <t>23ヶ月目</t>
  </si>
  <si>
    <t>24ヶ月目</t>
  </si>
  <si>
    <t>KPI</t>
  </si>
  <si>
    <t>25ヶ月目</t>
  </si>
  <si>
    <t>毎月</t>
  </si>
  <si>
    <t>売上高</t>
  </si>
  <si>
    <t>26ヶ月目</t>
  </si>
  <si>
    <t>27ヶ月目</t>
  </si>
  <si>
    <t>28ヶ月目</t>
  </si>
  <si>
    <t>29ヶ月目</t>
  </si>
  <si>
    <t>30ヶ月目</t>
  </si>
  <si>
    <t>31ヶ月目</t>
  </si>
  <si>
    <t>32ヶ月目</t>
  </si>
  <si>
    <t>33ヶ月目</t>
  </si>
  <si>
    <t>34ヶ月目</t>
  </si>
  <si>
    <t>利益率</t>
  </si>
  <si>
    <t>1月</t>
  </si>
  <si>
    <t>2月</t>
  </si>
  <si>
    <t>リピート数</t>
  </si>
  <si>
    <t>年売上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</si>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</sst>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(#,##0)"/>
    <numFmt numFmtId="165" formatCode="0.0%"/>
    <numFmt numFmtId="166" formatCode="#,##0[$円]"/>
  </numFmts>
  <fonts count="9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b/>
      <sz val="12.0"/>
      <color rgb="FFFFFFFF"/>
      <name val="Helvetica"/>
    </font>
    <font>
      <sz val="12.0"/>
      <color rgb="FF775454"/>
      <name val="Helvetica"/>
    </font>
    <font>
      <sz val="12.0"/>
      <color rgb="FFFA5882"/>
      <name val="Helvetica"/>
    </font>
    <font>
      <sz val="12.0"/>
      <color rgb="FF434343"/>
      <name val="Arial"/>
    </font>
    <font>
      <sz val="12.0"/>
      <color rgb="FF434343"/>
    </font>
    <font>
      <color rgb="FF000000"/>
      <name val="Helvetic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</fills>
  <borders count="2">
    <border/>
    <border>
      <left style="medium">
        <color rgb="FF5B95F9"/>
      </left>
      <right style="medium">
        <color rgb="FF5B95F9"/>
      </right>
      <top style="medium">
        <color rgb="FF5B95F9"/>
      </top>
      <bottom style="medium">
        <color rgb="FF5B95F9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vertical="bottom"/>
    </xf>
    <xf borderId="0" fillId="2" fontId="1" numFmtId="4" xfId="0" applyAlignment="1" applyFont="1" applyNumberFormat="1">
      <alignment readingOrder="0"/>
    </xf>
    <xf borderId="0" fillId="2" fontId="1" numFmtId="0" xfId="0" applyFont="1"/>
    <xf borderId="0" fillId="2" fontId="1" numFmtId="0" xfId="0" applyAlignment="1" applyFont="1">
      <alignment horizontal="right" readingOrder="0"/>
    </xf>
    <xf borderId="0" fillId="2" fontId="1" numFmtId="164" xfId="0" applyAlignment="1" applyFont="1" applyNumberFormat="1">
      <alignment horizontal="right" readingOrder="0"/>
    </xf>
    <xf borderId="0" fillId="2" fontId="1" numFmtId="9" xfId="0" applyAlignment="1" applyFont="1" applyNumberFormat="1">
      <alignment horizontal="right"/>
    </xf>
    <xf borderId="0" fillId="2" fontId="1" numFmtId="164" xfId="0" applyAlignment="1" applyFont="1" applyNumberFormat="1">
      <alignment horizontal="right"/>
    </xf>
    <xf borderId="0" fillId="2" fontId="1" numFmtId="165" xfId="0" applyAlignment="1" applyFont="1" applyNumberFormat="1">
      <alignment horizontal="right" readingOrder="0" vertical="bottom"/>
    </xf>
    <xf borderId="0" fillId="2" fontId="1" numFmtId="9" xfId="0" applyAlignment="1" applyFont="1" applyNumberFormat="1">
      <alignment horizontal="right" readingOrder="0"/>
    </xf>
    <xf borderId="0" fillId="2" fontId="2" numFmtId="3" xfId="0" applyFont="1" applyNumberFormat="1"/>
    <xf borderId="0" fillId="2" fontId="2" numFmtId="10" xfId="0" applyFont="1" applyNumberFormat="1"/>
    <xf borderId="0" fillId="2" fontId="2" numFmtId="164" xfId="0" applyFont="1" applyNumberFormat="1"/>
    <xf borderId="0" fillId="2" fontId="2" numFmtId="9" xfId="0" applyFont="1" applyNumberFormat="1"/>
    <xf borderId="0" fillId="2" fontId="1" numFmtId="0" xfId="0" applyAlignment="1" applyFont="1">
      <alignment horizontal="right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4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6" numFmtId="0" xfId="0" applyFont="1"/>
    <xf borderId="0" fillId="2" fontId="6" numFmtId="0" xfId="0" applyFont="1"/>
    <xf borderId="0" fillId="0" fontId="6" numFmtId="0" xfId="0" applyAlignment="1" applyFont="1">
      <alignment horizontal="right" readingOrder="0"/>
    </xf>
    <xf borderId="0" fillId="0" fontId="6" numFmtId="164" xfId="0" applyAlignment="1" applyFont="1" applyNumberFormat="1">
      <alignment horizontal="right" readingOrder="0"/>
    </xf>
    <xf borderId="0" fillId="0" fontId="6" numFmtId="9" xfId="0" applyAlignment="1" applyFont="1" applyNumberFormat="1">
      <alignment horizontal="right"/>
    </xf>
    <xf borderId="0" fillId="0" fontId="6" numFmtId="164" xfId="0" applyAlignment="1" applyFont="1" applyNumberFormat="1">
      <alignment horizontal="right"/>
    </xf>
    <xf borderId="0" fillId="0" fontId="6" numFmtId="165" xfId="0" applyAlignment="1" applyFont="1" applyNumberFormat="1">
      <alignment horizontal="right" readingOrder="0" vertical="bottom"/>
    </xf>
    <xf borderId="0" fillId="0" fontId="6" numFmtId="165" xfId="0" applyAlignment="1" applyFont="1" applyNumberFormat="1">
      <alignment horizontal="right" readingOrder="0"/>
    </xf>
    <xf borderId="0" fillId="0" fontId="6" numFmtId="3" xfId="0" applyAlignment="1" applyFont="1" applyNumberFormat="1">
      <alignment horizontal="right"/>
    </xf>
    <xf borderId="0" fillId="0" fontId="7" numFmtId="164" xfId="0" applyAlignment="1" applyFont="1" applyNumberFormat="1">
      <alignment horizontal="right"/>
    </xf>
    <xf borderId="0" fillId="0" fontId="6" numFmtId="10" xfId="0" applyAlignment="1" applyFont="1" applyNumberFormat="1">
      <alignment horizontal="right"/>
    </xf>
    <xf borderId="0" fillId="0" fontId="6" numFmtId="164" xfId="0" applyAlignment="1" applyFont="1" applyNumberFormat="1">
      <alignment horizontal="right"/>
    </xf>
    <xf borderId="0" fillId="0" fontId="6" numFmtId="165" xfId="0" applyAlignment="1" applyFont="1" applyNumberFormat="1">
      <alignment horizontal="right"/>
    </xf>
    <xf borderId="0" fillId="0" fontId="6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2" fontId="6" numFmtId="0" xfId="0" applyAlignment="1" applyFont="1">
      <alignment horizontal="right"/>
    </xf>
    <xf borderId="0" fillId="0" fontId="2" numFmtId="164" xfId="0" applyFont="1" applyNumberFormat="1"/>
    <xf borderId="0" fillId="2" fontId="6" numFmtId="0" xfId="0" applyAlignment="1" applyFont="1">
      <alignment horizontal="right" readingOrder="0" vertical="bottom"/>
    </xf>
    <xf borderId="0" fillId="2" fontId="6" numFmtId="0" xfId="0" applyAlignment="1" applyFont="1">
      <alignment horizontal="right" readingOrder="0" vertical="bottom"/>
    </xf>
    <xf borderId="0" fillId="2" fontId="6" numFmtId="0" xfId="0" applyAlignment="1" applyFont="1">
      <alignment horizontal="right" readingOrder="0" vertical="bottom"/>
    </xf>
    <xf borderId="0" fillId="2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horizontal="right" vertical="bottom"/>
    </xf>
    <xf borderId="0" fillId="2" fontId="6" numFmtId="0" xfId="0" applyAlignment="1" applyFont="1">
      <alignment horizontal="right" shrinkToFit="0" vertical="bottom" wrapText="1"/>
    </xf>
    <xf borderId="0" fillId="0" fontId="7" numFmtId="165" xfId="0" applyAlignment="1" applyFont="1" applyNumberFormat="1">
      <alignment horizontal="right" readingOrder="0" vertical="bottom"/>
    </xf>
    <xf borderId="0" fillId="2" fontId="6" numFmtId="0" xfId="0" applyAlignment="1" applyFont="1">
      <alignment horizontal="right" readingOrder="0" shrinkToFit="0" vertical="bottom" wrapText="1"/>
    </xf>
    <xf borderId="0" fillId="2" fontId="1" numFmtId="0" xfId="0" applyAlignment="1" applyFont="1">
      <alignment horizontal="right" readingOrder="0" vertical="bottom"/>
    </xf>
    <xf borderId="0" fillId="2" fontId="6" numFmtId="0" xfId="0" applyAlignment="1" applyFont="1">
      <alignment horizontal="right" readingOrder="0" shrinkToFit="0" vertical="bottom" wrapText="1"/>
    </xf>
    <xf borderId="0" fillId="2" fontId="1" numFmtId="164" xfId="0" applyAlignment="1" applyFont="1" applyNumberFormat="1">
      <alignment horizontal="right" vertical="bottom"/>
    </xf>
    <xf borderId="0" fillId="2" fontId="6" numFmtId="0" xfId="0" applyAlignment="1" applyFont="1">
      <alignment horizontal="right" readingOrder="0" shrinkToFit="0" vertical="bottom" wrapText="1"/>
    </xf>
    <xf borderId="0" fillId="2" fontId="1" numFmtId="9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2" fontId="1" numFmtId="165" xfId="0" applyAlignment="1" applyFont="1" applyNumberFormat="1">
      <alignment horizontal="right" vertical="bottom"/>
    </xf>
    <xf borderId="0" fillId="2" fontId="2" numFmtId="10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2" fontId="2" numFmtId="9" xfId="0" applyAlignment="1" applyFont="1" applyNumberFormat="1">
      <alignment horizontal="right" vertical="bottom"/>
    </xf>
    <xf borderId="0" fillId="2" fontId="5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3" fontId="6" numFmtId="0" xfId="0" applyAlignment="1" applyFill="1" applyFont="1">
      <alignment horizontal="right" readingOrder="0"/>
    </xf>
    <xf borderId="1" fillId="0" fontId="6" numFmtId="164" xfId="0" applyAlignment="1" applyBorder="1" applyFont="1" applyNumberFormat="1">
      <alignment horizontal="right" readingOrder="0"/>
    </xf>
    <xf borderId="0" fillId="2" fontId="6" numFmtId="0" xfId="0" applyAlignment="1" applyFont="1">
      <alignment horizontal="right" readingOrder="0"/>
    </xf>
    <xf borderId="0" fillId="2" fontId="6" numFmtId="0" xfId="0" applyAlignment="1" applyFont="1">
      <alignment horizontal="right" readingOrder="0" vertical="bottom"/>
    </xf>
    <xf borderId="0" fillId="2" fontId="6" numFmtId="164" xfId="0" applyFont="1" applyNumberFormat="1"/>
    <xf borderId="0" fillId="3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2" fontId="6" numFmtId="9" xfId="0" applyAlignment="1" applyFont="1" applyNumberFormat="1">
      <alignment vertical="bottom"/>
    </xf>
    <xf borderId="0" fillId="2" fontId="6" numFmtId="0" xfId="0" applyAlignment="1" applyFon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2" fontId="6" numFmtId="9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 readingOrder="0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horizontal="right"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6" numFmtId="166" xfId="0" applyAlignment="1" applyFont="1" applyNumberFormat="1">
      <alignment horizontal="right" vertical="bottom"/>
    </xf>
    <xf borderId="0" fillId="4" fontId="6" numFmtId="0" xfId="0" applyAlignment="1" applyFont="1">
      <alignment horizontal="right" vertical="bottom"/>
    </xf>
    <xf borderId="0" fillId="0" fontId="6" numFmtId="166" xfId="0" applyAlignment="1" applyFont="1" applyNumberFormat="1">
      <alignment horizontal="right" readingOrder="0" vertical="bottom"/>
    </xf>
    <xf borderId="0" fillId="2" fontId="6" numFmtId="165" xfId="0" applyAlignment="1" applyFont="1" applyNumberFormat="1">
      <alignment horizontal="right" vertical="bottom"/>
    </xf>
    <xf borderId="0" fillId="2" fontId="1" numFmtId="166" xfId="0" applyAlignment="1" applyFont="1" applyNumberFormat="1">
      <alignment horizontal="right" vertical="bottom"/>
    </xf>
    <xf borderId="0" fillId="2" fontId="8" numFmtId="166" xfId="0" applyAlignment="1" applyFont="1" applyNumberFormat="1">
      <alignment horizontal="right" vertical="bottom"/>
    </xf>
    <xf borderId="0" fillId="0" fontId="6" numFmtId="164" xfId="0" applyFont="1" applyNumberFormat="1"/>
    <xf borderId="0" fillId="0" fontId="6" numFmtId="10" xfId="0" applyFont="1" applyNumberFormat="1"/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ACC9FE"/>
          <bgColor rgb="FFACC9FE"/>
        </patternFill>
      </fill>
      <border/>
    </dxf>
  </dxfs>
  <tableStyles count="7">
    <tableStyle count="3" pivot="0" name="メイン-style">
      <tableStyleElement dxfId="1" type="headerRow"/>
      <tableStyleElement dxfId="2" type="firstRowStripe"/>
      <tableStyleElement dxfId="3" type="secondRowStripe"/>
    </tableStyle>
    <tableStyle count="3" pivot="0" name="メイン-style 2">
      <tableStyleElement dxfId="1" type="headerRow"/>
      <tableStyleElement dxfId="2" type="firstRowStripe"/>
      <tableStyleElement dxfId="3" type="secondRowStripe"/>
    </tableStyle>
    <tableStyle count="3" pivot="0" name="ver.4月8日-style">
      <tableStyleElement dxfId="1" type="headerRow"/>
      <tableStyleElement dxfId="2" type="firstRowStripe"/>
      <tableStyleElement dxfId="3" type="secondRowStripe"/>
    </tableStyle>
    <tableStyle count="3" pivot="0" name="ver.4月8日-style 2">
      <tableStyleElement dxfId="1" type="headerRow"/>
      <tableStyleElement dxfId="2" type="firstRowStripe"/>
      <tableStyleElement dxfId="3" type="secondRowStripe"/>
    </tableStyle>
    <tableStyle count="3" pivot="0" name="原本-style">
      <tableStyleElement dxfId="1" type="headerRow"/>
      <tableStyleElement dxfId="2" type="firstRowStripe"/>
      <tableStyleElement dxfId="3" type="secondRowStripe"/>
    </tableStyle>
    <tableStyle count="3" pivot="0" name="原本-style 2">
      <tableStyleElement dxfId="1" type="headerRow"/>
      <tableStyleElement dxfId="2" type="firstRowStripe"/>
      <tableStyleElement dxfId="3" type="secondRowStripe"/>
    </tableStyle>
    <tableStyle count="4" pivot="0" name="テスト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18:AA20" display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メイン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X15" displayName="Table_2" id="2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メイン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G18:AA20" displayName="Table_3" id="3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ver.4月8日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X15" displayName="Table_4" id="4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ver.4月8日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AE1000" displayName="Table_7" id="7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テスト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F18:R20" displayName="Table_5" id="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原本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I12" displayName="Table_6" id="6">
  <tableColumns count="9">
    <tableColumn name="広告費" id="1"/>
    <tableColumn name="クリック単価" id="2"/>
    <tableColumn name="クリック数" id="3"/>
    <tableColumn name="値段" id="4"/>
    <tableColumn name="コンバージョン率" id="5"/>
    <tableColumn name="販売数" id="6"/>
    <tableColumn name="リピート率" id="7"/>
    <tableColumn name="リピート数" id="8"/>
    <tableColumn name="売上" id="9"/>
  </tableColumns>
  <tableStyleInfo name="原本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  <col customWidth="1" min="4" max="4" width="15.43"/>
    <col customWidth="1" min="6" max="6" width="19.57"/>
    <col customWidth="1" min="8" max="8" width="17.29"/>
    <col customWidth="1" min="16" max="16" width="17.14"/>
    <col customWidth="1" min="17" max="17" width="19.29"/>
    <col customWidth="1" min="18" max="18" width="21.43"/>
    <col customWidth="1" min="21" max="21" width="27.43"/>
    <col customWidth="1" min="22" max="22" width="31.57"/>
    <col customWidth="1" min="23" max="23" width="15.86"/>
    <col customWidth="1" min="27" max="27" width="21.71"/>
  </cols>
  <sheetData>
    <row r="1" ht="20.25" customHeight="1">
      <c r="A1" s="20"/>
      <c r="B1" s="20" t="s">
        <v>0</v>
      </c>
      <c r="C1" s="20" t="s">
        <v>1</v>
      </c>
      <c r="D1" s="20" t="s">
        <v>2</v>
      </c>
      <c r="E1" s="20" t="s">
        <v>3</v>
      </c>
      <c r="F1" s="21" t="s">
        <v>4</v>
      </c>
      <c r="G1" s="22" t="s">
        <v>6</v>
      </c>
      <c r="H1" s="23" t="s">
        <v>7</v>
      </c>
      <c r="I1" s="23" t="s">
        <v>8</v>
      </c>
      <c r="J1" s="22" t="s">
        <v>5</v>
      </c>
      <c r="K1" s="20" t="s">
        <v>9</v>
      </c>
      <c r="L1" s="23" t="s">
        <v>10</v>
      </c>
      <c r="M1" s="20" t="s">
        <v>11</v>
      </c>
      <c r="N1" s="24" t="s">
        <v>24</v>
      </c>
      <c r="O1" s="20" t="s">
        <v>25</v>
      </c>
      <c r="P1" s="20" t="s">
        <v>12</v>
      </c>
      <c r="Q1" s="20" t="s">
        <v>13</v>
      </c>
      <c r="R1" s="20" t="s">
        <v>14</v>
      </c>
      <c r="S1" s="25" t="s">
        <v>16</v>
      </c>
      <c r="T1" s="25" t="s">
        <v>17</v>
      </c>
      <c r="U1" s="20" t="s">
        <v>26</v>
      </c>
      <c r="V1" s="20" t="s">
        <v>27</v>
      </c>
      <c r="W1" s="25"/>
      <c r="X1" s="25"/>
      <c r="Y1" s="26"/>
      <c r="Z1" s="26"/>
      <c r="AA1" s="27"/>
      <c r="AB1" s="26"/>
      <c r="AC1" s="26"/>
      <c r="AD1" s="26"/>
      <c r="AE1" s="26"/>
      <c r="AF1" s="26"/>
      <c r="AG1" s="26"/>
      <c r="AH1" s="26"/>
    </row>
    <row r="2" ht="20.25" customHeight="1">
      <c r="A2" s="28" t="s">
        <v>18</v>
      </c>
      <c r="B2" s="29">
        <v>1.0E7</v>
      </c>
      <c r="C2" s="30">
        <f t="shared" ref="C2:C14" si="1">SUM(B2/P2)</f>
        <v>2.448979592</v>
      </c>
      <c r="D2" s="28">
        <v>120.0</v>
      </c>
      <c r="E2" s="31">
        <f t="shared" ref="E2:E13" si="2">SUM(B2/D2)</f>
        <v>83333.33333</v>
      </c>
      <c r="F2" s="32">
        <v>0.005</v>
      </c>
      <c r="G2" s="33">
        <v>0.05</v>
      </c>
      <c r="H2" s="31">
        <f t="shared" ref="H2:H13" si="3">SUM(J2*G2)</f>
        <v>20.83333333</v>
      </c>
      <c r="I2" s="34">
        <f>SUM(J2*G2)</f>
        <v>20.83333333</v>
      </c>
      <c r="J2" s="31">
        <f>SUM(E2*F2)</f>
        <v>416.6666667</v>
      </c>
      <c r="K2" s="29">
        <v>9800.0</v>
      </c>
      <c r="L2" s="31">
        <f t="shared" ref="L2:L13" si="4">SUM((K2*0.15)*J2)</f>
        <v>612500</v>
      </c>
      <c r="M2" s="35"/>
      <c r="N2" s="31"/>
      <c r="O2" s="31">
        <f t="shared" ref="O2:O8" si="5">SUM(P2*0.07)</f>
        <v>285833.3333</v>
      </c>
      <c r="P2" s="31">
        <f>SUM(J2*K2)</f>
        <v>4083333.333</v>
      </c>
      <c r="Q2" s="31">
        <f t="shared" ref="Q2:Q14" si="6">SUM((P2-B2)-L2)</f>
        <v>-6529166.667</v>
      </c>
      <c r="R2" s="36">
        <f t="shared" ref="R2:R14" si="7">SUM(P2/(B2+L2)-1)</f>
        <v>-0.6152336082</v>
      </c>
      <c r="S2" s="37">
        <f t="shared" ref="S2:S13" si="8">SUM(P2-(B2+L2+M2+O2))</f>
        <v>-6815000</v>
      </c>
      <c r="T2" s="38">
        <f t="shared" ref="T2:T14" si="9">SUM((P2-(B2+L2+M2+O2))/P2)</f>
        <v>-1.668979592</v>
      </c>
      <c r="U2" s="31">
        <f t="shared" ref="U2:U13" si="10">SUM(P2*0.05)</f>
        <v>204166.6667</v>
      </c>
      <c r="V2" s="39">
        <v>0.0</v>
      </c>
      <c r="W2" s="40"/>
      <c r="X2" s="40"/>
      <c r="Y2" s="41"/>
      <c r="Z2" s="41"/>
      <c r="AA2" s="42"/>
      <c r="AB2" s="41"/>
      <c r="AC2" s="41"/>
      <c r="AD2" s="41"/>
      <c r="AE2" s="41"/>
      <c r="AF2" s="41"/>
      <c r="AG2" s="41"/>
      <c r="AH2" s="41"/>
    </row>
    <row r="3" ht="20.25" customHeight="1">
      <c r="A3" s="28" t="s">
        <v>19</v>
      </c>
      <c r="B3" s="29">
        <v>1.5E7</v>
      </c>
      <c r="C3" s="30">
        <f t="shared" si="1"/>
        <v>1.153329374</v>
      </c>
      <c r="D3" s="28">
        <v>100.0</v>
      </c>
      <c r="E3" s="31">
        <f t="shared" si="2"/>
        <v>150000</v>
      </c>
      <c r="F3" s="32">
        <v>0.008</v>
      </c>
      <c r="G3" s="33">
        <v>0.07</v>
      </c>
      <c r="H3" s="31">
        <f t="shared" si="3"/>
        <v>85.45833333</v>
      </c>
      <c r="I3" s="34">
        <f t="shared" ref="I3:I14" si="11">SUM(H3+I2)</f>
        <v>106.2916667</v>
      </c>
      <c r="J3" s="31">
        <f t="shared" ref="J3:J13" si="12">SUM((E3*F3)+I2)</f>
        <v>1220.833333</v>
      </c>
      <c r="K3" s="29">
        <v>9800.0</v>
      </c>
      <c r="L3" s="31">
        <f t="shared" si="4"/>
        <v>1794625</v>
      </c>
      <c r="M3" s="31">
        <f t="shared" ref="M3:M13" si="13">SUM(P3*0.2)</f>
        <v>2601165</v>
      </c>
      <c r="N3" s="43">
        <f>SUM(P3*0.2)</f>
        <v>2601165</v>
      </c>
      <c r="O3" s="31">
        <f t="shared" si="5"/>
        <v>910407.75</v>
      </c>
      <c r="P3" s="31">
        <f>SUM((J3*K3)+(I3*K3))</f>
        <v>13005825</v>
      </c>
      <c r="Q3" s="31">
        <f t="shared" si="6"/>
        <v>-3788800</v>
      </c>
      <c r="R3" s="36">
        <f t="shared" si="7"/>
        <v>-0.2255959868</v>
      </c>
      <c r="S3" s="37">
        <f t="shared" si="8"/>
        <v>-7300372.75</v>
      </c>
      <c r="T3" s="38">
        <f t="shared" si="9"/>
        <v>-0.561315622</v>
      </c>
      <c r="U3" s="31">
        <f t="shared" si="10"/>
        <v>650291.25</v>
      </c>
      <c r="V3" s="39">
        <v>0.0</v>
      </c>
      <c r="W3" s="44"/>
      <c r="X3" s="45"/>
      <c r="Y3" s="41"/>
      <c r="Z3" s="41"/>
      <c r="AA3" s="46"/>
      <c r="AB3" s="41"/>
      <c r="AC3" s="41"/>
      <c r="AD3" s="41"/>
      <c r="AE3" s="41"/>
      <c r="AF3" s="41"/>
      <c r="AG3" s="41"/>
      <c r="AH3" s="41"/>
    </row>
    <row r="4" ht="20.25" customHeight="1">
      <c r="A4" s="28" t="s">
        <v>20</v>
      </c>
      <c r="B4" s="29">
        <v>2.5E7</v>
      </c>
      <c r="C4" s="30">
        <f t="shared" si="1"/>
        <v>0.9147599454</v>
      </c>
      <c r="D4" s="28">
        <v>100.0</v>
      </c>
      <c r="E4" s="31">
        <f t="shared" si="2"/>
        <v>250000</v>
      </c>
      <c r="F4" s="32">
        <v>0.01</v>
      </c>
      <c r="G4" s="33">
        <v>0.07</v>
      </c>
      <c r="H4" s="31">
        <f t="shared" si="3"/>
        <v>182.4404167</v>
      </c>
      <c r="I4" s="34">
        <f t="shared" si="11"/>
        <v>288.7320833</v>
      </c>
      <c r="J4" s="31">
        <f t="shared" si="12"/>
        <v>2606.291667</v>
      </c>
      <c r="K4" s="29">
        <v>9800.0</v>
      </c>
      <c r="L4" s="31">
        <f t="shared" si="4"/>
        <v>3831248.75</v>
      </c>
      <c r="M4" s="31">
        <f t="shared" si="13"/>
        <v>5465914.883</v>
      </c>
      <c r="N4" s="31"/>
      <c r="O4" s="31">
        <f t="shared" si="5"/>
        <v>1913070.209</v>
      </c>
      <c r="P4" s="31">
        <f t="shared" ref="P4:P13" si="14">SUM((J4*K4)+(H4*K4))</f>
        <v>27329574.42</v>
      </c>
      <c r="Q4" s="31">
        <f t="shared" si="6"/>
        <v>-1501674.333</v>
      </c>
      <c r="R4" s="36">
        <f t="shared" si="7"/>
        <v>-0.05208495637</v>
      </c>
      <c r="S4" s="37">
        <f t="shared" si="8"/>
        <v>-8880659.426</v>
      </c>
      <c r="T4" s="38">
        <f t="shared" si="9"/>
        <v>-0.3249468612</v>
      </c>
      <c r="U4" s="31">
        <f t="shared" si="10"/>
        <v>1366478.721</v>
      </c>
      <c r="V4" s="39">
        <v>0.0</v>
      </c>
      <c r="W4" s="47"/>
      <c r="X4" s="47"/>
      <c r="Y4" s="48"/>
      <c r="Z4" s="48"/>
      <c r="AA4" s="49"/>
      <c r="AB4" s="48"/>
      <c r="AC4" s="48"/>
      <c r="AD4" s="48"/>
      <c r="AE4" s="48"/>
      <c r="AF4" s="48"/>
      <c r="AG4" s="48"/>
      <c r="AH4" s="48"/>
    </row>
    <row r="5" ht="20.25" customHeight="1">
      <c r="A5" s="28" t="s">
        <v>21</v>
      </c>
      <c r="B5" s="29">
        <v>3.0E7</v>
      </c>
      <c r="C5" s="30">
        <f t="shared" si="1"/>
        <v>0.8658810192</v>
      </c>
      <c r="D5" s="28">
        <v>100.0</v>
      </c>
      <c r="E5" s="31">
        <f t="shared" si="2"/>
        <v>300000</v>
      </c>
      <c r="F5" s="50">
        <v>0.01</v>
      </c>
      <c r="G5" s="33">
        <v>0.075</v>
      </c>
      <c r="H5" s="31">
        <f t="shared" si="3"/>
        <v>246.6549063</v>
      </c>
      <c r="I5" s="34">
        <f t="shared" si="11"/>
        <v>535.3869896</v>
      </c>
      <c r="J5" s="31">
        <f t="shared" si="12"/>
        <v>3288.732083</v>
      </c>
      <c r="K5" s="29">
        <v>9800.0</v>
      </c>
      <c r="L5" s="31">
        <f t="shared" si="4"/>
        <v>4834436.163</v>
      </c>
      <c r="M5" s="31">
        <f t="shared" si="13"/>
        <v>6929358.5</v>
      </c>
      <c r="N5" s="31"/>
      <c r="O5" s="31">
        <f t="shared" si="5"/>
        <v>2425275.475</v>
      </c>
      <c r="P5" s="31">
        <f t="shared" si="14"/>
        <v>34646792.5</v>
      </c>
      <c r="Q5" s="31">
        <f t="shared" si="6"/>
        <v>-187643.6646</v>
      </c>
      <c r="R5" s="36">
        <f t="shared" si="7"/>
        <v>-0.005386728917</v>
      </c>
      <c r="S5" s="37">
        <f t="shared" si="8"/>
        <v>-9542277.639</v>
      </c>
      <c r="T5" s="38">
        <f t="shared" si="9"/>
        <v>-0.2754159029</v>
      </c>
      <c r="U5" s="31">
        <f t="shared" si="10"/>
        <v>1732339.625</v>
      </c>
      <c r="V5" s="39">
        <v>0.0</v>
      </c>
      <c r="W5" s="51"/>
      <c r="X5" s="53"/>
      <c r="Y5" s="41"/>
      <c r="Z5" s="41"/>
      <c r="AA5" s="55"/>
      <c r="AB5" s="41"/>
      <c r="AC5" s="41"/>
      <c r="AD5" s="41"/>
      <c r="AE5" s="41"/>
      <c r="AF5" s="41"/>
      <c r="AG5" s="41"/>
      <c r="AH5" s="41"/>
    </row>
    <row r="6" ht="20.25" customHeight="1">
      <c r="A6" s="28" t="s">
        <v>22</v>
      </c>
      <c r="B6" s="29">
        <v>4.0E7</v>
      </c>
      <c r="C6" s="30">
        <f t="shared" si="1"/>
        <v>0.7624490175</v>
      </c>
      <c r="D6" s="28">
        <v>90.0</v>
      </c>
      <c r="E6" s="31">
        <f t="shared" si="2"/>
        <v>444444.4444</v>
      </c>
      <c r="F6" s="50">
        <v>0.01</v>
      </c>
      <c r="G6" s="33">
        <v>0.075</v>
      </c>
      <c r="H6" s="31">
        <f t="shared" si="3"/>
        <v>373.4873576</v>
      </c>
      <c r="I6" s="34">
        <f t="shared" si="11"/>
        <v>908.8743471</v>
      </c>
      <c r="J6" s="31">
        <f t="shared" si="12"/>
        <v>4979.831434</v>
      </c>
      <c r="K6" s="29">
        <v>9800.0</v>
      </c>
      <c r="L6" s="31">
        <f t="shared" si="4"/>
        <v>7320352.208</v>
      </c>
      <c r="M6" s="31">
        <f t="shared" si="13"/>
        <v>10492504.83</v>
      </c>
      <c r="N6" s="31"/>
      <c r="O6" s="31">
        <f t="shared" si="5"/>
        <v>3672376.691</v>
      </c>
      <c r="P6" s="31">
        <f t="shared" si="14"/>
        <v>52462524.16</v>
      </c>
      <c r="Q6" s="31">
        <f t="shared" si="6"/>
        <v>5142171.949</v>
      </c>
      <c r="R6" s="36">
        <f t="shared" si="7"/>
        <v>0.1086672374</v>
      </c>
      <c r="S6" s="37">
        <f t="shared" si="8"/>
        <v>-9022709.573</v>
      </c>
      <c r="T6" s="38">
        <f t="shared" si="9"/>
        <v>-0.1719839012</v>
      </c>
      <c r="U6" s="31">
        <f t="shared" si="10"/>
        <v>2623126.208</v>
      </c>
      <c r="V6" s="39">
        <v>0.0</v>
      </c>
      <c r="W6" s="47"/>
      <c r="X6" s="47"/>
      <c r="Y6" s="41"/>
      <c r="Z6" s="41"/>
      <c r="AA6" s="49"/>
      <c r="AB6" s="41"/>
      <c r="AC6" s="41"/>
      <c r="AD6" s="41"/>
      <c r="AE6" s="41"/>
      <c r="AF6" s="41"/>
      <c r="AG6" s="41"/>
      <c r="AH6" s="41"/>
    </row>
    <row r="7" ht="20.25" customHeight="1">
      <c r="A7" s="28" t="s">
        <v>23</v>
      </c>
      <c r="B7" s="29">
        <v>5.0E7</v>
      </c>
      <c r="C7" s="30">
        <f t="shared" si="1"/>
        <v>0.7689662488</v>
      </c>
      <c r="D7" s="28">
        <v>95.0</v>
      </c>
      <c r="E7" s="31">
        <f t="shared" si="2"/>
        <v>526315.7895</v>
      </c>
      <c r="F7" s="50">
        <v>0.01</v>
      </c>
      <c r="G7" s="33">
        <v>0.075</v>
      </c>
      <c r="H7" s="31">
        <f t="shared" si="3"/>
        <v>462.9024181</v>
      </c>
      <c r="I7" s="34">
        <f t="shared" si="11"/>
        <v>1371.776765</v>
      </c>
      <c r="J7" s="31">
        <f t="shared" si="12"/>
        <v>6172.032242</v>
      </c>
      <c r="K7" s="29">
        <v>9800.0</v>
      </c>
      <c r="L7" s="31">
        <f t="shared" si="4"/>
        <v>9072887.396</v>
      </c>
      <c r="M7" s="31">
        <f t="shared" si="13"/>
        <v>13004471.93</v>
      </c>
      <c r="N7" s="31"/>
      <c r="O7" s="31">
        <f t="shared" si="5"/>
        <v>4551565.177</v>
      </c>
      <c r="P7" s="31">
        <f t="shared" si="14"/>
        <v>65022359.67</v>
      </c>
      <c r="Q7" s="31">
        <f t="shared" si="6"/>
        <v>5949472.273</v>
      </c>
      <c r="R7" s="36">
        <f t="shared" si="7"/>
        <v>0.100714093</v>
      </c>
      <c r="S7" s="37">
        <f t="shared" si="8"/>
        <v>-11606564.84</v>
      </c>
      <c r="T7" s="38">
        <f t="shared" si="9"/>
        <v>-0.1785011325</v>
      </c>
      <c r="U7" s="31">
        <f t="shared" si="10"/>
        <v>3251117.983</v>
      </c>
      <c r="V7" s="37">
        <f t="shared" ref="V7:V13" si="15">SUM(S7*0.25)</f>
        <v>-2901641.209</v>
      </c>
      <c r="W7" s="51"/>
      <c r="X7" s="53"/>
      <c r="Y7" s="41"/>
      <c r="Z7" s="41"/>
      <c r="AA7" s="55"/>
      <c r="AB7" s="41"/>
      <c r="AC7" s="41"/>
      <c r="AD7" s="41"/>
      <c r="AE7" s="41"/>
      <c r="AF7" s="41"/>
      <c r="AG7" s="41"/>
      <c r="AH7" s="41"/>
    </row>
    <row r="8" ht="20.25" customHeight="1">
      <c r="A8" s="28" t="s">
        <v>28</v>
      </c>
      <c r="B8" s="29">
        <v>6.5E7</v>
      </c>
      <c r="C8" s="30">
        <f t="shared" si="1"/>
        <v>0.751156372</v>
      </c>
      <c r="D8" s="28">
        <v>95.0</v>
      </c>
      <c r="E8" s="31">
        <f t="shared" si="2"/>
        <v>684210.5263</v>
      </c>
      <c r="F8" s="50">
        <v>0.01</v>
      </c>
      <c r="G8" s="33">
        <v>0.075</v>
      </c>
      <c r="H8" s="31">
        <f t="shared" si="3"/>
        <v>616.0411521</v>
      </c>
      <c r="I8" s="34">
        <f t="shared" si="11"/>
        <v>1987.817917</v>
      </c>
      <c r="J8" s="31">
        <f t="shared" si="12"/>
        <v>8213.882028</v>
      </c>
      <c r="K8" s="29">
        <v>9800.0</v>
      </c>
      <c r="L8" s="31">
        <f t="shared" si="4"/>
        <v>12074406.58</v>
      </c>
      <c r="M8" s="31">
        <f t="shared" si="13"/>
        <v>17306649.43</v>
      </c>
      <c r="N8" s="31"/>
      <c r="O8" s="31">
        <f t="shared" si="5"/>
        <v>6057327.302</v>
      </c>
      <c r="P8" s="31">
        <f t="shared" si="14"/>
        <v>86533247.17</v>
      </c>
      <c r="Q8" s="31">
        <f t="shared" si="6"/>
        <v>9458840.588</v>
      </c>
      <c r="R8" s="36">
        <f t="shared" si="7"/>
        <v>0.1227234955</v>
      </c>
      <c r="S8" s="37">
        <f t="shared" si="8"/>
        <v>-13905136.15</v>
      </c>
      <c r="T8" s="38">
        <f t="shared" si="9"/>
        <v>-0.1606912557</v>
      </c>
      <c r="U8" s="31">
        <f t="shared" si="10"/>
        <v>4326662.358</v>
      </c>
      <c r="V8" s="37">
        <f t="shared" si="15"/>
        <v>-3476284.037</v>
      </c>
      <c r="W8" s="47"/>
      <c r="X8" s="47"/>
      <c r="Y8" s="41"/>
      <c r="Z8" s="41"/>
      <c r="AA8" s="49"/>
      <c r="AB8" s="41"/>
      <c r="AC8" s="41"/>
      <c r="AD8" s="41"/>
      <c r="AE8" s="41"/>
      <c r="AF8" s="41"/>
      <c r="AG8" s="41"/>
      <c r="AH8" s="41"/>
    </row>
    <row r="9" ht="20.25" customHeight="1">
      <c r="A9" s="28" t="s">
        <v>29</v>
      </c>
      <c r="B9" s="29">
        <v>7.0E7</v>
      </c>
      <c r="C9" s="30">
        <f t="shared" si="1"/>
        <v>0.7101697908</v>
      </c>
      <c r="D9" s="28">
        <v>95.0</v>
      </c>
      <c r="E9" s="31">
        <f t="shared" si="2"/>
        <v>736842.1053</v>
      </c>
      <c r="F9" s="50">
        <v>0.01</v>
      </c>
      <c r="G9" s="33">
        <v>0.075</v>
      </c>
      <c r="H9" s="31">
        <f t="shared" si="3"/>
        <v>701.7179228</v>
      </c>
      <c r="I9" s="34">
        <f t="shared" si="11"/>
        <v>2689.53584</v>
      </c>
      <c r="J9" s="31">
        <f t="shared" si="12"/>
        <v>9356.23897</v>
      </c>
      <c r="K9" s="29">
        <v>9800.0</v>
      </c>
      <c r="L9" s="31">
        <f t="shared" si="4"/>
        <v>13753671.29</v>
      </c>
      <c r="M9" s="31">
        <f t="shared" si="13"/>
        <v>19713595.51</v>
      </c>
      <c r="N9" s="31"/>
      <c r="O9" s="31">
        <f t="shared" ref="O9:O12" si="16">SUM(P9*0.05)</f>
        <v>4928398.877</v>
      </c>
      <c r="P9" s="31">
        <f t="shared" si="14"/>
        <v>98567977.55</v>
      </c>
      <c r="Q9" s="31">
        <f t="shared" si="6"/>
        <v>14814306.26</v>
      </c>
      <c r="R9" s="36">
        <f t="shared" si="7"/>
        <v>0.1768794852</v>
      </c>
      <c r="S9" s="37">
        <f t="shared" si="8"/>
        <v>-9827688.124</v>
      </c>
      <c r="T9" s="38">
        <f t="shared" si="9"/>
        <v>-0.09970467456</v>
      </c>
      <c r="U9" s="31">
        <f t="shared" si="10"/>
        <v>4928398.877</v>
      </c>
      <c r="V9" s="37">
        <f t="shared" si="15"/>
        <v>-2456922.031</v>
      </c>
      <c r="W9" s="51"/>
      <c r="X9" s="53"/>
      <c r="Y9" s="41"/>
      <c r="Z9" s="41"/>
      <c r="AA9" s="55"/>
      <c r="AB9" s="41"/>
      <c r="AC9" s="41"/>
      <c r="AD9" s="41"/>
      <c r="AE9" s="41"/>
      <c r="AF9" s="41"/>
      <c r="AG9" s="41"/>
      <c r="AH9" s="41"/>
    </row>
    <row r="10" ht="20.25" customHeight="1">
      <c r="A10" s="28" t="s">
        <v>30</v>
      </c>
      <c r="B10" s="29">
        <v>8.0E7</v>
      </c>
      <c r="C10" s="30">
        <f t="shared" si="1"/>
        <v>0.6062716652</v>
      </c>
      <c r="D10" s="28">
        <v>90.0</v>
      </c>
      <c r="E10" s="31">
        <f t="shared" si="2"/>
        <v>888888.8889</v>
      </c>
      <c r="F10" s="50">
        <v>0.011</v>
      </c>
      <c r="G10" s="33">
        <v>0.08</v>
      </c>
      <c r="H10" s="31">
        <f t="shared" si="3"/>
        <v>997.3850894</v>
      </c>
      <c r="I10" s="34">
        <f t="shared" si="11"/>
        <v>3686.92093</v>
      </c>
      <c r="J10" s="31">
        <f t="shared" si="12"/>
        <v>12467.31362</v>
      </c>
      <c r="K10" s="29">
        <v>9800.0</v>
      </c>
      <c r="L10" s="31">
        <f t="shared" si="4"/>
        <v>18326951.02</v>
      </c>
      <c r="M10" s="31">
        <f t="shared" si="13"/>
        <v>26390809.47</v>
      </c>
      <c r="N10" s="31"/>
      <c r="O10" s="31">
        <f t="shared" si="16"/>
        <v>6597702.367</v>
      </c>
      <c r="P10" s="31">
        <f t="shared" si="14"/>
        <v>131954047.3</v>
      </c>
      <c r="Q10" s="31">
        <f t="shared" si="6"/>
        <v>33627096.31</v>
      </c>
      <c r="R10" s="36">
        <f t="shared" si="7"/>
        <v>0.341992668</v>
      </c>
      <c r="S10" s="37">
        <f t="shared" si="8"/>
        <v>638584.4808</v>
      </c>
      <c r="T10" s="38">
        <f t="shared" si="9"/>
        <v>0.004839445957</v>
      </c>
      <c r="U10" s="31">
        <f t="shared" si="10"/>
        <v>6597702.367</v>
      </c>
      <c r="V10" s="37">
        <f t="shared" si="15"/>
        <v>159646.1202</v>
      </c>
      <c r="W10" s="47"/>
      <c r="X10" s="47"/>
      <c r="Y10" s="48"/>
      <c r="Z10" s="48"/>
      <c r="AA10" s="49"/>
      <c r="AB10" s="48"/>
      <c r="AC10" s="48"/>
      <c r="AD10" s="48"/>
      <c r="AE10" s="48"/>
      <c r="AF10" s="48"/>
      <c r="AG10" s="48"/>
      <c r="AH10" s="48"/>
    </row>
    <row r="11" ht="20.25" customHeight="1">
      <c r="A11" s="28" t="s">
        <v>31</v>
      </c>
      <c r="B11" s="29">
        <v>1.2E8</v>
      </c>
      <c r="C11" s="30">
        <f t="shared" si="1"/>
        <v>0.590012083</v>
      </c>
      <c r="D11" s="28">
        <v>85.0</v>
      </c>
      <c r="E11" s="31">
        <f t="shared" si="2"/>
        <v>1411764.706</v>
      </c>
      <c r="F11" s="50">
        <v>0.011</v>
      </c>
      <c r="G11" s="33">
        <v>0.08</v>
      </c>
      <c r="H11" s="31">
        <f t="shared" si="3"/>
        <v>1537.306616</v>
      </c>
      <c r="I11" s="34">
        <f t="shared" si="11"/>
        <v>5224.227545</v>
      </c>
      <c r="J11" s="31">
        <f t="shared" si="12"/>
        <v>19216.33269</v>
      </c>
      <c r="K11" s="29">
        <v>9800.0</v>
      </c>
      <c r="L11" s="31">
        <f t="shared" si="4"/>
        <v>28248009.06</v>
      </c>
      <c r="M11" s="31">
        <f t="shared" si="13"/>
        <v>40677133.05</v>
      </c>
      <c r="N11" s="31"/>
      <c r="O11" s="31">
        <f t="shared" si="16"/>
        <v>10169283.26</v>
      </c>
      <c r="P11" s="31">
        <f t="shared" si="14"/>
        <v>203385665.2</v>
      </c>
      <c r="Q11" s="31">
        <f t="shared" si="6"/>
        <v>55137656.18</v>
      </c>
      <c r="R11" s="36">
        <f t="shared" si="7"/>
        <v>0.3719284766</v>
      </c>
      <c r="S11" s="37">
        <f t="shared" si="8"/>
        <v>4291239.867</v>
      </c>
      <c r="T11" s="38">
        <f t="shared" si="9"/>
        <v>0.0210990281</v>
      </c>
      <c r="U11" s="31">
        <f t="shared" si="10"/>
        <v>10169283.26</v>
      </c>
      <c r="V11" s="37">
        <f t="shared" si="15"/>
        <v>1072809.967</v>
      </c>
      <c r="W11" s="51"/>
      <c r="X11" s="53"/>
      <c r="Y11" s="48"/>
      <c r="Z11" s="48"/>
      <c r="AA11" s="55"/>
      <c r="AB11" s="48"/>
      <c r="AC11" s="48"/>
      <c r="AD11" s="48"/>
      <c r="AE11" s="48"/>
      <c r="AF11" s="48"/>
      <c r="AG11" s="48"/>
      <c r="AH11" s="48"/>
    </row>
    <row r="12" ht="20.25" customHeight="1">
      <c r="A12" s="28" t="s">
        <v>32</v>
      </c>
      <c r="B12" s="29">
        <v>1.5E8</v>
      </c>
      <c r="C12" s="30">
        <f t="shared" si="1"/>
        <v>0.5699918246</v>
      </c>
      <c r="D12" s="28">
        <v>85.0</v>
      </c>
      <c r="E12" s="31">
        <f t="shared" si="2"/>
        <v>1764705.882</v>
      </c>
      <c r="F12" s="50">
        <v>0.011</v>
      </c>
      <c r="G12" s="33">
        <v>0.09</v>
      </c>
      <c r="H12" s="31">
        <f t="shared" si="3"/>
        <v>2217.239303</v>
      </c>
      <c r="I12" s="34">
        <f t="shared" si="11"/>
        <v>7441.466848</v>
      </c>
      <c r="J12" s="31">
        <f t="shared" si="12"/>
        <v>24635.99225</v>
      </c>
      <c r="K12" s="29">
        <v>9800.0</v>
      </c>
      <c r="L12" s="31">
        <f t="shared" si="4"/>
        <v>36214908.61</v>
      </c>
      <c r="M12" s="31">
        <f t="shared" si="13"/>
        <v>52632333.85</v>
      </c>
      <c r="N12" s="31"/>
      <c r="O12" s="31">
        <f t="shared" si="16"/>
        <v>13158083.46</v>
      </c>
      <c r="P12" s="31">
        <f t="shared" si="14"/>
        <v>263161669.2</v>
      </c>
      <c r="Q12" s="31">
        <f t="shared" si="6"/>
        <v>76946760.62</v>
      </c>
      <c r="R12" s="36">
        <f t="shared" si="7"/>
        <v>0.4132148236</v>
      </c>
      <c r="S12" s="37">
        <f t="shared" si="8"/>
        <v>11156343.31</v>
      </c>
      <c r="T12" s="38">
        <f t="shared" si="9"/>
        <v>0.04239349653</v>
      </c>
      <c r="U12" s="31">
        <f t="shared" si="10"/>
        <v>13158083.46</v>
      </c>
      <c r="V12" s="37">
        <f t="shared" si="15"/>
        <v>2789085.828</v>
      </c>
      <c r="W12" s="47"/>
      <c r="X12" s="47"/>
      <c r="Y12" s="48"/>
      <c r="Z12" s="48"/>
      <c r="AA12" s="49"/>
      <c r="AB12" s="48"/>
      <c r="AC12" s="48"/>
      <c r="AD12" s="48"/>
      <c r="AE12" s="48"/>
      <c r="AF12" s="48"/>
      <c r="AG12" s="48"/>
      <c r="AH12" s="48"/>
    </row>
    <row r="13" ht="20.25" customHeight="1">
      <c r="A13" s="28" t="s">
        <v>33</v>
      </c>
      <c r="B13" s="79">
        <v>6.58E8</v>
      </c>
      <c r="C13" s="30">
        <f t="shared" si="1"/>
        <v>0.6139292637</v>
      </c>
      <c r="D13" s="28">
        <v>85.0</v>
      </c>
      <c r="E13" s="31">
        <f t="shared" si="2"/>
        <v>7741176.471</v>
      </c>
      <c r="F13" s="50">
        <v>0.012</v>
      </c>
      <c r="G13" s="33">
        <v>0.09</v>
      </c>
      <c r="H13" s="31">
        <f t="shared" si="3"/>
        <v>9030.202605</v>
      </c>
      <c r="I13" s="34">
        <f t="shared" si="11"/>
        <v>16471.66945</v>
      </c>
      <c r="J13" s="31">
        <f t="shared" si="12"/>
        <v>100335.5845</v>
      </c>
      <c r="K13" s="29">
        <v>9800.0</v>
      </c>
      <c r="L13" s="31">
        <f t="shared" si="4"/>
        <v>147493309.2</v>
      </c>
      <c r="M13" s="31">
        <f t="shared" si="13"/>
        <v>214356942.7</v>
      </c>
      <c r="N13" s="31"/>
      <c r="O13" s="31">
        <f>SUM(P13*0.07)</f>
        <v>75024929.95</v>
      </c>
      <c r="P13" s="31">
        <f t="shared" si="14"/>
        <v>1071784714</v>
      </c>
      <c r="Q13" s="31">
        <f t="shared" si="6"/>
        <v>266291404.4</v>
      </c>
      <c r="R13" s="36">
        <f t="shared" si="7"/>
        <v>0.3305941854</v>
      </c>
      <c r="S13" s="37">
        <f t="shared" si="8"/>
        <v>-23090468.3</v>
      </c>
      <c r="T13" s="38">
        <f t="shared" si="9"/>
        <v>-0.02154394255</v>
      </c>
      <c r="U13" s="31">
        <f t="shared" si="10"/>
        <v>53589235.68</v>
      </c>
      <c r="V13" s="37">
        <f t="shared" si="15"/>
        <v>-5772617.075</v>
      </c>
      <c r="W13" s="51"/>
      <c r="X13" s="53"/>
      <c r="Y13" s="48"/>
      <c r="Z13" s="48"/>
      <c r="AA13" s="55"/>
      <c r="AB13" s="48"/>
      <c r="AC13" s="48"/>
      <c r="AD13" s="48"/>
      <c r="AE13" s="48"/>
      <c r="AF13" s="48"/>
      <c r="AG13" s="48"/>
      <c r="AH13" s="48"/>
    </row>
    <row r="14" ht="20.25" customHeight="1">
      <c r="A14" s="65" t="s">
        <v>44</v>
      </c>
      <c r="B14" s="29">
        <f>SUM(B2:B13)</f>
        <v>1313000000</v>
      </c>
      <c r="C14" s="30">
        <f t="shared" si="1"/>
        <v>0.6398829659</v>
      </c>
      <c r="D14" s="28">
        <v>85.0</v>
      </c>
      <c r="E14" s="29">
        <f>SUM(E2:E13)</f>
        <v>14981682.15</v>
      </c>
      <c r="F14" s="50">
        <v>0.011</v>
      </c>
      <c r="G14" s="33">
        <v>0.1</v>
      </c>
      <c r="H14" s="29">
        <f>SUM(H2:H13)</f>
        <v>16471.66945</v>
      </c>
      <c r="I14" s="34">
        <f t="shared" si="11"/>
        <v>32943.3389</v>
      </c>
      <c r="J14" s="29">
        <f>SUM(J2:J13)</f>
        <v>192909.7315</v>
      </c>
      <c r="K14" s="29">
        <v>9800.0</v>
      </c>
      <c r="L14" s="29">
        <f t="shared" ref="L14:M14" si="17">SUM(L2:L13)</f>
        <v>283577305.3</v>
      </c>
      <c r="M14" s="29">
        <f t="shared" si="17"/>
        <v>409570879.2</v>
      </c>
      <c r="N14" s="29"/>
      <c r="O14" s="29">
        <f t="shared" ref="O14:P14" si="18">SUM(O2:O13)</f>
        <v>129694253.9</v>
      </c>
      <c r="P14" s="66">
        <f t="shared" si="18"/>
        <v>2051937729</v>
      </c>
      <c r="Q14" s="31">
        <f t="shared" si="6"/>
        <v>455360423.9</v>
      </c>
      <c r="R14" s="36">
        <f t="shared" si="7"/>
        <v>0.2852103825</v>
      </c>
      <c r="S14" s="29">
        <f>SUM(S2:S13)</f>
        <v>-83904709.14</v>
      </c>
      <c r="T14" s="38">
        <f t="shared" si="9"/>
        <v>-0.04089047535</v>
      </c>
      <c r="U14" s="29">
        <f t="shared" ref="U14:V14" si="19">SUM(U2:U13)</f>
        <v>102596886.5</v>
      </c>
      <c r="V14" s="29">
        <f t="shared" si="19"/>
        <v>-10585922.44</v>
      </c>
      <c r="W14" s="40"/>
      <c r="X14" s="40"/>
      <c r="Y14" s="41"/>
      <c r="Z14" s="41"/>
      <c r="AA14" s="42"/>
      <c r="AB14" s="41"/>
      <c r="AC14" s="41"/>
      <c r="AD14" s="41"/>
      <c r="AE14" s="41"/>
      <c r="AF14" s="41"/>
      <c r="AG14" s="41"/>
      <c r="AH14" s="41"/>
    </row>
    <row r="15">
      <c r="A15" s="67"/>
      <c r="B15" s="67"/>
      <c r="C15" s="42"/>
      <c r="D15" s="67"/>
      <c r="E15" s="67"/>
      <c r="F15" s="68"/>
      <c r="G15" s="67"/>
      <c r="H15" s="67"/>
      <c r="I15" s="69"/>
      <c r="J15" s="67"/>
      <c r="K15" s="67"/>
      <c r="L15" s="67"/>
      <c r="M15" s="67"/>
      <c r="N15" s="67"/>
      <c r="O15" s="67"/>
      <c r="P15" s="67"/>
      <c r="Q15" s="42"/>
      <c r="R15" s="27"/>
      <c r="S15" s="67"/>
      <c r="T15" s="27"/>
      <c r="U15" s="67"/>
      <c r="V15" s="6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>
      <c r="A16" s="70" t="s">
        <v>47</v>
      </c>
      <c r="B16" s="70" t="s">
        <v>4</v>
      </c>
      <c r="C16" s="70" t="s">
        <v>6</v>
      </c>
      <c r="D16" s="71"/>
      <c r="E16" s="72" t="s">
        <v>49</v>
      </c>
      <c r="F16" s="73" t="s">
        <v>50</v>
      </c>
      <c r="G16" s="74"/>
      <c r="H16" s="74"/>
      <c r="I16" s="74"/>
      <c r="J16" s="75"/>
      <c r="K16" s="26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</row>
    <row r="17">
      <c r="A17" s="74"/>
      <c r="B17" s="74"/>
      <c r="C17" s="74"/>
      <c r="D17" s="74"/>
      <c r="E17" s="76" t="s">
        <v>18</v>
      </c>
      <c r="F17" s="77">
        <v>4083333.333333333</v>
      </c>
      <c r="G17" s="74"/>
      <c r="H17" s="74"/>
      <c r="I17" s="74"/>
      <c r="J17" s="78"/>
      <c r="K17" s="26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</row>
    <row r="18">
      <c r="A18" s="74"/>
      <c r="B18" s="74"/>
      <c r="C18" s="80"/>
      <c r="D18" s="74"/>
      <c r="E18" s="81" t="s">
        <v>19</v>
      </c>
      <c r="F18" s="77">
        <v>1.3005825E7</v>
      </c>
      <c r="G18" s="82"/>
      <c r="H18" s="82"/>
      <c r="I18" s="82"/>
      <c r="J18" s="78"/>
      <c r="K18" s="27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74"/>
      <c r="AC18" s="74"/>
      <c r="AD18" s="74"/>
      <c r="AE18" s="74"/>
      <c r="AF18" s="74"/>
      <c r="AG18" s="74"/>
      <c r="AH18" s="74"/>
    </row>
    <row r="19">
      <c r="A19" s="74"/>
      <c r="B19" s="74"/>
      <c r="C19" s="82"/>
      <c r="D19" s="74"/>
      <c r="E19" s="76" t="s">
        <v>20</v>
      </c>
      <c r="F19" s="77">
        <v>2.7329574416666664E7</v>
      </c>
      <c r="G19" s="82"/>
      <c r="H19" s="82"/>
      <c r="I19" s="82"/>
      <c r="J19" s="78"/>
      <c r="K19" s="27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74"/>
      <c r="AC19" s="74"/>
      <c r="AD19" s="74"/>
      <c r="AE19" s="74"/>
      <c r="AF19" s="74"/>
      <c r="AG19" s="74"/>
      <c r="AH19" s="74"/>
    </row>
    <row r="20">
      <c r="A20" s="74"/>
      <c r="B20" s="74"/>
      <c r="C20" s="82"/>
      <c r="D20" s="74"/>
      <c r="E20" s="81" t="s">
        <v>21</v>
      </c>
      <c r="F20" s="77">
        <v>4.096779249791666E7</v>
      </c>
      <c r="G20" s="82"/>
      <c r="H20" s="82"/>
      <c r="I20" s="82"/>
      <c r="J20" s="78"/>
      <c r="K20" s="27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74"/>
      <c r="AC20" s="74"/>
      <c r="AD20" s="74"/>
      <c r="AE20" s="74"/>
      <c r="AF20" s="74"/>
      <c r="AG20" s="74"/>
      <c r="AH20" s="74"/>
    </row>
    <row r="21">
      <c r="A21" s="74"/>
      <c r="B21" s="74"/>
      <c r="C21" s="71"/>
      <c r="D21" s="74"/>
      <c r="E21" s="76" t="s">
        <v>22</v>
      </c>
      <c r="F21" s="77">
        <v>6.69832658241493E7</v>
      </c>
      <c r="G21" s="83"/>
      <c r="H21" s="83"/>
      <c r="I21" s="83"/>
      <c r="J21" s="78"/>
      <c r="K21" s="26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74"/>
      <c r="AC21" s="74"/>
      <c r="AD21" s="74"/>
      <c r="AE21" s="74"/>
      <c r="AF21" s="74"/>
      <c r="AG21" s="74"/>
      <c r="AH21" s="74"/>
    </row>
    <row r="22">
      <c r="A22" s="74"/>
      <c r="B22" s="74"/>
      <c r="C22" s="74"/>
      <c r="D22" s="74"/>
      <c r="E22" s="81" t="s">
        <v>23</v>
      </c>
      <c r="F22" s="77">
        <v>9.430917450365056E7</v>
      </c>
      <c r="G22" s="74"/>
      <c r="H22" s="74"/>
      <c r="I22" s="74"/>
      <c r="J22" s="78"/>
      <c r="K22" s="26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</row>
    <row r="23">
      <c r="A23" s="74"/>
      <c r="B23" s="74"/>
      <c r="C23" s="74"/>
      <c r="D23" s="74"/>
      <c r="E23" s="76" t="s">
        <v>28</v>
      </c>
      <c r="F23" s="77">
        <v>1.4074999417037174E8</v>
      </c>
      <c r="G23" s="74"/>
      <c r="H23" s="74"/>
      <c r="I23" s="74"/>
      <c r="J23" s="78"/>
      <c r="K23" s="26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</row>
    <row r="24">
      <c r="A24" s="74"/>
      <c r="B24" s="74"/>
      <c r="C24" s="74"/>
      <c r="D24" s="74"/>
      <c r="E24" s="81" t="s">
        <v>29</v>
      </c>
      <c r="F24" s="84">
        <v>1.6073229636472854E8</v>
      </c>
      <c r="G24" s="74"/>
      <c r="H24" s="74"/>
      <c r="I24" s="74"/>
      <c r="J24" s="78"/>
      <c r="K24" s="26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</row>
    <row r="25">
      <c r="A25" s="74"/>
      <c r="B25" s="74"/>
      <c r="C25" s="74"/>
      <c r="D25" s="74"/>
      <c r="E25" s="76" t="s">
        <v>30</v>
      </c>
      <c r="F25" s="77">
        <v>2.0094835375811738E8</v>
      </c>
      <c r="G25" s="74"/>
      <c r="H25" s="74"/>
      <c r="I25" s="74"/>
      <c r="J25" s="78"/>
      <c r="K25" s="26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</row>
    <row r="26">
      <c r="A26" s="74"/>
      <c r="B26" s="74"/>
      <c r="C26" s="74"/>
      <c r="D26" s="74"/>
      <c r="E26" s="81" t="s">
        <v>31</v>
      </c>
      <c r="F26" s="77">
        <v>3.2604633970582557E8</v>
      </c>
      <c r="G26" s="74"/>
      <c r="H26" s="74"/>
      <c r="I26" s="74"/>
      <c r="J26" s="78"/>
      <c r="K26" s="26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</row>
    <row r="27">
      <c r="A27" s="74"/>
      <c r="B27" s="74"/>
      <c r="C27" s="74"/>
      <c r="D27" s="74"/>
      <c r="E27" s="76" t="s">
        <v>32</v>
      </c>
      <c r="F27" s="77">
        <v>4.232526279264087E8</v>
      </c>
      <c r="G27" s="74"/>
      <c r="H27" s="74"/>
      <c r="I27" s="74"/>
      <c r="J27" s="78"/>
      <c r="K27" s="26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</row>
    <row r="28">
      <c r="A28" s="74"/>
      <c r="B28" s="74"/>
      <c r="C28" s="74"/>
      <c r="D28" s="74"/>
      <c r="E28" s="85" t="s">
        <v>33</v>
      </c>
      <c r="F28" s="77">
        <v>5.191538350280208E8</v>
      </c>
      <c r="G28" s="74"/>
      <c r="H28" s="74"/>
      <c r="I28" s="74"/>
      <c r="J28" s="78"/>
      <c r="K28" s="26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</row>
    <row r="29">
      <c r="A29" s="26"/>
      <c r="B29" s="26"/>
      <c r="C29" s="26"/>
      <c r="D29" s="26"/>
      <c r="E29" s="65" t="s">
        <v>44</v>
      </c>
      <c r="F29" s="86">
        <v>2.0175624125291893E9</v>
      </c>
      <c r="G29" s="26"/>
      <c r="H29" s="26"/>
      <c r="I29" s="26"/>
      <c r="J29" s="8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>
      <c r="A39" s="26"/>
      <c r="B39" s="26"/>
      <c r="C39" s="90">
        <f>SUM(P14)</f>
        <v>2051937729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>
      <c r="A40" s="26"/>
      <c r="B40" s="90">
        <f>SUM(B14+L14+M14+O14)</f>
        <v>2135842438</v>
      </c>
      <c r="C40" s="90">
        <f>SUM(B14+L14+M14+O14)</f>
        <v>2135842438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>
      <c r="A42" s="26"/>
      <c r="B42" s="26"/>
      <c r="C42" s="26"/>
      <c r="D42" s="26"/>
      <c r="E42" s="90">
        <f>SUM(C39-C40)</f>
        <v>-83904709.14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>
      <c r="A44" s="26"/>
      <c r="B44" s="26"/>
      <c r="C44" s="26"/>
      <c r="D44" s="26"/>
      <c r="E44" s="91">
        <f>SUM(E42/C39)</f>
        <v>-0.04089047535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92" t="s">
        <v>50</v>
      </c>
      <c r="X44" s="92" t="s">
        <v>60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>
      <c r="A45" s="26"/>
      <c r="B45" s="26"/>
      <c r="C45" s="91">
        <f>SUM(380409863/2017562413)</f>
        <v>0.1885492417</v>
      </c>
      <c r="D45" s="91">
        <f>SUM(C40/C39)</f>
        <v>1.040890475</v>
      </c>
      <c r="E45" s="91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92" t="s">
        <v>61</v>
      </c>
      <c r="U45" s="26"/>
      <c r="V45" s="26"/>
      <c r="W45" s="92">
        <v>100.0</v>
      </c>
      <c r="X45" s="92">
        <v>10.0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92" t="s">
        <v>62</v>
      </c>
      <c r="U46" s="26"/>
      <c r="V46" s="26"/>
      <c r="W46" s="92">
        <v>200.0</v>
      </c>
      <c r="X46" s="92">
        <v>20.0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  <col customWidth="1" min="4" max="4" width="15.43"/>
    <col customWidth="1" min="6" max="6" width="19.57"/>
    <col customWidth="1" min="8" max="8" width="17.29"/>
    <col customWidth="1" min="16" max="16" width="17.14"/>
    <col customWidth="1" min="17" max="17" width="19.29"/>
    <col customWidth="1" min="18" max="18" width="21.43"/>
    <col customWidth="1" min="21" max="21" width="27.43"/>
    <col customWidth="1" min="22" max="22" width="31.57"/>
    <col customWidth="1" min="23" max="23" width="15.86"/>
    <col customWidth="1" min="27" max="27" width="21.71"/>
  </cols>
  <sheetData>
    <row r="1" ht="20.25" customHeight="1">
      <c r="A1" s="20"/>
      <c r="B1" s="20" t="s">
        <v>0</v>
      </c>
      <c r="C1" s="20" t="s">
        <v>1</v>
      </c>
      <c r="D1" s="20" t="s">
        <v>2</v>
      </c>
      <c r="E1" s="20" t="s">
        <v>3</v>
      </c>
      <c r="F1" s="21" t="s">
        <v>4</v>
      </c>
      <c r="G1" s="22" t="s">
        <v>6</v>
      </c>
      <c r="H1" s="23" t="s">
        <v>7</v>
      </c>
      <c r="I1" s="23" t="s">
        <v>8</v>
      </c>
      <c r="J1" s="22" t="s">
        <v>5</v>
      </c>
      <c r="K1" s="20" t="s">
        <v>9</v>
      </c>
      <c r="L1" s="23" t="s">
        <v>10</v>
      </c>
      <c r="M1" s="20" t="s">
        <v>11</v>
      </c>
      <c r="N1" s="20" t="s">
        <v>24</v>
      </c>
      <c r="O1" s="20" t="s">
        <v>25</v>
      </c>
      <c r="P1" s="20" t="s">
        <v>12</v>
      </c>
      <c r="Q1" s="20" t="s">
        <v>13</v>
      </c>
      <c r="R1" s="20" t="s">
        <v>14</v>
      </c>
      <c r="S1" s="25" t="s">
        <v>16</v>
      </c>
      <c r="T1" s="25" t="s">
        <v>17</v>
      </c>
      <c r="U1" s="20" t="s">
        <v>26</v>
      </c>
      <c r="V1" s="20" t="s">
        <v>27</v>
      </c>
      <c r="W1" s="25"/>
      <c r="X1" s="25"/>
      <c r="Y1" s="26"/>
      <c r="Z1" s="26"/>
      <c r="AA1" s="27"/>
      <c r="AB1" s="26"/>
      <c r="AC1" s="26"/>
      <c r="AD1" s="26"/>
      <c r="AE1" s="26"/>
      <c r="AF1" s="26"/>
      <c r="AG1" s="26"/>
      <c r="AH1" s="26"/>
    </row>
    <row r="2" ht="20.25" customHeight="1">
      <c r="A2" s="28" t="s">
        <v>18</v>
      </c>
      <c r="B2" s="29">
        <v>1.0E7</v>
      </c>
      <c r="C2" s="30">
        <f t="shared" ref="C2:C14" si="1">SUM(B2/P2)</f>
        <v>2.448979592</v>
      </c>
      <c r="D2" s="28">
        <v>120.0</v>
      </c>
      <c r="E2" s="31">
        <f t="shared" ref="E2:E13" si="2">SUM(B2/D2)</f>
        <v>83333.33333</v>
      </c>
      <c r="F2" s="32">
        <v>0.005</v>
      </c>
      <c r="G2" s="33">
        <v>0.05</v>
      </c>
      <c r="H2" s="31">
        <f t="shared" ref="H2:H13" si="3">SUM(J2*G2)</f>
        <v>20.83333333</v>
      </c>
      <c r="I2" s="34">
        <f>SUM(J2*G2)</f>
        <v>20.83333333</v>
      </c>
      <c r="J2" s="31">
        <f>SUM(E2*F2)</f>
        <v>416.6666667</v>
      </c>
      <c r="K2" s="29">
        <v>9800.0</v>
      </c>
      <c r="L2" s="31">
        <f t="shared" ref="L2:L13" si="4">SUM((K2*0.15)*J2)</f>
        <v>612500</v>
      </c>
      <c r="M2" s="31">
        <f t="shared" ref="M2:M13" si="5">SUM(P2*0.2)</f>
        <v>816666.6667</v>
      </c>
      <c r="N2" s="31"/>
      <c r="O2" s="31">
        <f t="shared" ref="O2:O8" si="6">SUM(P2*0.07)</f>
        <v>285833.3333</v>
      </c>
      <c r="P2" s="31">
        <f>SUM(J2*K2)</f>
        <v>4083333.333</v>
      </c>
      <c r="Q2" s="31">
        <f t="shared" ref="Q2:Q14" si="7">SUM((P2-B2)-L2)</f>
        <v>-6529166.667</v>
      </c>
      <c r="R2" s="36">
        <f t="shared" ref="R2:R14" si="8">SUM(P2/(B2+L2)-1)</f>
        <v>-0.6152336082</v>
      </c>
      <c r="S2" s="37">
        <f t="shared" ref="S2:S13" si="9">SUM(P2-(B2+L2+M2+O2))</f>
        <v>-7631666.667</v>
      </c>
      <c r="T2" s="38">
        <f t="shared" ref="T2:T14" si="10">SUM((P2-(B2+L2+M2+O2))/P2)</f>
        <v>-1.868979592</v>
      </c>
      <c r="U2" s="31">
        <f t="shared" ref="U2:U13" si="11">SUM(P2*0.05)</f>
        <v>204166.6667</v>
      </c>
      <c r="V2" s="39">
        <v>0.0</v>
      </c>
      <c r="W2" s="40"/>
      <c r="X2" s="40"/>
      <c r="Y2" s="41"/>
      <c r="Z2" s="41"/>
      <c r="AA2" s="42"/>
      <c r="AB2" s="41"/>
      <c r="AC2" s="41"/>
      <c r="AD2" s="41"/>
      <c r="AE2" s="41"/>
      <c r="AF2" s="41"/>
      <c r="AG2" s="41"/>
      <c r="AH2" s="41"/>
    </row>
    <row r="3" ht="20.25" customHeight="1">
      <c r="A3" s="28" t="s">
        <v>19</v>
      </c>
      <c r="B3" s="29">
        <v>1.5E7</v>
      </c>
      <c r="C3" s="30">
        <f t="shared" si="1"/>
        <v>1.153329374</v>
      </c>
      <c r="D3" s="28">
        <v>100.0</v>
      </c>
      <c r="E3" s="31">
        <f t="shared" si="2"/>
        <v>150000</v>
      </c>
      <c r="F3" s="32">
        <v>0.008</v>
      </c>
      <c r="G3" s="33">
        <v>0.07</v>
      </c>
      <c r="H3" s="31">
        <f t="shared" si="3"/>
        <v>85.45833333</v>
      </c>
      <c r="I3" s="34">
        <f t="shared" ref="I3:I14" si="12">SUM(H3+I2)</f>
        <v>106.2916667</v>
      </c>
      <c r="J3" s="31">
        <f t="shared" ref="J3:J13" si="13">SUM((E3*F3)+I2)</f>
        <v>1220.833333</v>
      </c>
      <c r="K3" s="29">
        <v>9800.0</v>
      </c>
      <c r="L3" s="31">
        <f t="shared" si="4"/>
        <v>1794625</v>
      </c>
      <c r="M3" s="31">
        <f t="shared" si="5"/>
        <v>2601165</v>
      </c>
      <c r="N3" s="31"/>
      <c r="O3" s="31">
        <f t="shared" si="6"/>
        <v>910407.75</v>
      </c>
      <c r="P3" s="31">
        <f>SUM((J3*K3)+(I3*K3))</f>
        <v>13005825</v>
      </c>
      <c r="Q3" s="31">
        <f t="shared" si="7"/>
        <v>-3788800</v>
      </c>
      <c r="R3" s="36">
        <f t="shared" si="8"/>
        <v>-0.2255959868</v>
      </c>
      <c r="S3" s="37">
        <f t="shared" si="9"/>
        <v>-7300372.75</v>
      </c>
      <c r="T3" s="38">
        <f t="shared" si="10"/>
        <v>-0.561315622</v>
      </c>
      <c r="U3" s="31">
        <f t="shared" si="11"/>
        <v>650291.25</v>
      </c>
      <c r="V3" s="39">
        <v>0.0</v>
      </c>
      <c r="W3" s="44"/>
      <c r="X3" s="45"/>
      <c r="Y3" s="41"/>
      <c r="Z3" s="41"/>
      <c r="AA3" s="46"/>
      <c r="AB3" s="41"/>
      <c r="AC3" s="41"/>
      <c r="AD3" s="41"/>
      <c r="AE3" s="41"/>
      <c r="AF3" s="41"/>
      <c r="AG3" s="41"/>
      <c r="AH3" s="41"/>
    </row>
    <row r="4" ht="20.25" customHeight="1">
      <c r="A4" s="28" t="s">
        <v>20</v>
      </c>
      <c r="B4" s="29">
        <v>2.5E7</v>
      </c>
      <c r="C4" s="30">
        <f t="shared" si="1"/>
        <v>0.9147599454</v>
      </c>
      <c r="D4" s="28">
        <v>100.0</v>
      </c>
      <c r="E4" s="31">
        <f t="shared" si="2"/>
        <v>250000</v>
      </c>
      <c r="F4" s="32">
        <v>0.01</v>
      </c>
      <c r="G4" s="33">
        <v>0.07</v>
      </c>
      <c r="H4" s="31">
        <f t="shared" si="3"/>
        <v>182.4404167</v>
      </c>
      <c r="I4" s="34">
        <f t="shared" si="12"/>
        <v>288.7320833</v>
      </c>
      <c r="J4" s="31">
        <f t="shared" si="13"/>
        <v>2606.291667</v>
      </c>
      <c r="K4" s="29">
        <v>9800.0</v>
      </c>
      <c r="L4" s="31">
        <f t="shared" si="4"/>
        <v>3831248.75</v>
      </c>
      <c r="M4" s="31">
        <f t="shared" si="5"/>
        <v>5465914.883</v>
      </c>
      <c r="N4" s="31"/>
      <c r="O4" s="31">
        <f t="shared" si="6"/>
        <v>1913070.209</v>
      </c>
      <c r="P4" s="31">
        <f t="shared" ref="P4:P13" si="14">SUM((J4*K4)+(H4*K4))</f>
        <v>27329574.42</v>
      </c>
      <c r="Q4" s="31">
        <f t="shared" si="7"/>
        <v>-1501674.333</v>
      </c>
      <c r="R4" s="36">
        <f t="shared" si="8"/>
        <v>-0.05208495637</v>
      </c>
      <c r="S4" s="37">
        <f t="shared" si="9"/>
        <v>-8880659.426</v>
      </c>
      <c r="T4" s="38">
        <f t="shared" si="10"/>
        <v>-0.3249468612</v>
      </c>
      <c r="U4" s="31">
        <f t="shared" si="11"/>
        <v>1366478.721</v>
      </c>
      <c r="V4" s="39">
        <v>0.0</v>
      </c>
      <c r="W4" s="47"/>
      <c r="X4" s="47"/>
      <c r="Y4" s="48"/>
      <c r="Z4" s="48"/>
      <c r="AA4" s="49"/>
      <c r="AB4" s="48"/>
      <c r="AC4" s="48"/>
      <c r="AD4" s="48"/>
      <c r="AE4" s="48"/>
      <c r="AF4" s="48"/>
      <c r="AG4" s="48"/>
      <c r="AH4" s="48"/>
    </row>
    <row r="5" ht="20.25" customHeight="1">
      <c r="A5" s="28" t="s">
        <v>21</v>
      </c>
      <c r="B5" s="29">
        <v>3.0E7</v>
      </c>
      <c r="C5" s="30">
        <f t="shared" si="1"/>
        <v>0.7322825608</v>
      </c>
      <c r="D5" s="28">
        <v>100.0</v>
      </c>
      <c r="E5" s="31">
        <f t="shared" si="2"/>
        <v>300000</v>
      </c>
      <c r="F5" s="32">
        <v>0.012</v>
      </c>
      <c r="G5" s="33">
        <v>0.075</v>
      </c>
      <c r="H5" s="31">
        <f t="shared" si="3"/>
        <v>291.6549063</v>
      </c>
      <c r="I5" s="34">
        <f t="shared" si="12"/>
        <v>580.3869896</v>
      </c>
      <c r="J5" s="31">
        <f t="shared" si="13"/>
        <v>3888.732083</v>
      </c>
      <c r="K5" s="29">
        <v>9800.0</v>
      </c>
      <c r="L5" s="31">
        <f t="shared" si="4"/>
        <v>5716436.163</v>
      </c>
      <c r="M5" s="31">
        <f t="shared" si="5"/>
        <v>8193558.5</v>
      </c>
      <c r="N5" s="31"/>
      <c r="O5" s="31">
        <f t="shared" si="6"/>
        <v>2867745.475</v>
      </c>
      <c r="P5" s="31">
        <f t="shared" si="14"/>
        <v>40967792.5</v>
      </c>
      <c r="Q5" s="31">
        <f t="shared" si="7"/>
        <v>5251356.335</v>
      </c>
      <c r="R5" s="36">
        <f t="shared" si="8"/>
        <v>0.1470291244</v>
      </c>
      <c r="S5" s="37">
        <f t="shared" si="9"/>
        <v>-5809947.639</v>
      </c>
      <c r="T5" s="38">
        <f t="shared" si="10"/>
        <v>-0.1418174445</v>
      </c>
      <c r="U5" s="31">
        <f t="shared" si="11"/>
        <v>2048389.625</v>
      </c>
      <c r="V5" s="39">
        <v>0.0</v>
      </c>
      <c r="W5" s="51"/>
      <c r="X5" s="53"/>
      <c r="Y5" s="41"/>
      <c r="Z5" s="41"/>
      <c r="AA5" s="55"/>
      <c r="AB5" s="41"/>
      <c r="AC5" s="41"/>
      <c r="AD5" s="41"/>
      <c r="AE5" s="41"/>
      <c r="AF5" s="41"/>
      <c r="AG5" s="41"/>
      <c r="AH5" s="41"/>
    </row>
    <row r="6" ht="20.25" customHeight="1">
      <c r="A6" s="28" t="s">
        <v>22</v>
      </c>
      <c r="B6" s="29">
        <v>4.0E7</v>
      </c>
      <c r="C6" s="30">
        <f t="shared" si="1"/>
        <v>0.5971640754</v>
      </c>
      <c r="D6" s="28">
        <v>90.0</v>
      </c>
      <c r="E6" s="31">
        <f t="shared" si="2"/>
        <v>444444.4444</v>
      </c>
      <c r="F6" s="32">
        <v>0.013</v>
      </c>
      <c r="G6" s="33">
        <v>0.075</v>
      </c>
      <c r="H6" s="31">
        <f t="shared" si="3"/>
        <v>476.8623576</v>
      </c>
      <c r="I6" s="34">
        <f t="shared" si="12"/>
        <v>1057.249347</v>
      </c>
      <c r="J6" s="31">
        <f t="shared" si="13"/>
        <v>6358.164767</v>
      </c>
      <c r="K6" s="29">
        <v>9800.0</v>
      </c>
      <c r="L6" s="31">
        <f t="shared" si="4"/>
        <v>9346502.208</v>
      </c>
      <c r="M6" s="31">
        <f t="shared" si="5"/>
        <v>13396653.16</v>
      </c>
      <c r="N6" s="31"/>
      <c r="O6" s="31">
        <f t="shared" si="6"/>
        <v>4688828.608</v>
      </c>
      <c r="P6" s="31">
        <f t="shared" si="14"/>
        <v>66983265.82</v>
      </c>
      <c r="Q6" s="31">
        <f t="shared" si="7"/>
        <v>17636763.62</v>
      </c>
      <c r="R6" s="36">
        <f t="shared" si="8"/>
        <v>0.3574065603</v>
      </c>
      <c r="S6" s="37">
        <f t="shared" si="9"/>
        <v>-448718.1564</v>
      </c>
      <c r="T6" s="38">
        <f t="shared" si="10"/>
        <v>-0.006698959074</v>
      </c>
      <c r="U6" s="31">
        <f t="shared" si="11"/>
        <v>3349163.291</v>
      </c>
      <c r="V6" s="39">
        <v>0.0</v>
      </c>
      <c r="W6" s="47"/>
      <c r="X6" s="47"/>
      <c r="Y6" s="41"/>
      <c r="Z6" s="41"/>
      <c r="AA6" s="49"/>
      <c r="AB6" s="41"/>
      <c r="AC6" s="41"/>
      <c r="AD6" s="41"/>
      <c r="AE6" s="41"/>
      <c r="AF6" s="41"/>
      <c r="AG6" s="41"/>
      <c r="AH6" s="41"/>
    </row>
    <row r="7" ht="20.25" customHeight="1">
      <c r="A7" s="28" t="s">
        <v>23</v>
      </c>
      <c r="B7" s="29">
        <v>5.0E7</v>
      </c>
      <c r="C7" s="30">
        <f t="shared" si="1"/>
        <v>0.5301711129</v>
      </c>
      <c r="D7" s="28">
        <v>95.0</v>
      </c>
      <c r="E7" s="31">
        <f t="shared" si="2"/>
        <v>526315.7895</v>
      </c>
      <c r="F7" s="32">
        <v>0.015</v>
      </c>
      <c r="G7" s="33">
        <v>0.075</v>
      </c>
      <c r="H7" s="31">
        <f t="shared" si="3"/>
        <v>671.3989642</v>
      </c>
      <c r="I7" s="34">
        <f t="shared" si="12"/>
        <v>1728.648311</v>
      </c>
      <c r="J7" s="31">
        <f t="shared" si="13"/>
        <v>8951.986189</v>
      </c>
      <c r="K7" s="29">
        <v>9800.0</v>
      </c>
      <c r="L7" s="31">
        <f t="shared" si="4"/>
        <v>13159419.7</v>
      </c>
      <c r="M7" s="31">
        <f t="shared" si="5"/>
        <v>18861834.9</v>
      </c>
      <c r="N7" s="31"/>
      <c r="O7" s="31">
        <f t="shared" si="6"/>
        <v>6601642.215</v>
      </c>
      <c r="P7" s="31">
        <f t="shared" si="14"/>
        <v>94309174.5</v>
      </c>
      <c r="Q7" s="31">
        <f t="shared" si="7"/>
        <v>31149754.81</v>
      </c>
      <c r="R7" s="36">
        <f t="shared" si="8"/>
        <v>0.4931925428</v>
      </c>
      <c r="S7" s="37">
        <f t="shared" si="9"/>
        <v>5686277.689</v>
      </c>
      <c r="T7" s="38">
        <f t="shared" si="10"/>
        <v>0.06029400341</v>
      </c>
      <c r="U7" s="31">
        <f t="shared" si="11"/>
        <v>4715458.725</v>
      </c>
      <c r="V7" s="37">
        <f t="shared" ref="V7:V13" si="15">SUM(S7*0.25)</f>
        <v>1421569.422</v>
      </c>
      <c r="W7" s="51"/>
      <c r="X7" s="53"/>
      <c r="Y7" s="41"/>
      <c r="Z7" s="41"/>
      <c r="AA7" s="55"/>
      <c r="AB7" s="41"/>
      <c r="AC7" s="41"/>
      <c r="AD7" s="41"/>
      <c r="AE7" s="41"/>
      <c r="AF7" s="41"/>
      <c r="AG7" s="41"/>
      <c r="AH7" s="41"/>
    </row>
    <row r="8" ht="20.25" customHeight="1">
      <c r="A8" s="28" t="s">
        <v>28</v>
      </c>
      <c r="B8" s="29">
        <v>6.5E7</v>
      </c>
      <c r="C8" s="30">
        <f t="shared" si="1"/>
        <v>0.461811742</v>
      </c>
      <c r="D8" s="28">
        <v>95.0</v>
      </c>
      <c r="E8" s="31">
        <f t="shared" si="2"/>
        <v>684210.5263</v>
      </c>
      <c r="F8" s="32">
        <v>0.017</v>
      </c>
      <c r="G8" s="33">
        <v>0.075</v>
      </c>
      <c r="H8" s="31">
        <f t="shared" si="3"/>
        <v>1002.017044</v>
      </c>
      <c r="I8" s="34">
        <f t="shared" si="12"/>
        <v>2730.665356</v>
      </c>
      <c r="J8" s="31">
        <f t="shared" si="13"/>
        <v>13360.22726</v>
      </c>
      <c r="K8" s="29">
        <v>9800.0</v>
      </c>
      <c r="L8" s="31">
        <f t="shared" si="4"/>
        <v>19639534.07</v>
      </c>
      <c r="M8" s="31">
        <f t="shared" si="5"/>
        <v>28149998.83</v>
      </c>
      <c r="N8" s="31"/>
      <c r="O8" s="31">
        <f t="shared" si="6"/>
        <v>9852499.592</v>
      </c>
      <c r="P8" s="31">
        <f t="shared" si="14"/>
        <v>140749994.2</v>
      </c>
      <c r="Q8" s="31">
        <f t="shared" si="7"/>
        <v>56110460.1</v>
      </c>
      <c r="R8" s="36">
        <f t="shared" si="8"/>
        <v>0.6629344161</v>
      </c>
      <c r="S8" s="37">
        <f t="shared" si="9"/>
        <v>18107961.67</v>
      </c>
      <c r="T8" s="38">
        <f t="shared" si="10"/>
        <v>0.1286533742</v>
      </c>
      <c r="U8" s="31">
        <f t="shared" si="11"/>
        <v>7037499.709</v>
      </c>
      <c r="V8" s="37">
        <f t="shared" si="15"/>
        <v>4526990.419</v>
      </c>
      <c r="W8" s="47"/>
      <c r="X8" s="47"/>
      <c r="Y8" s="41"/>
      <c r="Z8" s="41"/>
      <c r="AA8" s="49"/>
      <c r="AB8" s="41"/>
      <c r="AC8" s="41"/>
      <c r="AD8" s="41"/>
      <c r="AE8" s="41"/>
      <c r="AF8" s="41"/>
      <c r="AG8" s="41"/>
      <c r="AH8" s="41"/>
    </row>
    <row r="9" ht="20.25" customHeight="1">
      <c r="A9" s="28" t="s">
        <v>29</v>
      </c>
      <c r="B9" s="29">
        <v>7.0E7</v>
      </c>
      <c r="C9" s="30">
        <f t="shared" si="1"/>
        <v>0.4355067499</v>
      </c>
      <c r="D9" s="28">
        <v>95.0</v>
      </c>
      <c r="E9" s="31">
        <f t="shared" si="2"/>
        <v>736842.1053</v>
      </c>
      <c r="F9" s="32">
        <v>0.017</v>
      </c>
      <c r="G9" s="33">
        <v>0.075</v>
      </c>
      <c r="H9" s="31">
        <f t="shared" si="3"/>
        <v>1144.273586</v>
      </c>
      <c r="I9" s="34">
        <f t="shared" si="12"/>
        <v>3874.938942</v>
      </c>
      <c r="J9" s="31">
        <f t="shared" si="13"/>
        <v>15256.98115</v>
      </c>
      <c r="K9" s="29">
        <v>9800.0</v>
      </c>
      <c r="L9" s="31">
        <f t="shared" si="4"/>
        <v>22427762.28</v>
      </c>
      <c r="M9" s="31">
        <f t="shared" si="5"/>
        <v>32146459.27</v>
      </c>
      <c r="N9" s="31"/>
      <c r="O9" s="31">
        <f t="shared" ref="O9:O12" si="16">SUM(P9*0.05)</f>
        <v>8036614.818</v>
      </c>
      <c r="P9" s="31">
        <f t="shared" si="14"/>
        <v>160732296.4</v>
      </c>
      <c r="Q9" s="31">
        <f t="shared" si="7"/>
        <v>68304534.08</v>
      </c>
      <c r="R9" s="36">
        <f t="shared" si="8"/>
        <v>0.7390045198</v>
      </c>
      <c r="S9" s="37">
        <f t="shared" si="9"/>
        <v>28121459.99</v>
      </c>
      <c r="T9" s="38">
        <f t="shared" si="10"/>
        <v>0.1749583663</v>
      </c>
      <c r="U9" s="31">
        <f t="shared" si="11"/>
        <v>8036614.818</v>
      </c>
      <c r="V9" s="37">
        <f t="shared" si="15"/>
        <v>7030364.998</v>
      </c>
      <c r="W9" s="51"/>
      <c r="X9" s="53"/>
      <c r="Y9" s="41"/>
      <c r="Z9" s="41"/>
      <c r="AA9" s="55"/>
      <c r="AB9" s="41"/>
      <c r="AC9" s="41"/>
      <c r="AD9" s="41"/>
      <c r="AE9" s="41"/>
      <c r="AF9" s="41"/>
      <c r="AG9" s="41"/>
      <c r="AH9" s="41"/>
    </row>
    <row r="10" ht="20.25" customHeight="1">
      <c r="A10" s="28" t="s">
        <v>30</v>
      </c>
      <c r="B10" s="29">
        <v>8.0E7</v>
      </c>
      <c r="C10" s="30">
        <f t="shared" si="1"/>
        <v>0.3981122438</v>
      </c>
      <c r="D10" s="28">
        <v>90.0</v>
      </c>
      <c r="E10" s="31">
        <f t="shared" si="2"/>
        <v>888888.8889</v>
      </c>
      <c r="F10" s="32">
        <v>0.017</v>
      </c>
      <c r="G10" s="33">
        <v>0.08</v>
      </c>
      <c r="H10" s="31">
        <f t="shared" si="3"/>
        <v>1518.884004</v>
      </c>
      <c r="I10" s="34">
        <f t="shared" si="12"/>
        <v>5393.822946</v>
      </c>
      <c r="J10" s="31">
        <f t="shared" si="13"/>
        <v>18986.05005</v>
      </c>
      <c r="K10" s="29">
        <v>9800.0</v>
      </c>
      <c r="L10" s="31">
        <f t="shared" si="4"/>
        <v>27909493.58</v>
      </c>
      <c r="M10" s="31">
        <f t="shared" si="5"/>
        <v>40189670.75</v>
      </c>
      <c r="N10" s="31"/>
      <c r="O10" s="31">
        <f t="shared" si="16"/>
        <v>10047417.69</v>
      </c>
      <c r="P10" s="31">
        <f t="shared" si="14"/>
        <v>200948353.8</v>
      </c>
      <c r="Q10" s="31">
        <f t="shared" si="7"/>
        <v>93038860.18</v>
      </c>
      <c r="R10" s="36">
        <f t="shared" si="8"/>
        <v>0.8621934651</v>
      </c>
      <c r="S10" s="37">
        <f t="shared" si="9"/>
        <v>42801771.74</v>
      </c>
      <c r="T10" s="38">
        <f t="shared" si="10"/>
        <v>0.2129988673</v>
      </c>
      <c r="U10" s="31">
        <f t="shared" si="11"/>
        <v>10047417.69</v>
      </c>
      <c r="V10" s="37">
        <f t="shared" si="15"/>
        <v>10700442.94</v>
      </c>
      <c r="W10" s="47"/>
      <c r="X10" s="47"/>
      <c r="Y10" s="48"/>
      <c r="Z10" s="48"/>
      <c r="AA10" s="49"/>
      <c r="AB10" s="48"/>
      <c r="AC10" s="48"/>
      <c r="AD10" s="48"/>
      <c r="AE10" s="48"/>
      <c r="AF10" s="48"/>
      <c r="AG10" s="48"/>
      <c r="AH10" s="48"/>
    </row>
    <row r="11" ht="20.25" customHeight="1">
      <c r="A11" s="28" t="s">
        <v>31</v>
      </c>
      <c r="B11" s="29">
        <v>1.2E8</v>
      </c>
      <c r="C11" s="30">
        <f t="shared" si="1"/>
        <v>0.3680458431</v>
      </c>
      <c r="D11" s="28">
        <v>85.0</v>
      </c>
      <c r="E11" s="31">
        <f t="shared" si="2"/>
        <v>1411764.706</v>
      </c>
      <c r="F11" s="32">
        <v>0.018</v>
      </c>
      <c r="G11" s="33">
        <v>0.08</v>
      </c>
      <c r="H11" s="31">
        <f t="shared" si="3"/>
        <v>2464.447012</v>
      </c>
      <c r="I11" s="34">
        <f t="shared" si="12"/>
        <v>7858.269958</v>
      </c>
      <c r="J11" s="31">
        <f t="shared" si="13"/>
        <v>30805.58765</v>
      </c>
      <c r="K11" s="29">
        <v>9800.0</v>
      </c>
      <c r="L11" s="31">
        <f t="shared" si="4"/>
        <v>45284213.85</v>
      </c>
      <c r="M11" s="31">
        <f t="shared" si="5"/>
        <v>65209267.94</v>
      </c>
      <c r="N11" s="31"/>
      <c r="O11" s="31">
        <f t="shared" si="16"/>
        <v>16302316.99</v>
      </c>
      <c r="P11" s="31">
        <f t="shared" si="14"/>
        <v>326046339.7</v>
      </c>
      <c r="Q11" s="31">
        <f t="shared" si="7"/>
        <v>160762125.9</v>
      </c>
      <c r="R11" s="36">
        <f t="shared" si="8"/>
        <v>0.972640533</v>
      </c>
      <c r="S11" s="37">
        <f t="shared" si="9"/>
        <v>79250540.93</v>
      </c>
      <c r="T11" s="38">
        <f t="shared" si="10"/>
        <v>0.243065268</v>
      </c>
      <c r="U11" s="31">
        <f t="shared" si="11"/>
        <v>16302316.99</v>
      </c>
      <c r="V11" s="37">
        <f t="shared" si="15"/>
        <v>19812635.23</v>
      </c>
      <c r="W11" s="51"/>
      <c r="X11" s="53"/>
      <c r="Y11" s="48"/>
      <c r="Z11" s="48"/>
      <c r="AA11" s="55"/>
      <c r="AB11" s="48"/>
      <c r="AC11" s="48"/>
      <c r="AD11" s="48"/>
      <c r="AE11" s="48"/>
      <c r="AF11" s="48"/>
      <c r="AG11" s="48"/>
      <c r="AH11" s="48"/>
    </row>
    <row r="12" ht="20.25" customHeight="1">
      <c r="A12" s="28" t="s">
        <v>32</v>
      </c>
      <c r="B12" s="29">
        <v>1.5E8</v>
      </c>
      <c r="C12" s="30">
        <f t="shared" si="1"/>
        <v>0.3543982721</v>
      </c>
      <c r="D12" s="28">
        <v>85.0</v>
      </c>
      <c r="E12" s="31">
        <f t="shared" si="2"/>
        <v>1764705.882</v>
      </c>
      <c r="F12" s="32">
        <v>0.018</v>
      </c>
      <c r="G12" s="33">
        <v>0.09</v>
      </c>
      <c r="H12" s="31">
        <f t="shared" si="3"/>
        <v>3566.067826</v>
      </c>
      <c r="I12" s="34">
        <f t="shared" si="12"/>
        <v>11424.33778</v>
      </c>
      <c r="J12" s="31">
        <f t="shared" si="13"/>
        <v>39622.97584</v>
      </c>
      <c r="K12" s="29">
        <v>9800.0</v>
      </c>
      <c r="L12" s="31">
        <f t="shared" si="4"/>
        <v>58245774.49</v>
      </c>
      <c r="M12" s="31">
        <f t="shared" si="5"/>
        <v>84650525.59</v>
      </c>
      <c r="N12" s="31"/>
      <c r="O12" s="31">
        <f t="shared" si="16"/>
        <v>21162631.4</v>
      </c>
      <c r="P12" s="31">
        <f t="shared" si="14"/>
        <v>423252627.9</v>
      </c>
      <c r="Q12" s="31">
        <f t="shared" si="7"/>
        <v>215006853.4</v>
      </c>
      <c r="R12" s="36">
        <f t="shared" si="8"/>
        <v>1.032466824</v>
      </c>
      <c r="S12" s="37">
        <f t="shared" si="9"/>
        <v>109193696.5</v>
      </c>
      <c r="T12" s="38">
        <f t="shared" si="10"/>
        <v>0.257987049</v>
      </c>
      <c r="U12" s="31">
        <f t="shared" si="11"/>
        <v>21162631.4</v>
      </c>
      <c r="V12" s="37">
        <f t="shared" si="15"/>
        <v>27298424.11</v>
      </c>
      <c r="W12" s="47"/>
      <c r="X12" s="47"/>
      <c r="Y12" s="48"/>
      <c r="Z12" s="48"/>
      <c r="AA12" s="49"/>
      <c r="AB12" s="48"/>
      <c r="AC12" s="48"/>
      <c r="AD12" s="48"/>
      <c r="AE12" s="48"/>
      <c r="AF12" s="48"/>
      <c r="AG12" s="48"/>
      <c r="AH12" s="48"/>
    </row>
    <row r="13" ht="20.25" customHeight="1">
      <c r="A13" s="28" t="s">
        <v>33</v>
      </c>
      <c r="B13" s="29">
        <v>1.58E8</v>
      </c>
      <c r="C13" s="30">
        <f t="shared" si="1"/>
        <v>0.3043413904</v>
      </c>
      <c r="D13" s="28">
        <v>85.0</v>
      </c>
      <c r="E13" s="31">
        <f t="shared" si="2"/>
        <v>1858823.529</v>
      </c>
      <c r="F13" s="32">
        <v>0.02</v>
      </c>
      <c r="G13" s="33">
        <v>0.09</v>
      </c>
      <c r="H13" s="31">
        <f t="shared" si="3"/>
        <v>4374.072753</v>
      </c>
      <c r="I13" s="34">
        <f t="shared" si="12"/>
        <v>15798.41054</v>
      </c>
      <c r="J13" s="31">
        <f t="shared" si="13"/>
        <v>48600.80837</v>
      </c>
      <c r="K13" s="29">
        <v>9800.0</v>
      </c>
      <c r="L13" s="31">
        <f t="shared" si="4"/>
        <v>71443188.31</v>
      </c>
      <c r="M13" s="31">
        <f t="shared" si="5"/>
        <v>103830767</v>
      </c>
      <c r="N13" s="31"/>
      <c r="O13" s="31">
        <f>SUM(P13*0.07)</f>
        <v>36340768.45</v>
      </c>
      <c r="P13" s="31">
        <f t="shared" si="14"/>
        <v>519153835</v>
      </c>
      <c r="Q13" s="31">
        <f t="shared" si="7"/>
        <v>289710646.7</v>
      </c>
      <c r="R13" s="36">
        <f t="shared" si="8"/>
        <v>1.262668327</v>
      </c>
      <c r="S13" s="37">
        <f t="shared" si="9"/>
        <v>149539111.3</v>
      </c>
      <c r="T13" s="38">
        <f t="shared" si="10"/>
        <v>0.2880439307</v>
      </c>
      <c r="U13" s="31">
        <f t="shared" si="11"/>
        <v>25957691.75</v>
      </c>
      <c r="V13" s="37">
        <f t="shared" si="15"/>
        <v>37384777.82</v>
      </c>
      <c r="W13" s="51"/>
      <c r="X13" s="53"/>
      <c r="Y13" s="48"/>
      <c r="Z13" s="48"/>
      <c r="AA13" s="55"/>
      <c r="AB13" s="48"/>
      <c r="AC13" s="48"/>
      <c r="AD13" s="48"/>
      <c r="AE13" s="48"/>
      <c r="AF13" s="48"/>
      <c r="AG13" s="48"/>
      <c r="AH13" s="48"/>
    </row>
    <row r="14" ht="20.25" customHeight="1">
      <c r="A14" s="65" t="s">
        <v>44</v>
      </c>
      <c r="B14" s="29">
        <f>SUM(B2:B13)</f>
        <v>813000000</v>
      </c>
      <c r="C14" s="30">
        <f t="shared" si="1"/>
        <v>0.4029615118</v>
      </c>
      <c r="D14" s="28">
        <v>85.0</v>
      </c>
      <c r="E14" s="29">
        <f>SUM(E2:E13)</f>
        <v>9099329.205</v>
      </c>
      <c r="F14" s="32">
        <v>0.018</v>
      </c>
      <c r="G14" s="33">
        <v>0.1</v>
      </c>
      <c r="H14" s="29">
        <f>SUM(H2:H13)</f>
        <v>15798.41054</v>
      </c>
      <c r="I14" s="34">
        <f t="shared" si="12"/>
        <v>31596.82107</v>
      </c>
      <c r="J14" s="29">
        <f>SUM(J2:J13)</f>
        <v>190075.305</v>
      </c>
      <c r="K14" s="29">
        <v>9800.0</v>
      </c>
      <c r="L14" s="29">
        <f t="shared" ref="L14:M14" si="17">SUM(L2:L13)</f>
        <v>279410698.4</v>
      </c>
      <c r="M14" s="29">
        <f t="shared" si="17"/>
        <v>403512482.5</v>
      </c>
      <c r="N14" s="29"/>
      <c r="O14" s="29">
        <f t="shared" ref="O14:P14" si="18">SUM(O2:O13)</f>
        <v>119009776.5</v>
      </c>
      <c r="P14" s="66">
        <f t="shared" si="18"/>
        <v>2017562413</v>
      </c>
      <c r="Q14" s="31">
        <f t="shared" si="7"/>
        <v>925151714.1</v>
      </c>
      <c r="R14" s="36">
        <f t="shared" si="8"/>
        <v>0.8468900163</v>
      </c>
      <c r="S14" s="29">
        <f>SUM(S2:S13)</f>
        <v>402629455.1</v>
      </c>
      <c r="T14" s="38">
        <f t="shared" si="10"/>
        <v>0.1995623296</v>
      </c>
      <c r="U14" s="29">
        <f t="shared" ref="U14:V14" si="19">SUM(U2:U13)</f>
        <v>100878120.6</v>
      </c>
      <c r="V14" s="29">
        <f t="shared" si="19"/>
        <v>108175204.9</v>
      </c>
      <c r="W14" s="40"/>
      <c r="X14" s="40"/>
      <c r="Y14" s="41"/>
      <c r="Z14" s="41"/>
      <c r="AA14" s="42"/>
      <c r="AB14" s="41"/>
      <c r="AC14" s="41"/>
      <c r="AD14" s="41"/>
      <c r="AE14" s="41"/>
      <c r="AF14" s="41"/>
      <c r="AG14" s="41"/>
      <c r="AH14" s="41"/>
    </row>
    <row r="15">
      <c r="A15" s="67"/>
      <c r="B15" s="67"/>
      <c r="C15" s="42"/>
      <c r="D15" s="67"/>
      <c r="E15" s="67"/>
      <c r="F15" s="68"/>
      <c r="G15" s="67"/>
      <c r="H15" s="67"/>
      <c r="I15" s="69"/>
      <c r="J15" s="67"/>
      <c r="K15" s="67"/>
      <c r="L15" s="67"/>
      <c r="M15" s="67"/>
      <c r="N15" s="67"/>
      <c r="O15" s="67"/>
      <c r="P15" s="67"/>
      <c r="Q15" s="42"/>
      <c r="R15" s="27"/>
      <c r="S15" s="67"/>
      <c r="T15" s="27"/>
      <c r="U15" s="67"/>
      <c r="V15" s="6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>
      <c r="A16" s="70" t="s">
        <v>47</v>
      </c>
      <c r="B16" s="70" t="s">
        <v>4</v>
      </c>
      <c r="C16" s="70" t="s">
        <v>6</v>
      </c>
      <c r="D16" s="71"/>
      <c r="E16" s="72" t="s">
        <v>49</v>
      </c>
      <c r="F16" s="73" t="s">
        <v>50</v>
      </c>
      <c r="G16" s="74"/>
      <c r="H16" s="74"/>
      <c r="I16" s="74"/>
      <c r="J16" s="75"/>
      <c r="K16" s="26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</row>
    <row r="17">
      <c r="A17" s="74"/>
      <c r="B17" s="74"/>
      <c r="C17" s="74"/>
      <c r="D17" s="74"/>
      <c r="E17" s="76" t="s">
        <v>18</v>
      </c>
      <c r="F17" s="77">
        <v>4083333.333333333</v>
      </c>
      <c r="G17" s="74"/>
      <c r="H17" s="74"/>
      <c r="I17" s="74"/>
      <c r="J17" s="78"/>
      <c r="K17" s="26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</row>
    <row r="18">
      <c r="A18" s="74"/>
      <c r="B18" s="74"/>
      <c r="C18" s="80"/>
      <c r="D18" s="74"/>
      <c r="E18" s="81" t="s">
        <v>19</v>
      </c>
      <c r="F18" s="77">
        <v>1.3005825E7</v>
      </c>
      <c r="G18" s="82"/>
      <c r="H18" s="82"/>
      <c r="I18" s="82"/>
      <c r="J18" s="78"/>
      <c r="K18" s="27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74"/>
      <c r="AC18" s="74"/>
      <c r="AD18" s="74"/>
      <c r="AE18" s="74"/>
      <c r="AF18" s="74"/>
      <c r="AG18" s="74"/>
      <c r="AH18" s="74"/>
    </row>
    <row r="19">
      <c r="A19" s="74"/>
      <c r="B19" s="74"/>
      <c r="C19" s="82"/>
      <c r="D19" s="74"/>
      <c r="E19" s="76" t="s">
        <v>20</v>
      </c>
      <c r="F19" s="77">
        <v>2.7329574416666664E7</v>
      </c>
      <c r="G19" s="82"/>
      <c r="H19" s="82"/>
      <c r="I19" s="82"/>
      <c r="J19" s="78"/>
      <c r="K19" s="27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74"/>
      <c r="AC19" s="74"/>
      <c r="AD19" s="74"/>
      <c r="AE19" s="74"/>
      <c r="AF19" s="74"/>
      <c r="AG19" s="74"/>
      <c r="AH19" s="74"/>
    </row>
    <row r="20">
      <c r="A20" s="74"/>
      <c r="B20" s="74"/>
      <c r="C20" s="82"/>
      <c r="D20" s="74"/>
      <c r="E20" s="81" t="s">
        <v>21</v>
      </c>
      <c r="F20" s="77">
        <v>4.096779249791666E7</v>
      </c>
      <c r="G20" s="82"/>
      <c r="H20" s="82"/>
      <c r="I20" s="82"/>
      <c r="J20" s="78"/>
      <c r="K20" s="27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74"/>
      <c r="AC20" s="74"/>
      <c r="AD20" s="74"/>
      <c r="AE20" s="74"/>
      <c r="AF20" s="74"/>
      <c r="AG20" s="74"/>
      <c r="AH20" s="74"/>
    </row>
    <row r="21">
      <c r="A21" s="74"/>
      <c r="B21" s="74"/>
      <c r="C21" s="71"/>
      <c r="D21" s="74"/>
      <c r="E21" s="76" t="s">
        <v>22</v>
      </c>
      <c r="F21" s="77">
        <v>6.69832658241493E7</v>
      </c>
      <c r="G21" s="83"/>
      <c r="H21" s="83"/>
      <c r="I21" s="83"/>
      <c r="J21" s="78"/>
      <c r="K21" s="26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74"/>
      <c r="AC21" s="74"/>
      <c r="AD21" s="74"/>
      <c r="AE21" s="74"/>
      <c r="AF21" s="74"/>
      <c r="AG21" s="74"/>
      <c r="AH21" s="74"/>
    </row>
    <row r="22">
      <c r="A22" s="74"/>
      <c r="B22" s="74"/>
      <c r="C22" s="74"/>
      <c r="D22" s="74"/>
      <c r="E22" s="81" t="s">
        <v>23</v>
      </c>
      <c r="F22" s="77">
        <v>9.430917450365056E7</v>
      </c>
      <c r="G22" s="74"/>
      <c r="H22" s="74"/>
      <c r="I22" s="74"/>
      <c r="J22" s="78"/>
      <c r="K22" s="26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</row>
    <row r="23">
      <c r="A23" s="74"/>
      <c r="B23" s="74"/>
      <c r="C23" s="74"/>
      <c r="D23" s="74"/>
      <c r="E23" s="76" t="s">
        <v>28</v>
      </c>
      <c r="F23" s="77">
        <v>1.4074999417037174E8</v>
      </c>
      <c r="G23" s="74"/>
      <c r="H23" s="74"/>
      <c r="I23" s="74"/>
      <c r="J23" s="78"/>
      <c r="K23" s="26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</row>
    <row r="24">
      <c r="A24" s="74"/>
      <c r="B24" s="74"/>
      <c r="C24" s="74"/>
      <c r="D24" s="74"/>
      <c r="E24" s="81" t="s">
        <v>29</v>
      </c>
      <c r="F24" s="84">
        <v>1.6073229636472854E8</v>
      </c>
      <c r="G24" s="74"/>
      <c r="H24" s="74"/>
      <c r="I24" s="74"/>
      <c r="J24" s="78"/>
      <c r="K24" s="26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</row>
    <row r="25">
      <c r="A25" s="74"/>
      <c r="B25" s="74"/>
      <c r="C25" s="74"/>
      <c r="D25" s="74"/>
      <c r="E25" s="76" t="s">
        <v>30</v>
      </c>
      <c r="F25" s="77">
        <v>2.0094835375811738E8</v>
      </c>
      <c r="G25" s="74"/>
      <c r="H25" s="74"/>
      <c r="I25" s="74"/>
      <c r="J25" s="78"/>
      <c r="K25" s="26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</row>
    <row r="26">
      <c r="A26" s="74"/>
      <c r="B26" s="74"/>
      <c r="C26" s="74"/>
      <c r="D26" s="74"/>
      <c r="E26" s="81" t="s">
        <v>31</v>
      </c>
      <c r="F26" s="77">
        <v>3.2604633970582557E8</v>
      </c>
      <c r="G26" s="74"/>
      <c r="H26" s="74"/>
      <c r="I26" s="74"/>
      <c r="J26" s="78"/>
      <c r="K26" s="26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</row>
    <row r="27">
      <c r="A27" s="74"/>
      <c r="B27" s="74"/>
      <c r="C27" s="74"/>
      <c r="D27" s="74"/>
      <c r="E27" s="76" t="s">
        <v>32</v>
      </c>
      <c r="F27" s="77">
        <v>4.232526279264087E8</v>
      </c>
      <c r="G27" s="74"/>
      <c r="H27" s="74"/>
      <c r="I27" s="74"/>
      <c r="J27" s="78"/>
      <c r="K27" s="26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</row>
    <row r="28">
      <c r="A28" s="74"/>
      <c r="B28" s="74"/>
      <c r="C28" s="74"/>
      <c r="D28" s="74"/>
      <c r="E28" s="85" t="s">
        <v>33</v>
      </c>
      <c r="F28" s="77">
        <v>5.191538350280208E8</v>
      </c>
      <c r="G28" s="74"/>
      <c r="H28" s="74"/>
      <c r="I28" s="74"/>
      <c r="J28" s="78"/>
      <c r="K28" s="26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</row>
    <row r="29">
      <c r="A29" s="26"/>
      <c r="B29" s="26"/>
      <c r="C29" s="26"/>
      <c r="D29" s="26"/>
      <c r="E29" s="65" t="s">
        <v>44</v>
      </c>
      <c r="F29" s="86">
        <v>2.0175624125291893E9</v>
      </c>
      <c r="G29" s="26"/>
      <c r="H29" s="26"/>
      <c r="I29" s="26"/>
      <c r="J29" s="8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>
      <c r="A39" s="26"/>
      <c r="B39" s="26"/>
      <c r="C39" s="90">
        <f>SUM(P14)</f>
        <v>2017562413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>
      <c r="A40" s="26"/>
      <c r="B40" s="90">
        <f>SUM(B14+L14+M14+O14)</f>
        <v>1614932957</v>
      </c>
      <c r="C40" s="90">
        <f>SUM(B14+L14+M14+O14)</f>
        <v>1614932957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>
      <c r="A42" s="26"/>
      <c r="B42" s="26"/>
      <c r="C42" s="26"/>
      <c r="D42" s="26"/>
      <c r="E42" s="90">
        <f>SUM(C39-C40)</f>
        <v>402629455.1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>
      <c r="A44" s="26"/>
      <c r="B44" s="26"/>
      <c r="C44" s="26"/>
      <c r="D44" s="26"/>
      <c r="E44" s="91">
        <f>SUM(E42/C39)</f>
        <v>0.1995623296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92" t="s">
        <v>50</v>
      </c>
      <c r="X44" s="92" t="s">
        <v>60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>
      <c r="A45" s="26"/>
      <c r="B45" s="26"/>
      <c r="C45" s="91">
        <f>SUM(380409863/2017562413)</f>
        <v>0.1885492417</v>
      </c>
      <c r="D45" s="91">
        <f>SUM(C40/C39)</f>
        <v>0.8004376704</v>
      </c>
      <c r="E45" s="91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92" t="s">
        <v>61</v>
      </c>
      <c r="U45" s="26"/>
      <c r="V45" s="26"/>
      <c r="W45" s="92">
        <v>100.0</v>
      </c>
      <c r="X45" s="92">
        <v>10.0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92" t="s">
        <v>62</v>
      </c>
      <c r="U46" s="26"/>
      <c r="V46" s="26"/>
      <c r="W46" s="92">
        <v>200.0</v>
      </c>
      <c r="X46" s="92">
        <v>20.0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  <col customWidth="1" min="6" max="6" width="15.71"/>
    <col customWidth="1" min="15" max="15" width="15.29"/>
    <col customWidth="1" min="16" max="16" width="17.0"/>
    <col customWidth="1" min="17" max="17" width="15.29"/>
    <col customWidth="1" min="20" max="20" width="47.29"/>
    <col customWidth="1" min="24" max="24" width="47.0"/>
  </cols>
  <sheetData>
    <row r="1" ht="16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6.5" customHeight="1">
      <c r="A2" s="5" t="s">
        <v>18</v>
      </c>
      <c r="B2" s="6">
        <v>1.0E7</v>
      </c>
      <c r="C2" s="7">
        <f t="shared" ref="C2:C35" si="1">SUM(B2/N2)</f>
        <v>1.224489796</v>
      </c>
      <c r="D2" s="5">
        <v>120.0</v>
      </c>
      <c r="E2" s="8">
        <f t="shared" ref="E2:E35" si="2">SUM(B2/D2)</f>
        <v>83333.33333</v>
      </c>
      <c r="F2" s="9">
        <v>0.01</v>
      </c>
      <c r="G2" s="8">
        <f t="shared" ref="G2:G35" si="3">SUM(E2*F2)</f>
        <v>833.3333333</v>
      </c>
      <c r="H2" s="10">
        <v>0.05</v>
      </c>
      <c r="I2" s="8">
        <f t="shared" ref="I2:I35" si="4">SUM(G2*H2)</f>
        <v>41.66666667</v>
      </c>
      <c r="J2" s="11">
        <f>SUM(G2*H2)</f>
        <v>41.66666667</v>
      </c>
      <c r="K2" s="6">
        <v>9800.0</v>
      </c>
      <c r="L2" s="8">
        <f t="shared" ref="L2:L35" si="5">SUM((K2*0.15)*G2)</f>
        <v>1225000</v>
      </c>
      <c r="M2" s="8">
        <f t="shared" ref="M2:M35" si="6">SUM(N2*0.2)</f>
        <v>1633333.333</v>
      </c>
      <c r="N2" s="8">
        <f>SUM(G2*K2)</f>
        <v>8166666.667</v>
      </c>
      <c r="O2" s="8">
        <f t="shared" ref="O2:O35" si="7">SUM(N2-B2-L2)</f>
        <v>-3058333.333</v>
      </c>
      <c r="P2" s="12">
        <f t="shared" ref="P2:P35" si="8">SUM(N2/(B2+L2)-1)</f>
        <v>-0.2724573125</v>
      </c>
      <c r="Q2" s="8">
        <f t="shared" ref="Q2:Q35" si="9">SUM(N2*0.05)</f>
        <v>408333.3333</v>
      </c>
      <c r="R2" s="13">
        <f t="shared" ref="R2:R35" si="10">SUM(N2-(B2+L2+M2+Q2))</f>
        <v>-5100000</v>
      </c>
      <c r="S2" s="14">
        <f t="shared" ref="S2:S35" si="11">SUM(N2/(B2+L2+M2+Q2)-1)</f>
        <v>-0.3844221106</v>
      </c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ht="16.5" customHeight="1">
      <c r="A3" s="5" t="s">
        <v>19</v>
      </c>
      <c r="B3" s="6">
        <v>1.5E7</v>
      </c>
      <c r="C3" s="7">
        <f t="shared" si="1"/>
        <v>1.130298273</v>
      </c>
      <c r="D3" s="5">
        <v>120.0</v>
      </c>
      <c r="E3" s="8">
        <f t="shared" si="2"/>
        <v>125000</v>
      </c>
      <c r="F3" s="9">
        <v>0.01</v>
      </c>
      <c r="G3" s="8">
        <f t="shared" si="3"/>
        <v>1250</v>
      </c>
      <c r="H3" s="10">
        <v>0.05</v>
      </c>
      <c r="I3" s="8">
        <f t="shared" si="4"/>
        <v>62.5</v>
      </c>
      <c r="J3" s="11">
        <f t="shared" ref="J3:J35" si="12">SUM(I3+J2)</f>
        <v>104.1666667</v>
      </c>
      <c r="K3" s="6">
        <v>9800.0</v>
      </c>
      <c r="L3" s="8">
        <f t="shared" si="5"/>
        <v>1837500</v>
      </c>
      <c r="M3" s="8">
        <f t="shared" si="6"/>
        <v>2654166.667</v>
      </c>
      <c r="N3" s="8">
        <f t="shared" ref="N3:N35" si="13">SUM(((G3+J3)*K3))</f>
        <v>13270833.33</v>
      </c>
      <c r="O3" s="8">
        <f t="shared" si="7"/>
        <v>-3566666.667</v>
      </c>
      <c r="P3" s="12">
        <f t="shared" si="8"/>
        <v>-0.2118287553</v>
      </c>
      <c r="Q3" s="8">
        <f t="shared" si="9"/>
        <v>663541.6667</v>
      </c>
      <c r="R3" s="13">
        <f t="shared" si="10"/>
        <v>-6884375</v>
      </c>
      <c r="S3" s="14">
        <f t="shared" si="11"/>
        <v>-0.3415680397</v>
      </c>
      <c r="T3" s="16"/>
      <c r="U3" s="4"/>
      <c r="V3" s="4"/>
      <c r="W3" s="4"/>
      <c r="X3" s="16"/>
      <c r="Y3" s="4"/>
      <c r="Z3" s="4"/>
      <c r="AA3" s="4"/>
      <c r="AB3" s="4"/>
      <c r="AC3" s="4"/>
      <c r="AD3" s="4"/>
      <c r="AE3" s="4"/>
    </row>
    <row r="4" ht="16.5" customHeight="1">
      <c r="A4" s="5" t="s">
        <v>20</v>
      </c>
      <c r="B4" s="6">
        <v>2.5E7</v>
      </c>
      <c r="C4" s="7">
        <f t="shared" si="1"/>
        <v>1.113172542</v>
      </c>
      <c r="D4" s="5">
        <v>120.0</v>
      </c>
      <c r="E4" s="8">
        <f t="shared" si="2"/>
        <v>208333.3333</v>
      </c>
      <c r="F4" s="9">
        <v>0.01</v>
      </c>
      <c r="G4" s="8">
        <f t="shared" si="3"/>
        <v>2083.333333</v>
      </c>
      <c r="H4" s="10">
        <v>0.05</v>
      </c>
      <c r="I4" s="8">
        <f t="shared" si="4"/>
        <v>104.1666667</v>
      </c>
      <c r="J4" s="11">
        <f t="shared" si="12"/>
        <v>208.3333333</v>
      </c>
      <c r="K4" s="6">
        <v>9800.0</v>
      </c>
      <c r="L4" s="8">
        <f t="shared" si="5"/>
        <v>3062500</v>
      </c>
      <c r="M4" s="8">
        <f t="shared" si="6"/>
        <v>4491666.667</v>
      </c>
      <c r="N4" s="8">
        <f t="shared" si="13"/>
        <v>22458333.33</v>
      </c>
      <c r="O4" s="8">
        <f t="shared" si="7"/>
        <v>-5604166.667</v>
      </c>
      <c r="P4" s="12">
        <f t="shared" si="8"/>
        <v>-0.1997030438</v>
      </c>
      <c r="Q4" s="8">
        <f t="shared" si="9"/>
        <v>1122916.667</v>
      </c>
      <c r="R4" s="13">
        <f t="shared" si="10"/>
        <v>-11218750</v>
      </c>
      <c r="S4" s="14">
        <f t="shared" si="11"/>
        <v>-0.3331271265</v>
      </c>
      <c r="T4" s="17"/>
      <c r="U4" s="18"/>
      <c r="V4" s="18"/>
      <c r="W4" s="18"/>
      <c r="X4" s="17"/>
      <c r="Y4" s="18"/>
      <c r="Z4" s="18"/>
      <c r="AA4" s="18"/>
      <c r="AB4" s="18"/>
      <c r="AC4" s="18"/>
      <c r="AD4" s="18"/>
      <c r="AE4" s="18"/>
    </row>
    <row r="5" ht="16.5" customHeight="1">
      <c r="A5" s="5" t="s">
        <v>21</v>
      </c>
      <c r="B5" s="6">
        <v>3.0E7</v>
      </c>
      <c r="C5" s="7">
        <f t="shared" si="1"/>
        <v>1.080432173</v>
      </c>
      <c r="D5" s="5">
        <v>120.0</v>
      </c>
      <c r="E5" s="8">
        <f t="shared" si="2"/>
        <v>250000</v>
      </c>
      <c r="F5" s="9">
        <v>0.01</v>
      </c>
      <c r="G5" s="8">
        <f t="shared" si="3"/>
        <v>2500</v>
      </c>
      <c r="H5" s="10">
        <v>0.05</v>
      </c>
      <c r="I5" s="8">
        <f t="shared" si="4"/>
        <v>125</v>
      </c>
      <c r="J5" s="11">
        <f t="shared" si="12"/>
        <v>333.3333333</v>
      </c>
      <c r="K5" s="6">
        <v>9800.0</v>
      </c>
      <c r="L5" s="8">
        <f t="shared" si="5"/>
        <v>3675000</v>
      </c>
      <c r="M5" s="8">
        <f t="shared" si="6"/>
        <v>5553333.333</v>
      </c>
      <c r="N5" s="8">
        <f t="shared" si="13"/>
        <v>27766666.67</v>
      </c>
      <c r="O5" s="8">
        <f t="shared" si="7"/>
        <v>-5908333.333</v>
      </c>
      <c r="P5" s="12">
        <f t="shared" si="8"/>
        <v>-0.1754516209</v>
      </c>
      <c r="Q5" s="8">
        <f t="shared" si="9"/>
        <v>1388333.333</v>
      </c>
      <c r="R5" s="13">
        <f t="shared" si="10"/>
        <v>-12850000</v>
      </c>
      <c r="S5" s="14">
        <f t="shared" si="11"/>
        <v>-0.3163725892</v>
      </c>
      <c r="T5" s="19"/>
      <c r="U5" s="4"/>
      <c r="V5" s="4"/>
      <c r="W5" s="4"/>
      <c r="X5" s="19"/>
      <c r="Y5" s="4"/>
      <c r="Z5" s="4"/>
      <c r="AA5" s="4"/>
      <c r="AB5" s="4"/>
      <c r="AC5" s="4"/>
      <c r="AD5" s="4"/>
      <c r="AE5" s="4"/>
    </row>
    <row r="6" ht="16.5" customHeight="1">
      <c r="A6" s="5" t="s">
        <v>22</v>
      </c>
      <c r="B6" s="6">
        <v>4.0E7</v>
      </c>
      <c r="C6" s="7">
        <f t="shared" si="1"/>
        <v>1.064773736</v>
      </c>
      <c r="D6" s="5">
        <v>120.0</v>
      </c>
      <c r="E6" s="8">
        <f t="shared" si="2"/>
        <v>333333.3333</v>
      </c>
      <c r="F6" s="9">
        <v>0.01</v>
      </c>
      <c r="G6" s="8">
        <f t="shared" si="3"/>
        <v>3333.333333</v>
      </c>
      <c r="H6" s="10">
        <v>0.05</v>
      </c>
      <c r="I6" s="8">
        <f t="shared" si="4"/>
        <v>166.6666667</v>
      </c>
      <c r="J6" s="11">
        <f t="shared" si="12"/>
        <v>500</v>
      </c>
      <c r="K6" s="6">
        <v>9800.0</v>
      </c>
      <c r="L6" s="8">
        <f t="shared" si="5"/>
        <v>4900000</v>
      </c>
      <c r="M6" s="8">
        <f t="shared" si="6"/>
        <v>7513333.333</v>
      </c>
      <c r="N6" s="8">
        <f t="shared" si="13"/>
        <v>37566666.67</v>
      </c>
      <c r="O6" s="8">
        <f t="shared" si="7"/>
        <v>-7333333.333</v>
      </c>
      <c r="P6" s="12">
        <f t="shared" si="8"/>
        <v>-0.1633259094</v>
      </c>
      <c r="Q6" s="8">
        <f t="shared" si="9"/>
        <v>1878333.333</v>
      </c>
      <c r="R6" s="13">
        <f t="shared" si="10"/>
        <v>-16725000</v>
      </c>
      <c r="S6" s="14">
        <f t="shared" si="11"/>
        <v>-0.3080583269</v>
      </c>
      <c r="T6" s="17"/>
      <c r="U6" s="4"/>
      <c r="V6" s="4"/>
      <c r="W6" s="4"/>
      <c r="X6" s="17"/>
      <c r="Y6" s="4"/>
      <c r="Z6" s="4"/>
      <c r="AA6" s="4"/>
      <c r="AB6" s="4"/>
      <c r="AC6" s="4"/>
      <c r="AD6" s="4"/>
      <c r="AE6" s="4"/>
    </row>
    <row r="7" ht="16.5" customHeight="1">
      <c r="A7" s="5" t="s">
        <v>23</v>
      </c>
      <c r="B7" s="6">
        <v>5.0E7</v>
      </c>
      <c r="C7" s="7">
        <f t="shared" si="1"/>
        <v>1.046572475</v>
      </c>
      <c r="D7" s="5">
        <v>120.0</v>
      </c>
      <c r="E7" s="8">
        <f t="shared" si="2"/>
        <v>416666.6667</v>
      </c>
      <c r="F7" s="9">
        <v>0.01</v>
      </c>
      <c r="G7" s="8">
        <f t="shared" si="3"/>
        <v>4166.666667</v>
      </c>
      <c r="H7" s="10">
        <v>0.05</v>
      </c>
      <c r="I7" s="8">
        <f t="shared" si="4"/>
        <v>208.3333333</v>
      </c>
      <c r="J7" s="11">
        <f t="shared" si="12"/>
        <v>708.3333333</v>
      </c>
      <c r="K7" s="6">
        <v>9800.0</v>
      </c>
      <c r="L7" s="8">
        <f t="shared" si="5"/>
        <v>6125000</v>
      </c>
      <c r="M7" s="8">
        <f t="shared" si="6"/>
        <v>9555000</v>
      </c>
      <c r="N7" s="8">
        <f t="shared" si="13"/>
        <v>47775000</v>
      </c>
      <c r="O7" s="8">
        <f t="shared" si="7"/>
        <v>-8350000</v>
      </c>
      <c r="P7" s="12">
        <f t="shared" si="8"/>
        <v>-0.1487750557</v>
      </c>
      <c r="Q7" s="8">
        <f t="shared" si="9"/>
        <v>2388750</v>
      </c>
      <c r="R7" s="13">
        <f t="shared" si="10"/>
        <v>-20293750</v>
      </c>
      <c r="S7" s="14">
        <f t="shared" si="11"/>
        <v>-0.2981360757</v>
      </c>
      <c r="T7" s="19"/>
      <c r="U7" s="4"/>
      <c r="V7" s="4"/>
      <c r="W7" s="4"/>
      <c r="X7" s="19"/>
      <c r="Y7" s="4"/>
      <c r="Z7" s="4"/>
      <c r="AA7" s="4"/>
      <c r="AB7" s="4"/>
      <c r="AC7" s="4"/>
      <c r="AD7" s="4"/>
      <c r="AE7" s="4"/>
    </row>
    <row r="8" ht="16.5" customHeight="1">
      <c r="A8" s="5" t="s">
        <v>28</v>
      </c>
      <c r="B8" s="6">
        <v>6.5E7</v>
      </c>
      <c r="C8" s="7">
        <f t="shared" si="1"/>
        <v>1.037027189</v>
      </c>
      <c r="D8" s="5">
        <v>120.0</v>
      </c>
      <c r="E8" s="8">
        <f t="shared" si="2"/>
        <v>541666.6667</v>
      </c>
      <c r="F8" s="9">
        <v>0.01</v>
      </c>
      <c r="G8" s="8">
        <f t="shared" si="3"/>
        <v>5416.666667</v>
      </c>
      <c r="H8" s="10">
        <v>0.05</v>
      </c>
      <c r="I8" s="8">
        <f t="shared" si="4"/>
        <v>270.8333333</v>
      </c>
      <c r="J8" s="11">
        <f t="shared" si="12"/>
        <v>979.1666667</v>
      </c>
      <c r="K8" s="6">
        <v>9800.0</v>
      </c>
      <c r="L8" s="8">
        <f t="shared" si="5"/>
        <v>7962500</v>
      </c>
      <c r="M8" s="8">
        <f t="shared" si="6"/>
        <v>12535833.33</v>
      </c>
      <c r="N8" s="8">
        <f t="shared" si="13"/>
        <v>62679166.67</v>
      </c>
      <c r="O8" s="8">
        <f t="shared" si="7"/>
        <v>-10283333.33</v>
      </c>
      <c r="P8" s="12">
        <f t="shared" si="8"/>
        <v>-0.1409399806</v>
      </c>
      <c r="Q8" s="8">
        <f t="shared" si="9"/>
        <v>3133958.333</v>
      </c>
      <c r="R8" s="13">
        <f t="shared" si="10"/>
        <v>-25953125</v>
      </c>
      <c r="S8" s="14">
        <f t="shared" si="11"/>
        <v>-0.2928179393</v>
      </c>
      <c r="T8" s="17"/>
      <c r="U8" s="4"/>
      <c r="V8" s="4"/>
      <c r="W8" s="4"/>
      <c r="X8" s="17"/>
      <c r="Y8" s="4"/>
      <c r="Z8" s="4"/>
      <c r="AA8" s="4"/>
      <c r="AB8" s="4"/>
      <c r="AC8" s="4"/>
      <c r="AD8" s="4"/>
      <c r="AE8" s="4"/>
    </row>
    <row r="9" ht="16.5" customHeight="1">
      <c r="A9" s="5" t="s">
        <v>29</v>
      </c>
      <c r="B9" s="6">
        <v>7.0E7</v>
      </c>
      <c r="C9" s="7">
        <f t="shared" si="1"/>
        <v>1.005446167</v>
      </c>
      <c r="D9" s="5">
        <v>120.0</v>
      </c>
      <c r="E9" s="8">
        <f t="shared" si="2"/>
        <v>583333.3333</v>
      </c>
      <c r="F9" s="9">
        <v>0.01</v>
      </c>
      <c r="G9" s="8">
        <f t="shared" si="3"/>
        <v>5833.333333</v>
      </c>
      <c r="H9" s="10">
        <v>0.05</v>
      </c>
      <c r="I9" s="8">
        <f t="shared" si="4"/>
        <v>291.6666667</v>
      </c>
      <c r="J9" s="11">
        <f t="shared" si="12"/>
        <v>1270.833333</v>
      </c>
      <c r="K9" s="6">
        <v>9800.0</v>
      </c>
      <c r="L9" s="8">
        <f t="shared" si="5"/>
        <v>8575000</v>
      </c>
      <c r="M9" s="8">
        <f t="shared" si="6"/>
        <v>13924166.67</v>
      </c>
      <c r="N9" s="8">
        <f t="shared" si="13"/>
        <v>69620833.33</v>
      </c>
      <c r="O9" s="8">
        <f t="shared" si="7"/>
        <v>-8954166.667</v>
      </c>
      <c r="P9" s="12">
        <f t="shared" si="8"/>
        <v>-0.1139569414</v>
      </c>
      <c r="Q9" s="8">
        <f t="shared" si="9"/>
        <v>3481041.667</v>
      </c>
      <c r="R9" s="13">
        <f t="shared" si="10"/>
        <v>-26359375</v>
      </c>
      <c r="S9" s="14">
        <f t="shared" si="11"/>
        <v>-0.2746334422</v>
      </c>
      <c r="T9" s="19"/>
      <c r="U9" s="4"/>
      <c r="V9" s="4"/>
      <c r="W9" s="4"/>
      <c r="X9" s="19"/>
      <c r="Y9" s="4"/>
      <c r="Z9" s="4"/>
      <c r="AA9" s="4"/>
      <c r="AB9" s="4"/>
      <c r="AC9" s="4"/>
      <c r="AD9" s="4"/>
      <c r="AE9" s="4"/>
    </row>
    <row r="10" ht="16.5" customHeight="1">
      <c r="A10" s="5" t="s">
        <v>30</v>
      </c>
      <c r="B10" s="6">
        <v>8.0E7</v>
      </c>
      <c r="C10" s="7">
        <f t="shared" si="1"/>
        <v>0.9869942939</v>
      </c>
      <c r="D10" s="5">
        <v>120.0</v>
      </c>
      <c r="E10" s="8">
        <f t="shared" si="2"/>
        <v>666666.6667</v>
      </c>
      <c r="F10" s="9">
        <v>0.01</v>
      </c>
      <c r="G10" s="8">
        <f t="shared" si="3"/>
        <v>6666.666667</v>
      </c>
      <c r="H10" s="10">
        <v>0.05</v>
      </c>
      <c r="I10" s="8">
        <f t="shared" si="4"/>
        <v>333.3333333</v>
      </c>
      <c r="J10" s="11">
        <f t="shared" si="12"/>
        <v>1604.166667</v>
      </c>
      <c r="K10" s="6">
        <v>9800.0</v>
      </c>
      <c r="L10" s="8">
        <f t="shared" si="5"/>
        <v>9800000</v>
      </c>
      <c r="M10" s="8">
        <f t="shared" si="6"/>
        <v>16210833.33</v>
      </c>
      <c r="N10" s="8">
        <f t="shared" si="13"/>
        <v>81054166.67</v>
      </c>
      <c r="O10" s="8">
        <f t="shared" si="7"/>
        <v>-8745833.333</v>
      </c>
      <c r="P10" s="12">
        <f t="shared" si="8"/>
        <v>-0.09739235338</v>
      </c>
      <c r="Q10" s="8">
        <f t="shared" si="9"/>
        <v>4052708.333</v>
      </c>
      <c r="R10" s="13">
        <f t="shared" si="10"/>
        <v>-29009375</v>
      </c>
      <c r="S10" s="14">
        <f t="shared" si="11"/>
        <v>-0.2635693397</v>
      </c>
      <c r="T10" s="17"/>
      <c r="U10" s="18"/>
      <c r="V10" s="18"/>
      <c r="W10" s="18"/>
      <c r="X10" s="17"/>
      <c r="Y10" s="18"/>
      <c r="Z10" s="18"/>
      <c r="AA10" s="18"/>
      <c r="AB10" s="18"/>
      <c r="AC10" s="18"/>
      <c r="AD10" s="18"/>
      <c r="AE10" s="18"/>
    </row>
    <row r="11" ht="16.5" customHeight="1">
      <c r="A11" s="5" t="s">
        <v>31</v>
      </c>
      <c r="B11" s="6">
        <v>9.0E7</v>
      </c>
      <c r="C11" s="7">
        <f t="shared" si="1"/>
        <v>0.9688270913</v>
      </c>
      <c r="D11" s="5">
        <v>120.0</v>
      </c>
      <c r="E11" s="8">
        <f t="shared" si="2"/>
        <v>750000</v>
      </c>
      <c r="F11" s="9">
        <v>0.01</v>
      </c>
      <c r="G11" s="8">
        <f t="shared" si="3"/>
        <v>7500</v>
      </c>
      <c r="H11" s="10">
        <v>0.05</v>
      </c>
      <c r="I11" s="8">
        <f t="shared" si="4"/>
        <v>375</v>
      </c>
      <c r="J11" s="11">
        <f t="shared" si="12"/>
        <v>1979.166667</v>
      </c>
      <c r="K11" s="6">
        <v>9800.0</v>
      </c>
      <c r="L11" s="8">
        <f t="shared" si="5"/>
        <v>11025000</v>
      </c>
      <c r="M11" s="8">
        <f t="shared" si="6"/>
        <v>18579166.67</v>
      </c>
      <c r="N11" s="8">
        <f t="shared" si="13"/>
        <v>92895833.33</v>
      </c>
      <c r="O11" s="8">
        <f t="shared" si="7"/>
        <v>-8129166.667</v>
      </c>
      <c r="P11" s="12">
        <f t="shared" si="8"/>
        <v>-0.08046688114</v>
      </c>
      <c r="Q11" s="8">
        <f t="shared" si="9"/>
        <v>4644791.667</v>
      </c>
      <c r="R11" s="13">
        <f t="shared" si="10"/>
        <v>-31353125</v>
      </c>
      <c r="S11" s="14">
        <f t="shared" si="11"/>
        <v>-0.2523411497</v>
      </c>
      <c r="T11" s="19"/>
      <c r="U11" s="18"/>
      <c r="V11" s="18"/>
      <c r="W11" s="18"/>
      <c r="X11" s="19"/>
      <c r="Y11" s="18"/>
      <c r="Z11" s="18"/>
      <c r="AA11" s="18"/>
      <c r="AB11" s="18"/>
      <c r="AC11" s="18"/>
      <c r="AD11" s="18"/>
      <c r="AE11" s="18"/>
    </row>
    <row r="12" ht="16.5" customHeight="1">
      <c r="A12" s="5" t="s">
        <v>32</v>
      </c>
      <c r="B12" s="6">
        <v>1.2E8</v>
      </c>
      <c r="C12" s="7">
        <f t="shared" si="1"/>
        <v>0.9812272154</v>
      </c>
      <c r="D12" s="5">
        <v>120.0</v>
      </c>
      <c r="E12" s="8">
        <f t="shared" si="2"/>
        <v>1000000</v>
      </c>
      <c r="F12" s="9">
        <v>0.01</v>
      </c>
      <c r="G12" s="8">
        <f t="shared" si="3"/>
        <v>10000</v>
      </c>
      <c r="H12" s="10">
        <v>0.05</v>
      </c>
      <c r="I12" s="8">
        <f t="shared" si="4"/>
        <v>500</v>
      </c>
      <c r="J12" s="11">
        <f t="shared" si="12"/>
        <v>2479.166667</v>
      </c>
      <c r="K12" s="6">
        <v>9800.0</v>
      </c>
      <c r="L12" s="8">
        <f t="shared" si="5"/>
        <v>14700000</v>
      </c>
      <c r="M12" s="8">
        <f t="shared" si="6"/>
        <v>24459166.67</v>
      </c>
      <c r="N12" s="8">
        <f t="shared" si="13"/>
        <v>122295833.3</v>
      </c>
      <c r="O12" s="8">
        <f t="shared" si="7"/>
        <v>-12404166.67</v>
      </c>
      <c r="P12" s="12">
        <f t="shared" si="8"/>
        <v>-0.09208735462</v>
      </c>
      <c r="Q12" s="8">
        <f t="shared" si="9"/>
        <v>6114791.667</v>
      </c>
      <c r="R12" s="13">
        <f t="shared" si="10"/>
        <v>-42978125</v>
      </c>
      <c r="S12" s="14">
        <f t="shared" si="11"/>
        <v>-0.2600417237</v>
      </c>
      <c r="T12" s="17"/>
      <c r="U12" s="18"/>
      <c r="V12" s="18"/>
      <c r="W12" s="18"/>
      <c r="X12" s="17"/>
      <c r="Y12" s="18"/>
      <c r="Z12" s="18"/>
      <c r="AA12" s="18"/>
      <c r="AB12" s="18"/>
      <c r="AC12" s="18"/>
      <c r="AD12" s="18"/>
      <c r="AE12" s="18"/>
    </row>
    <row r="13" ht="16.5" customHeight="1">
      <c r="A13" s="5" t="s">
        <v>33</v>
      </c>
      <c r="B13" s="6">
        <v>1.5E8</v>
      </c>
      <c r="C13" s="7">
        <f t="shared" si="1"/>
        <v>0.980899703</v>
      </c>
      <c r="D13" s="5">
        <v>120.0</v>
      </c>
      <c r="E13" s="8">
        <f t="shared" si="2"/>
        <v>1250000</v>
      </c>
      <c r="F13" s="9">
        <v>0.01</v>
      </c>
      <c r="G13" s="8">
        <f t="shared" si="3"/>
        <v>12500</v>
      </c>
      <c r="H13" s="10">
        <v>0.05</v>
      </c>
      <c r="I13" s="8">
        <f t="shared" si="4"/>
        <v>625</v>
      </c>
      <c r="J13" s="11">
        <f t="shared" si="12"/>
        <v>3104.166667</v>
      </c>
      <c r="K13" s="6">
        <v>9800.0</v>
      </c>
      <c r="L13" s="8">
        <f t="shared" si="5"/>
        <v>18375000</v>
      </c>
      <c r="M13" s="8">
        <f t="shared" si="6"/>
        <v>30584166.67</v>
      </c>
      <c r="N13" s="8">
        <f t="shared" si="13"/>
        <v>152920833.3</v>
      </c>
      <c r="O13" s="8">
        <f t="shared" si="7"/>
        <v>-15454166.67</v>
      </c>
      <c r="P13" s="12">
        <f t="shared" si="8"/>
        <v>-0.09178421183</v>
      </c>
      <c r="Q13" s="8">
        <f t="shared" si="9"/>
        <v>7646041.667</v>
      </c>
      <c r="R13" s="13">
        <f t="shared" si="10"/>
        <v>-53684375</v>
      </c>
      <c r="S13" s="14">
        <f t="shared" si="11"/>
        <v>-0.2598403759</v>
      </c>
      <c r="T13" s="19"/>
      <c r="U13" s="18"/>
      <c r="V13" s="18"/>
      <c r="W13" s="18"/>
      <c r="X13" s="19"/>
      <c r="Y13" s="18"/>
      <c r="Z13" s="18"/>
      <c r="AA13" s="18"/>
      <c r="AB13" s="18"/>
      <c r="AC13" s="18"/>
      <c r="AD13" s="18"/>
      <c r="AE13" s="18"/>
    </row>
    <row r="14" ht="16.5" customHeight="1">
      <c r="A14" s="5" t="s">
        <v>34</v>
      </c>
      <c r="B14" s="6">
        <v>1.5E8</v>
      </c>
      <c r="C14" s="7">
        <f t="shared" si="1"/>
        <v>0.9431243614</v>
      </c>
      <c r="D14" s="5">
        <v>120.0</v>
      </c>
      <c r="E14" s="8">
        <f t="shared" si="2"/>
        <v>1250000</v>
      </c>
      <c r="F14" s="9">
        <v>0.01</v>
      </c>
      <c r="G14" s="8">
        <f t="shared" si="3"/>
        <v>12500</v>
      </c>
      <c r="H14" s="10">
        <v>0.05</v>
      </c>
      <c r="I14" s="8">
        <f t="shared" si="4"/>
        <v>625</v>
      </c>
      <c r="J14" s="11">
        <f t="shared" si="12"/>
        <v>3729.166667</v>
      </c>
      <c r="K14" s="6">
        <v>9800.0</v>
      </c>
      <c r="L14" s="8">
        <f t="shared" si="5"/>
        <v>18375000</v>
      </c>
      <c r="M14" s="8">
        <f t="shared" si="6"/>
        <v>31809166.67</v>
      </c>
      <c r="N14" s="8">
        <f t="shared" si="13"/>
        <v>159045833.3</v>
      </c>
      <c r="O14" s="8">
        <f t="shared" si="7"/>
        <v>-9329166.667</v>
      </c>
      <c r="P14" s="12">
        <f t="shared" si="8"/>
        <v>-0.05540707746</v>
      </c>
      <c r="Q14" s="8">
        <f t="shared" si="9"/>
        <v>7952291.667</v>
      </c>
      <c r="R14" s="13">
        <f t="shared" si="10"/>
        <v>-49090625</v>
      </c>
      <c r="S14" s="14">
        <f t="shared" si="11"/>
        <v>-0.2358578857</v>
      </c>
      <c r="T14" s="19"/>
      <c r="U14" s="18"/>
      <c r="V14" s="18"/>
      <c r="W14" s="18"/>
      <c r="X14" s="19"/>
      <c r="Y14" s="18"/>
      <c r="Z14" s="18"/>
      <c r="AA14" s="18"/>
      <c r="AB14" s="18"/>
      <c r="AC14" s="18"/>
      <c r="AD14" s="18"/>
      <c r="AE14" s="18"/>
    </row>
    <row r="15" ht="16.5" customHeight="1">
      <c r="A15" s="5" t="s">
        <v>35</v>
      </c>
      <c r="B15" s="6">
        <v>1.5E8</v>
      </c>
      <c r="C15" s="7">
        <f t="shared" si="1"/>
        <v>0.9081506521</v>
      </c>
      <c r="D15" s="5">
        <v>120.0</v>
      </c>
      <c r="E15" s="8">
        <f t="shared" si="2"/>
        <v>1250000</v>
      </c>
      <c r="F15" s="9">
        <v>0.01</v>
      </c>
      <c r="G15" s="8">
        <f t="shared" si="3"/>
        <v>12500</v>
      </c>
      <c r="H15" s="10">
        <v>0.05</v>
      </c>
      <c r="I15" s="8">
        <f t="shared" si="4"/>
        <v>625</v>
      </c>
      <c r="J15" s="11">
        <f t="shared" si="12"/>
        <v>4354.166667</v>
      </c>
      <c r="K15" s="6">
        <v>9800.0</v>
      </c>
      <c r="L15" s="8">
        <f t="shared" si="5"/>
        <v>18375000</v>
      </c>
      <c r="M15" s="8">
        <f t="shared" si="6"/>
        <v>33034166.67</v>
      </c>
      <c r="N15" s="8">
        <f t="shared" si="13"/>
        <v>165170833.3</v>
      </c>
      <c r="O15" s="8">
        <f t="shared" si="7"/>
        <v>-3204166.667</v>
      </c>
      <c r="P15" s="12">
        <f t="shared" si="8"/>
        <v>-0.01902994308</v>
      </c>
      <c r="Q15" s="8">
        <f t="shared" si="9"/>
        <v>8258541.667</v>
      </c>
      <c r="R15" s="13">
        <f t="shared" si="10"/>
        <v>-44496875</v>
      </c>
      <c r="S15" s="14">
        <f t="shared" si="11"/>
        <v>-0.2122256944</v>
      </c>
      <c r="T15" s="19"/>
      <c r="U15" s="18"/>
      <c r="V15" s="18"/>
      <c r="W15" s="18"/>
      <c r="X15" s="19"/>
      <c r="Y15" s="18"/>
      <c r="Z15" s="18"/>
      <c r="AA15" s="18"/>
      <c r="AB15" s="18"/>
      <c r="AC15" s="18"/>
      <c r="AD15" s="18"/>
      <c r="AE15" s="18"/>
    </row>
    <row r="16" ht="16.5" customHeight="1">
      <c r="A16" s="52" t="s">
        <v>36</v>
      </c>
      <c r="B16" s="54">
        <v>1.5E8</v>
      </c>
      <c r="C16" s="56">
        <f t="shared" si="1"/>
        <v>0.8756780424</v>
      </c>
      <c r="D16" s="57">
        <v>120.0</v>
      </c>
      <c r="E16" s="54">
        <f t="shared" si="2"/>
        <v>1250000</v>
      </c>
      <c r="F16" s="58">
        <v>0.01</v>
      </c>
      <c r="G16" s="54">
        <f t="shared" si="3"/>
        <v>12500</v>
      </c>
      <c r="H16" s="56">
        <v>0.05</v>
      </c>
      <c r="I16" s="54">
        <f t="shared" si="4"/>
        <v>625</v>
      </c>
      <c r="J16" s="11">
        <f t="shared" si="12"/>
        <v>4979.166667</v>
      </c>
      <c r="K16" s="54">
        <v>9800.0</v>
      </c>
      <c r="L16" s="54">
        <f t="shared" si="5"/>
        <v>18375000</v>
      </c>
      <c r="M16" s="54">
        <f t="shared" si="6"/>
        <v>34259166.67</v>
      </c>
      <c r="N16" s="54">
        <f t="shared" si="13"/>
        <v>171295833.3</v>
      </c>
      <c r="O16" s="54">
        <f t="shared" si="7"/>
        <v>2920833.333</v>
      </c>
      <c r="P16" s="59">
        <f t="shared" si="8"/>
        <v>0.01734719129</v>
      </c>
      <c r="Q16" s="54">
        <f t="shared" si="9"/>
        <v>8564791.667</v>
      </c>
      <c r="R16" s="60">
        <f t="shared" si="10"/>
        <v>-39903125</v>
      </c>
      <c r="S16" s="61">
        <f t="shared" si="11"/>
        <v>-0.1889361828</v>
      </c>
      <c r="T16" s="18"/>
      <c r="U16" s="18"/>
      <c r="V16" s="18"/>
      <c r="W16" s="18"/>
      <c r="X16" s="62"/>
      <c r="Y16" s="18"/>
      <c r="Z16" s="18"/>
      <c r="AA16" s="18"/>
      <c r="AB16" s="18"/>
      <c r="AC16" s="18"/>
      <c r="AD16" s="18"/>
      <c r="AE16" s="18"/>
    </row>
    <row r="17" ht="16.5" customHeight="1">
      <c r="A17" s="52" t="s">
        <v>37</v>
      </c>
      <c r="B17" s="54">
        <v>1.5E8</v>
      </c>
      <c r="C17" s="56">
        <f t="shared" si="1"/>
        <v>0.8454475001</v>
      </c>
      <c r="D17" s="57">
        <v>120.0</v>
      </c>
      <c r="E17" s="54">
        <f t="shared" si="2"/>
        <v>1250000</v>
      </c>
      <c r="F17" s="58">
        <v>0.01</v>
      </c>
      <c r="G17" s="54">
        <f t="shared" si="3"/>
        <v>12500</v>
      </c>
      <c r="H17" s="56">
        <v>0.05</v>
      </c>
      <c r="I17" s="54">
        <f t="shared" si="4"/>
        <v>625</v>
      </c>
      <c r="J17" s="11">
        <f t="shared" si="12"/>
        <v>5604.166667</v>
      </c>
      <c r="K17" s="54">
        <v>9800.0</v>
      </c>
      <c r="L17" s="54">
        <f t="shared" si="5"/>
        <v>18375000</v>
      </c>
      <c r="M17" s="54">
        <f t="shared" si="6"/>
        <v>35484166.67</v>
      </c>
      <c r="N17" s="54">
        <f t="shared" si="13"/>
        <v>177420833.3</v>
      </c>
      <c r="O17" s="54">
        <f t="shared" si="7"/>
        <v>9045833.333</v>
      </c>
      <c r="P17" s="59">
        <f t="shared" si="8"/>
        <v>0.05372432566</v>
      </c>
      <c r="Q17" s="54">
        <f t="shared" si="9"/>
        <v>8871041.667</v>
      </c>
      <c r="R17" s="60">
        <f t="shared" si="10"/>
        <v>-35309375</v>
      </c>
      <c r="S17" s="61">
        <f t="shared" si="11"/>
        <v>-0.1659819509</v>
      </c>
      <c r="T17" s="18"/>
      <c r="U17" s="18"/>
      <c r="V17" s="18"/>
      <c r="W17" s="18"/>
      <c r="X17" s="62"/>
      <c r="Y17" s="18"/>
      <c r="Z17" s="18"/>
      <c r="AA17" s="18"/>
      <c r="AB17" s="18"/>
      <c r="AC17" s="18"/>
      <c r="AD17" s="18"/>
      <c r="AE17" s="18"/>
    </row>
    <row r="18" ht="16.5" customHeight="1">
      <c r="A18" s="52" t="s">
        <v>38</v>
      </c>
      <c r="B18" s="54">
        <v>1.5E8</v>
      </c>
      <c r="C18" s="56">
        <f t="shared" si="1"/>
        <v>0.817234569</v>
      </c>
      <c r="D18" s="57">
        <v>120.0</v>
      </c>
      <c r="E18" s="54">
        <f t="shared" si="2"/>
        <v>1250000</v>
      </c>
      <c r="F18" s="58">
        <v>0.01</v>
      </c>
      <c r="G18" s="54">
        <f t="shared" si="3"/>
        <v>12500</v>
      </c>
      <c r="H18" s="56">
        <v>0.05</v>
      </c>
      <c r="I18" s="54">
        <f t="shared" si="4"/>
        <v>625</v>
      </c>
      <c r="J18" s="11">
        <f t="shared" si="12"/>
        <v>6229.166667</v>
      </c>
      <c r="K18" s="54">
        <v>9800.0</v>
      </c>
      <c r="L18" s="54">
        <f t="shared" si="5"/>
        <v>18375000</v>
      </c>
      <c r="M18" s="54">
        <f t="shared" si="6"/>
        <v>36709166.67</v>
      </c>
      <c r="N18" s="54">
        <f t="shared" si="13"/>
        <v>183545833.3</v>
      </c>
      <c r="O18" s="54">
        <f t="shared" si="7"/>
        <v>15170833.33</v>
      </c>
      <c r="P18" s="59">
        <f t="shared" si="8"/>
        <v>0.09010146003</v>
      </c>
      <c r="Q18" s="54">
        <f t="shared" si="9"/>
        <v>9177291.667</v>
      </c>
      <c r="R18" s="60">
        <f t="shared" si="10"/>
        <v>-30715625</v>
      </c>
      <c r="S18" s="61">
        <f t="shared" si="11"/>
        <v>-0.1433558104</v>
      </c>
      <c r="T18" s="63"/>
      <c r="U18" s="63"/>
      <c r="V18" s="63"/>
      <c r="W18" s="63"/>
      <c r="X18" s="64"/>
      <c r="Y18" s="18"/>
      <c r="Z18" s="18"/>
      <c r="AA18" s="18"/>
      <c r="AB18" s="18"/>
      <c r="AC18" s="18"/>
      <c r="AD18" s="18"/>
      <c r="AE18" s="18"/>
    </row>
    <row r="19" ht="16.5" customHeight="1">
      <c r="A19" s="52" t="s">
        <v>39</v>
      </c>
      <c r="B19" s="54">
        <v>1.5E8</v>
      </c>
      <c r="C19" s="56">
        <f t="shared" si="1"/>
        <v>0.7908437864</v>
      </c>
      <c r="D19" s="57">
        <v>120.0</v>
      </c>
      <c r="E19" s="54">
        <f t="shared" si="2"/>
        <v>1250000</v>
      </c>
      <c r="F19" s="58">
        <v>0.01</v>
      </c>
      <c r="G19" s="54">
        <f t="shared" si="3"/>
        <v>12500</v>
      </c>
      <c r="H19" s="56">
        <v>0.05</v>
      </c>
      <c r="I19" s="54">
        <f t="shared" si="4"/>
        <v>625</v>
      </c>
      <c r="J19" s="11">
        <f t="shared" si="12"/>
        <v>6854.166667</v>
      </c>
      <c r="K19" s="54">
        <v>9800.0</v>
      </c>
      <c r="L19" s="54">
        <f t="shared" si="5"/>
        <v>18375000</v>
      </c>
      <c r="M19" s="54">
        <f t="shared" si="6"/>
        <v>37934166.67</v>
      </c>
      <c r="N19" s="54">
        <f t="shared" si="13"/>
        <v>189670833.3</v>
      </c>
      <c r="O19" s="54">
        <f t="shared" si="7"/>
        <v>21295833.33</v>
      </c>
      <c r="P19" s="59">
        <f t="shared" si="8"/>
        <v>0.1264785944</v>
      </c>
      <c r="Q19" s="54">
        <f t="shared" si="9"/>
        <v>9483541.667</v>
      </c>
      <c r="R19" s="60">
        <f t="shared" si="10"/>
        <v>-26121875</v>
      </c>
      <c r="S19" s="61">
        <f t="shared" si="11"/>
        <v>-0.1210507769</v>
      </c>
      <c r="T19" s="63"/>
      <c r="U19" s="63"/>
      <c r="V19" s="63"/>
      <c r="W19" s="63"/>
      <c r="X19" s="64"/>
      <c r="Y19" s="18"/>
      <c r="Z19" s="18"/>
      <c r="AA19" s="18"/>
      <c r="AB19" s="18"/>
      <c r="AC19" s="18"/>
      <c r="AD19" s="18"/>
      <c r="AE19" s="18"/>
    </row>
    <row r="20" ht="16.5" customHeight="1">
      <c r="A20" s="52" t="s">
        <v>40</v>
      </c>
      <c r="B20" s="54">
        <v>1.5E8</v>
      </c>
      <c r="C20" s="56">
        <f t="shared" si="1"/>
        <v>0.7661041476</v>
      </c>
      <c r="D20" s="57">
        <v>120.0</v>
      </c>
      <c r="E20" s="54">
        <f t="shared" si="2"/>
        <v>1250000</v>
      </c>
      <c r="F20" s="58">
        <v>0.01</v>
      </c>
      <c r="G20" s="54">
        <f t="shared" si="3"/>
        <v>12500</v>
      </c>
      <c r="H20" s="56">
        <v>0.05</v>
      </c>
      <c r="I20" s="54">
        <f t="shared" si="4"/>
        <v>625</v>
      </c>
      <c r="J20" s="11">
        <f t="shared" si="12"/>
        <v>7479.166667</v>
      </c>
      <c r="K20" s="54">
        <v>9800.0</v>
      </c>
      <c r="L20" s="54">
        <f t="shared" si="5"/>
        <v>18375000</v>
      </c>
      <c r="M20" s="54">
        <f t="shared" si="6"/>
        <v>39159166.67</v>
      </c>
      <c r="N20" s="54">
        <f t="shared" si="13"/>
        <v>195795833.3</v>
      </c>
      <c r="O20" s="54">
        <f t="shared" si="7"/>
        <v>27420833.33</v>
      </c>
      <c r="P20" s="59">
        <f t="shared" si="8"/>
        <v>0.1628557288</v>
      </c>
      <c r="Q20" s="54">
        <f t="shared" si="9"/>
        <v>9789791.667</v>
      </c>
      <c r="R20" s="60">
        <f t="shared" si="10"/>
        <v>-21528125</v>
      </c>
      <c r="S20" s="61">
        <f t="shared" si="11"/>
        <v>-0.09906006298</v>
      </c>
      <c r="T20" s="63"/>
      <c r="U20" s="63"/>
      <c r="V20" s="63"/>
      <c r="W20" s="63"/>
      <c r="X20" s="64"/>
      <c r="Y20" s="18"/>
      <c r="Z20" s="18"/>
      <c r="AA20" s="18"/>
      <c r="AB20" s="18"/>
      <c r="AC20" s="18"/>
      <c r="AD20" s="18"/>
      <c r="AE20" s="18"/>
    </row>
    <row r="21" ht="16.5" customHeight="1">
      <c r="A21" s="52" t="s">
        <v>41</v>
      </c>
      <c r="B21" s="54">
        <v>1.5E8</v>
      </c>
      <c r="C21" s="56">
        <f t="shared" si="1"/>
        <v>0.7428653969</v>
      </c>
      <c r="D21" s="57">
        <v>120.0</v>
      </c>
      <c r="E21" s="54">
        <f t="shared" si="2"/>
        <v>1250000</v>
      </c>
      <c r="F21" s="58">
        <v>0.01</v>
      </c>
      <c r="G21" s="54">
        <f t="shared" si="3"/>
        <v>12500</v>
      </c>
      <c r="H21" s="56">
        <v>0.05</v>
      </c>
      <c r="I21" s="54">
        <f t="shared" si="4"/>
        <v>625</v>
      </c>
      <c r="J21" s="11">
        <f t="shared" si="12"/>
        <v>8104.166667</v>
      </c>
      <c r="K21" s="54">
        <v>9800.0</v>
      </c>
      <c r="L21" s="54">
        <f t="shared" si="5"/>
        <v>18375000</v>
      </c>
      <c r="M21" s="54">
        <f t="shared" si="6"/>
        <v>40384166.67</v>
      </c>
      <c r="N21" s="54">
        <f t="shared" si="13"/>
        <v>201920833.3</v>
      </c>
      <c r="O21" s="54">
        <f t="shared" si="7"/>
        <v>33545833.33</v>
      </c>
      <c r="P21" s="59">
        <f t="shared" si="8"/>
        <v>0.1992328632</v>
      </c>
      <c r="Q21" s="54">
        <f t="shared" si="9"/>
        <v>10096041.67</v>
      </c>
      <c r="R21" s="60">
        <f t="shared" si="10"/>
        <v>-16934375</v>
      </c>
      <c r="S21" s="61">
        <f t="shared" si="11"/>
        <v>-0.07737707103</v>
      </c>
      <c r="T21" s="18"/>
      <c r="U21" s="18"/>
      <c r="V21" s="18"/>
      <c r="W21" s="18"/>
      <c r="X21" s="62"/>
      <c r="Y21" s="18"/>
      <c r="Z21" s="18"/>
      <c r="AA21" s="18"/>
      <c r="AB21" s="18"/>
      <c r="AC21" s="18"/>
      <c r="AD21" s="18"/>
      <c r="AE21" s="18"/>
    </row>
    <row r="22" ht="16.5" customHeight="1">
      <c r="A22" s="52" t="s">
        <v>42</v>
      </c>
      <c r="B22" s="54">
        <v>1.5E8</v>
      </c>
      <c r="C22" s="56">
        <f t="shared" si="1"/>
        <v>0.7209949731</v>
      </c>
      <c r="D22" s="57">
        <v>120.0</v>
      </c>
      <c r="E22" s="54">
        <f t="shared" si="2"/>
        <v>1250000</v>
      </c>
      <c r="F22" s="58">
        <v>0.01</v>
      </c>
      <c r="G22" s="54">
        <f t="shared" si="3"/>
        <v>12500</v>
      </c>
      <c r="H22" s="56">
        <v>0.05</v>
      </c>
      <c r="I22" s="54">
        <f t="shared" si="4"/>
        <v>625</v>
      </c>
      <c r="J22" s="11">
        <f t="shared" si="12"/>
        <v>8729.166667</v>
      </c>
      <c r="K22" s="54">
        <v>9800.0</v>
      </c>
      <c r="L22" s="54">
        <f t="shared" si="5"/>
        <v>18375000</v>
      </c>
      <c r="M22" s="54">
        <f t="shared" si="6"/>
        <v>41609166.67</v>
      </c>
      <c r="N22" s="54">
        <f t="shared" si="13"/>
        <v>208045833.3</v>
      </c>
      <c r="O22" s="54">
        <f t="shared" si="7"/>
        <v>39670833.33</v>
      </c>
      <c r="P22" s="59">
        <f t="shared" si="8"/>
        <v>0.2356099975</v>
      </c>
      <c r="Q22" s="54">
        <f t="shared" si="9"/>
        <v>10402291.67</v>
      </c>
      <c r="R22" s="60">
        <f t="shared" si="10"/>
        <v>-12340625</v>
      </c>
      <c r="S22" s="61">
        <f t="shared" si="11"/>
        <v>-0.05599538689</v>
      </c>
      <c r="T22" s="18"/>
      <c r="U22" s="18"/>
      <c r="V22" s="18"/>
      <c r="W22" s="18"/>
      <c r="X22" s="62"/>
      <c r="Y22" s="18"/>
      <c r="Z22" s="18"/>
      <c r="AA22" s="18"/>
      <c r="AB22" s="18"/>
      <c r="AC22" s="18"/>
      <c r="AD22" s="18"/>
      <c r="AE22" s="18"/>
    </row>
    <row r="23" ht="16.5" customHeight="1">
      <c r="A23" s="52" t="s">
        <v>43</v>
      </c>
      <c r="B23" s="54">
        <v>1.5E8</v>
      </c>
      <c r="C23" s="56">
        <f t="shared" si="1"/>
        <v>0.7003754791</v>
      </c>
      <c r="D23" s="57">
        <v>120.0</v>
      </c>
      <c r="E23" s="54">
        <f t="shared" si="2"/>
        <v>1250000</v>
      </c>
      <c r="F23" s="58">
        <v>0.01</v>
      </c>
      <c r="G23" s="54">
        <f t="shared" si="3"/>
        <v>12500</v>
      </c>
      <c r="H23" s="56">
        <v>0.05</v>
      </c>
      <c r="I23" s="54">
        <f t="shared" si="4"/>
        <v>625</v>
      </c>
      <c r="J23" s="11">
        <f t="shared" si="12"/>
        <v>9354.166667</v>
      </c>
      <c r="K23" s="54">
        <v>9800.0</v>
      </c>
      <c r="L23" s="54">
        <f t="shared" si="5"/>
        <v>18375000</v>
      </c>
      <c r="M23" s="54">
        <f t="shared" si="6"/>
        <v>42834166.67</v>
      </c>
      <c r="N23" s="54">
        <f t="shared" si="13"/>
        <v>214170833.3</v>
      </c>
      <c r="O23" s="54">
        <f t="shared" si="7"/>
        <v>45795833.33</v>
      </c>
      <c r="P23" s="59">
        <f t="shared" si="8"/>
        <v>0.2719871319</v>
      </c>
      <c r="Q23" s="54">
        <f t="shared" si="9"/>
        <v>10708541.67</v>
      </c>
      <c r="R23" s="60">
        <f t="shared" si="10"/>
        <v>-7746875</v>
      </c>
      <c r="S23" s="61">
        <f t="shared" si="11"/>
        <v>-0.03490877343</v>
      </c>
      <c r="T23" s="18"/>
      <c r="U23" s="18"/>
      <c r="V23" s="18"/>
      <c r="W23" s="18"/>
      <c r="X23" s="62"/>
      <c r="Y23" s="18"/>
      <c r="Z23" s="18"/>
      <c r="AA23" s="18"/>
      <c r="AB23" s="18"/>
      <c r="AC23" s="18"/>
      <c r="AD23" s="18"/>
      <c r="AE23" s="18"/>
    </row>
    <row r="24" ht="16.5" customHeight="1">
      <c r="A24" s="52" t="s">
        <v>45</v>
      </c>
      <c r="B24" s="54">
        <v>1.5E8</v>
      </c>
      <c r="C24" s="56">
        <f t="shared" si="1"/>
        <v>0.6809025742</v>
      </c>
      <c r="D24" s="57">
        <v>120.0</v>
      </c>
      <c r="E24" s="54">
        <f t="shared" si="2"/>
        <v>1250000</v>
      </c>
      <c r="F24" s="58">
        <v>0.01</v>
      </c>
      <c r="G24" s="54">
        <f t="shared" si="3"/>
        <v>12500</v>
      </c>
      <c r="H24" s="56">
        <v>0.05</v>
      </c>
      <c r="I24" s="54">
        <f t="shared" si="4"/>
        <v>625</v>
      </c>
      <c r="J24" s="11">
        <f t="shared" si="12"/>
        <v>9979.166667</v>
      </c>
      <c r="K24" s="54">
        <v>9800.0</v>
      </c>
      <c r="L24" s="54">
        <f t="shared" si="5"/>
        <v>18375000</v>
      </c>
      <c r="M24" s="54">
        <f t="shared" si="6"/>
        <v>44059166.67</v>
      </c>
      <c r="N24" s="54">
        <f t="shared" si="13"/>
        <v>220295833.3</v>
      </c>
      <c r="O24" s="54">
        <f t="shared" si="7"/>
        <v>51920833.33</v>
      </c>
      <c r="P24" s="59">
        <f t="shared" si="8"/>
        <v>0.3083642663</v>
      </c>
      <c r="Q24" s="54">
        <f t="shared" si="9"/>
        <v>11014791.67</v>
      </c>
      <c r="R24" s="60">
        <f t="shared" si="10"/>
        <v>-3153125</v>
      </c>
      <c r="S24" s="61">
        <f t="shared" si="11"/>
        <v>-0.01411116446</v>
      </c>
      <c r="T24" s="18"/>
      <c r="U24" s="18"/>
      <c r="V24" s="18"/>
      <c r="W24" s="18"/>
      <c r="X24" s="62"/>
      <c r="Y24" s="18"/>
      <c r="Z24" s="18"/>
      <c r="AA24" s="18"/>
      <c r="AB24" s="18"/>
      <c r="AC24" s="18"/>
      <c r="AD24" s="18"/>
      <c r="AE24" s="18"/>
    </row>
    <row r="25" ht="16.5" customHeight="1">
      <c r="A25" s="52" t="s">
        <v>46</v>
      </c>
      <c r="B25" s="54">
        <v>1.5E8</v>
      </c>
      <c r="C25" s="56">
        <f t="shared" si="1"/>
        <v>0.6624832079</v>
      </c>
      <c r="D25" s="57">
        <v>120.0</v>
      </c>
      <c r="E25" s="54">
        <f t="shared" si="2"/>
        <v>1250000</v>
      </c>
      <c r="F25" s="58">
        <v>0.01</v>
      </c>
      <c r="G25" s="54">
        <f t="shared" si="3"/>
        <v>12500</v>
      </c>
      <c r="H25" s="56">
        <v>0.05</v>
      </c>
      <c r="I25" s="54">
        <f t="shared" si="4"/>
        <v>625</v>
      </c>
      <c r="J25" s="11">
        <f t="shared" si="12"/>
        <v>10604.16667</v>
      </c>
      <c r="K25" s="54">
        <v>9800.0</v>
      </c>
      <c r="L25" s="54">
        <f t="shared" si="5"/>
        <v>18375000</v>
      </c>
      <c r="M25" s="54">
        <f t="shared" si="6"/>
        <v>45284166.67</v>
      </c>
      <c r="N25" s="54">
        <f t="shared" si="13"/>
        <v>226420833.3</v>
      </c>
      <c r="O25" s="54">
        <f t="shared" si="7"/>
        <v>58045833.33</v>
      </c>
      <c r="P25" s="59">
        <f t="shared" si="8"/>
        <v>0.3447414006</v>
      </c>
      <c r="Q25" s="54">
        <f t="shared" si="9"/>
        <v>11321041.67</v>
      </c>
      <c r="R25" s="60">
        <f t="shared" si="10"/>
        <v>1440625</v>
      </c>
      <c r="S25" s="61">
        <f t="shared" si="11"/>
        <v>0.006403341035</v>
      </c>
      <c r="T25" s="18"/>
      <c r="U25" s="18"/>
      <c r="V25" s="18"/>
      <c r="W25" s="18"/>
      <c r="X25" s="62"/>
      <c r="Y25" s="18"/>
      <c r="Z25" s="18"/>
      <c r="AA25" s="18"/>
      <c r="AB25" s="18"/>
      <c r="AC25" s="18"/>
      <c r="AD25" s="18"/>
      <c r="AE25" s="18"/>
    </row>
    <row r="26" ht="16.5" customHeight="1">
      <c r="A26" s="52" t="s">
        <v>48</v>
      </c>
      <c r="B26" s="54">
        <v>1.5E8</v>
      </c>
      <c r="C26" s="56">
        <f t="shared" si="1"/>
        <v>0.6450341331</v>
      </c>
      <c r="D26" s="57">
        <v>120.0</v>
      </c>
      <c r="E26" s="54">
        <f t="shared" si="2"/>
        <v>1250000</v>
      </c>
      <c r="F26" s="58">
        <v>0.01</v>
      </c>
      <c r="G26" s="54">
        <f t="shared" si="3"/>
        <v>12500</v>
      </c>
      <c r="H26" s="56">
        <v>0.05</v>
      </c>
      <c r="I26" s="54">
        <f t="shared" si="4"/>
        <v>625</v>
      </c>
      <c r="J26" s="11">
        <f t="shared" si="12"/>
        <v>11229.16667</v>
      </c>
      <c r="K26" s="54">
        <v>9800.0</v>
      </c>
      <c r="L26" s="54">
        <f t="shared" si="5"/>
        <v>18375000</v>
      </c>
      <c r="M26" s="54">
        <f t="shared" si="6"/>
        <v>46509166.67</v>
      </c>
      <c r="N26" s="54">
        <f t="shared" si="13"/>
        <v>232545833.3</v>
      </c>
      <c r="O26" s="54">
        <f t="shared" si="7"/>
        <v>64170833.33</v>
      </c>
      <c r="P26" s="59">
        <f t="shared" si="8"/>
        <v>0.381118535</v>
      </c>
      <c r="Q26" s="54">
        <f t="shared" si="9"/>
        <v>11627291.67</v>
      </c>
      <c r="R26" s="60">
        <f t="shared" si="10"/>
        <v>6034375</v>
      </c>
      <c r="S26" s="61">
        <f t="shared" si="11"/>
        <v>0.02664048452</v>
      </c>
      <c r="T26" s="18"/>
      <c r="U26" s="18"/>
      <c r="V26" s="18"/>
      <c r="W26" s="18"/>
      <c r="X26" s="62"/>
      <c r="Y26" s="18"/>
      <c r="Z26" s="18"/>
      <c r="AA26" s="18"/>
      <c r="AB26" s="18"/>
      <c r="AC26" s="18"/>
      <c r="AD26" s="18"/>
      <c r="AE26" s="18"/>
    </row>
    <row r="27" ht="16.5" customHeight="1">
      <c r="A27" s="52" t="s">
        <v>51</v>
      </c>
      <c r="B27" s="54">
        <v>1.5E8</v>
      </c>
      <c r="C27" s="56">
        <f t="shared" si="1"/>
        <v>0.628480648</v>
      </c>
      <c r="D27" s="57">
        <v>120.0</v>
      </c>
      <c r="E27" s="54">
        <f t="shared" si="2"/>
        <v>1250000</v>
      </c>
      <c r="F27" s="58">
        <v>0.01</v>
      </c>
      <c r="G27" s="54">
        <f t="shared" si="3"/>
        <v>12500</v>
      </c>
      <c r="H27" s="56">
        <v>0.05</v>
      </c>
      <c r="I27" s="54">
        <f t="shared" si="4"/>
        <v>625</v>
      </c>
      <c r="J27" s="11">
        <f t="shared" si="12"/>
        <v>11854.16667</v>
      </c>
      <c r="K27" s="54">
        <v>9800.0</v>
      </c>
      <c r="L27" s="54">
        <f t="shared" si="5"/>
        <v>18375000</v>
      </c>
      <c r="M27" s="54">
        <f t="shared" si="6"/>
        <v>47734166.67</v>
      </c>
      <c r="N27" s="54">
        <f t="shared" si="13"/>
        <v>238670833.3</v>
      </c>
      <c r="O27" s="54">
        <f t="shared" si="7"/>
        <v>70295833.33</v>
      </c>
      <c r="P27" s="59">
        <f t="shared" si="8"/>
        <v>0.4174956694</v>
      </c>
      <c r="Q27" s="54">
        <f t="shared" si="9"/>
        <v>11933541.67</v>
      </c>
      <c r="R27" s="60">
        <f t="shared" si="10"/>
        <v>10628125</v>
      </c>
      <c r="S27" s="61">
        <f t="shared" si="11"/>
        <v>0.04660585325</v>
      </c>
      <c r="T27" s="18"/>
      <c r="U27" s="18"/>
      <c r="V27" s="18"/>
      <c r="W27" s="18"/>
      <c r="X27" s="62"/>
      <c r="Y27" s="18"/>
      <c r="Z27" s="18"/>
      <c r="AA27" s="18"/>
      <c r="AB27" s="18"/>
      <c r="AC27" s="18"/>
      <c r="AD27" s="18"/>
      <c r="AE27" s="18"/>
    </row>
    <row r="28" ht="16.5" customHeight="1">
      <c r="A28" s="52" t="s">
        <v>52</v>
      </c>
      <c r="B28" s="54">
        <v>1.5E8</v>
      </c>
      <c r="C28" s="56">
        <f t="shared" si="1"/>
        <v>0.6127555276</v>
      </c>
      <c r="D28" s="57">
        <v>120.0</v>
      </c>
      <c r="E28" s="54">
        <f t="shared" si="2"/>
        <v>1250000</v>
      </c>
      <c r="F28" s="58">
        <v>0.01</v>
      </c>
      <c r="G28" s="54">
        <f t="shared" si="3"/>
        <v>12500</v>
      </c>
      <c r="H28" s="56">
        <v>0.05</v>
      </c>
      <c r="I28" s="54">
        <f t="shared" si="4"/>
        <v>625</v>
      </c>
      <c r="J28" s="11">
        <f t="shared" si="12"/>
        <v>12479.16667</v>
      </c>
      <c r="K28" s="54">
        <v>9800.0</v>
      </c>
      <c r="L28" s="54">
        <f t="shared" si="5"/>
        <v>18375000</v>
      </c>
      <c r="M28" s="54">
        <f t="shared" si="6"/>
        <v>48959166.67</v>
      </c>
      <c r="N28" s="54">
        <f t="shared" si="13"/>
        <v>244795833.3</v>
      </c>
      <c r="O28" s="54">
        <f t="shared" si="7"/>
        <v>76420833.33</v>
      </c>
      <c r="P28" s="59">
        <f t="shared" si="8"/>
        <v>0.4538728038</v>
      </c>
      <c r="Q28" s="54">
        <f t="shared" si="9"/>
        <v>12239791.67</v>
      </c>
      <c r="R28" s="60">
        <f t="shared" si="10"/>
        <v>15221875</v>
      </c>
      <c r="S28" s="61">
        <f t="shared" si="11"/>
        <v>0.06630488541</v>
      </c>
      <c r="T28" s="18"/>
      <c r="U28" s="18"/>
      <c r="V28" s="18"/>
      <c r="W28" s="18"/>
      <c r="X28" s="62"/>
      <c r="Y28" s="18"/>
      <c r="Z28" s="18"/>
      <c r="AA28" s="18"/>
      <c r="AB28" s="18"/>
      <c r="AC28" s="18"/>
      <c r="AD28" s="18"/>
      <c r="AE28" s="18"/>
    </row>
    <row r="29" ht="16.5" customHeight="1">
      <c r="A29" s="52" t="s">
        <v>53</v>
      </c>
      <c r="B29" s="54">
        <v>1.5E8</v>
      </c>
      <c r="C29" s="56">
        <f t="shared" si="1"/>
        <v>0.5977981103</v>
      </c>
      <c r="D29" s="57">
        <v>120.0</v>
      </c>
      <c r="E29" s="54">
        <f t="shared" si="2"/>
        <v>1250000</v>
      </c>
      <c r="F29" s="58">
        <v>0.01</v>
      </c>
      <c r="G29" s="54">
        <f t="shared" si="3"/>
        <v>12500</v>
      </c>
      <c r="H29" s="56">
        <v>0.05</v>
      </c>
      <c r="I29" s="54">
        <f t="shared" si="4"/>
        <v>625</v>
      </c>
      <c r="J29" s="11">
        <f t="shared" si="12"/>
        <v>13104.16667</v>
      </c>
      <c r="K29" s="54">
        <v>9800.0</v>
      </c>
      <c r="L29" s="54">
        <f t="shared" si="5"/>
        <v>18375000</v>
      </c>
      <c r="M29" s="54">
        <f t="shared" si="6"/>
        <v>50184166.67</v>
      </c>
      <c r="N29" s="54">
        <f t="shared" si="13"/>
        <v>250920833.3</v>
      </c>
      <c r="O29" s="54">
        <f t="shared" si="7"/>
        <v>82545833.33</v>
      </c>
      <c r="P29" s="59">
        <f t="shared" si="8"/>
        <v>0.4902499381</v>
      </c>
      <c r="Q29" s="54">
        <f t="shared" si="9"/>
        <v>12546041.67</v>
      </c>
      <c r="R29" s="60">
        <f t="shared" si="10"/>
        <v>19815625</v>
      </c>
      <c r="S29" s="61">
        <f t="shared" si="11"/>
        <v>0.08574287504</v>
      </c>
      <c r="T29" s="18"/>
      <c r="U29" s="18"/>
      <c r="V29" s="18"/>
      <c r="W29" s="18"/>
      <c r="X29" s="62"/>
      <c r="Y29" s="18"/>
      <c r="Z29" s="18"/>
      <c r="AA29" s="18"/>
      <c r="AB29" s="18"/>
      <c r="AC29" s="18"/>
      <c r="AD29" s="18"/>
      <c r="AE29" s="18"/>
    </row>
    <row r="30" ht="16.5" customHeight="1">
      <c r="A30" s="52" t="s">
        <v>54</v>
      </c>
      <c r="B30" s="54">
        <v>1.5E8</v>
      </c>
      <c r="C30" s="56">
        <f t="shared" si="1"/>
        <v>0.5835535167</v>
      </c>
      <c r="D30" s="57">
        <v>120.0</v>
      </c>
      <c r="E30" s="54">
        <f t="shared" si="2"/>
        <v>1250000</v>
      </c>
      <c r="F30" s="58">
        <v>0.01</v>
      </c>
      <c r="G30" s="54">
        <f t="shared" si="3"/>
        <v>12500</v>
      </c>
      <c r="H30" s="56">
        <v>0.05</v>
      </c>
      <c r="I30" s="54">
        <f t="shared" si="4"/>
        <v>625</v>
      </c>
      <c r="J30" s="11">
        <f t="shared" si="12"/>
        <v>13729.16667</v>
      </c>
      <c r="K30" s="54">
        <v>9800.0</v>
      </c>
      <c r="L30" s="54">
        <f t="shared" si="5"/>
        <v>18375000</v>
      </c>
      <c r="M30" s="54">
        <f t="shared" si="6"/>
        <v>51409166.67</v>
      </c>
      <c r="N30" s="54">
        <f t="shared" si="13"/>
        <v>257045833.3</v>
      </c>
      <c r="O30" s="54">
        <f t="shared" si="7"/>
        <v>88670833.33</v>
      </c>
      <c r="P30" s="59">
        <f t="shared" si="8"/>
        <v>0.5266270725</v>
      </c>
      <c r="Q30" s="54">
        <f t="shared" si="9"/>
        <v>12852291.67</v>
      </c>
      <c r="R30" s="60">
        <f t="shared" si="10"/>
        <v>24409375</v>
      </c>
      <c r="S30" s="61">
        <f t="shared" si="11"/>
        <v>0.1049249768</v>
      </c>
      <c r="T30" s="18"/>
      <c r="U30" s="18"/>
      <c r="V30" s="18"/>
      <c r="W30" s="18"/>
      <c r="X30" s="62"/>
      <c r="Y30" s="18"/>
      <c r="Z30" s="18"/>
      <c r="AA30" s="18"/>
      <c r="AB30" s="18"/>
      <c r="AC30" s="18"/>
      <c r="AD30" s="18"/>
      <c r="AE30" s="18"/>
    </row>
    <row r="31" ht="16.5" customHeight="1">
      <c r="A31" s="52" t="s">
        <v>55</v>
      </c>
      <c r="B31" s="54">
        <v>1.5E8</v>
      </c>
      <c r="C31" s="56">
        <f t="shared" si="1"/>
        <v>0.5699719764</v>
      </c>
      <c r="D31" s="57">
        <v>120.0</v>
      </c>
      <c r="E31" s="54">
        <f t="shared" si="2"/>
        <v>1250000</v>
      </c>
      <c r="F31" s="58">
        <v>0.01</v>
      </c>
      <c r="G31" s="54">
        <f t="shared" si="3"/>
        <v>12500</v>
      </c>
      <c r="H31" s="56">
        <v>0.05</v>
      </c>
      <c r="I31" s="54">
        <f t="shared" si="4"/>
        <v>625</v>
      </c>
      <c r="J31" s="11">
        <f t="shared" si="12"/>
        <v>14354.16667</v>
      </c>
      <c r="K31" s="54">
        <v>9800.0</v>
      </c>
      <c r="L31" s="54">
        <f t="shared" si="5"/>
        <v>18375000</v>
      </c>
      <c r="M31" s="54">
        <f t="shared" si="6"/>
        <v>52634166.67</v>
      </c>
      <c r="N31" s="54">
        <f t="shared" si="13"/>
        <v>263170833.3</v>
      </c>
      <c r="O31" s="54">
        <f t="shared" si="7"/>
        <v>94795833.33</v>
      </c>
      <c r="P31" s="59">
        <f t="shared" si="8"/>
        <v>0.5630042069</v>
      </c>
      <c r="Q31" s="54">
        <f t="shared" si="9"/>
        <v>13158541.67</v>
      </c>
      <c r="R31" s="60">
        <f t="shared" si="10"/>
        <v>29003125</v>
      </c>
      <c r="S31" s="61">
        <f t="shared" si="11"/>
        <v>0.1238562106</v>
      </c>
      <c r="T31" s="18"/>
      <c r="U31" s="18"/>
      <c r="V31" s="18"/>
      <c r="W31" s="18"/>
      <c r="X31" s="62"/>
      <c r="Y31" s="18"/>
      <c r="Z31" s="18"/>
      <c r="AA31" s="18"/>
      <c r="AB31" s="18"/>
      <c r="AC31" s="18"/>
      <c r="AD31" s="18"/>
      <c r="AE31" s="18"/>
    </row>
    <row r="32" ht="16.5" customHeight="1">
      <c r="A32" s="52" t="s">
        <v>56</v>
      </c>
      <c r="B32" s="54">
        <v>1.5E8</v>
      </c>
      <c r="C32" s="56">
        <f t="shared" si="1"/>
        <v>0.5570082468</v>
      </c>
      <c r="D32" s="57">
        <v>120.0</v>
      </c>
      <c r="E32" s="54">
        <f t="shared" si="2"/>
        <v>1250000</v>
      </c>
      <c r="F32" s="58">
        <v>0.01</v>
      </c>
      <c r="G32" s="54">
        <f t="shared" si="3"/>
        <v>12500</v>
      </c>
      <c r="H32" s="56">
        <v>0.05</v>
      </c>
      <c r="I32" s="54">
        <f t="shared" si="4"/>
        <v>625</v>
      </c>
      <c r="J32" s="11">
        <f t="shared" si="12"/>
        <v>14979.16667</v>
      </c>
      <c r="K32" s="54">
        <v>9800.0</v>
      </c>
      <c r="L32" s="54">
        <f t="shared" si="5"/>
        <v>18375000</v>
      </c>
      <c r="M32" s="54">
        <f t="shared" si="6"/>
        <v>53859166.67</v>
      </c>
      <c r="N32" s="54">
        <f t="shared" si="13"/>
        <v>269295833.3</v>
      </c>
      <c r="O32" s="54">
        <f t="shared" si="7"/>
        <v>100920833.3</v>
      </c>
      <c r="P32" s="59">
        <f t="shared" si="8"/>
        <v>0.5993813413</v>
      </c>
      <c r="Q32" s="54">
        <f t="shared" si="9"/>
        <v>13464791.67</v>
      </c>
      <c r="R32" s="60">
        <f t="shared" si="10"/>
        <v>33596875</v>
      </c>
      <c r="S32" s="61">
        <f t="shared" si="11"/>
        <v>0.1425414658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ht="16.5" customHeight="1">
      <c r="A33" s="52" t="s">
        <v>57</v>
      </c>
      <c r="B33" s="54">
        <v>1.5E8</v>
      </c>
      <c r="C33" s="56">
        <f t="shared" si="1"/>
        <v>0.5446211101</v>
      </c>
      <c r="D33" s="57">
        <v>120.0</v>
      </c>
      <c r="E33" s="54">
        <f t="shared" si="2"/>
        <v>1250000</v>
      </c>
      <c r="F33" s="58">
        <v>0.01</v>
      </c>
      <c r="G33" s="54">
        <f t="shared" si="3"/>
        <v>12500</v>
      </c>
      <c r="H33" s="56">
        <v>0.05</v>
      </c>
      <c r="I33" s="54">
        <f t="shared" si="4"/>
        <v>625</v>
      </c>
      <c r="J33" s="11">
        <f t="shared" si="12"/>
        <v>15604.16667</v>
      </c>
      <c r="K33" s="54">
        <v>9800.0</v>
      </c>
      <c r="L33" s="54">
        <f t="shared" si="5"/>
        <v>18375000</v>
      </c>
      <c r="M33" s="54">
        <f t="shared" si="6"/>
        <v>55084166.67</v>
      </c>
      <c r="N33" s="54">
        <f t="shared" si="13"/>
        <v>275420833.3</v>
      </c>
      <c r="O33" s="54">
        <f t="shared" si="7"/>
        <v>107045833.3</v>
      </c>
      <c r="P33" s="59">
        <f t="shared" si="8"/>
        <v>0.6357584756</v>
      </c>
      <c r="Q33" s="54">
        <f t="shared" si="9"/>
        <v>13771041.67</v>
      </c>
      <c r="R33" s="60">
        <f t="shared" si="10"/>
        <v>38190625</v>
      </c>
      <c r="S33" s="61">
        <f t="shared" si="11"/>
        <v>0.1609855055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ht="16.5" customHeight="1">
      <c r="A34" s="52" t="s">
        <v>58</v>
      </c>
      <c r="B34" s="54">
        <v>1.5E8</v>
      </c>
      <c r="C34" s="56">
        <f t="shared" si="1"/>
        <v>0.5327729351</v>
      </c>
      <c r="D34" s="57">
        <v>120.0</v>
      </c>
      <c r="E34" s="54">
        <f t="shared" si="2"/>
        <v>1250000</v>
      </c>
      <c r="F34" s="58">
        <v>0.01</v>
      </c>
      <c r="G34" s="54">
        <f t="shared" si="3"/>
        <v>12500</v>
      </c>
      <c r="H34" s="56">
        <v>0.05</v>
      </c>
      <c r="I34" s="54">
        <f t="shared" si="4"/>
        <v>625</v>
      </c>
      <c r="J34" s="11">
        <f t="shared" si="12"/>
        <v>16229.16667</v>
      </c>
      <c r="K34" s="54">
        <v>9800.0</v>
      </c>
      <c r="L34" s="54">
        <f t="shared" si="5"/>
        <v>18375000</v>
      </c>
      <c r="M34" s="54">
        <f t="shared" si="6"/>
        <v>56309166.67</v>
      </c>
      <c r="N34" s="54">
        <f t="shared" si="13"/>
        <v>281545833.3</v>
      </c>
      <c r="O34" s="54">
        <f t="shared" si="7"/>
        <v>113170833.3</v>
      </c>
      <c r="P34" s="59">
        <f t="shared" si="8"/>
        <v>0.67213561</v>
      </c>
      <c r="Q34" s="54">
        <f t="shared" si="9"/>
        <v>14077291.67</v>
      </c>
      <c r="R34" s="60">
        <f t="shared" si="10"/>
        <v>42784375</v>
      </c>
      <c r="S34" s="61">
        <f t="shared" si="11"/>
        <v>0.1791929707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ht="16.5" customHeight="1">
      <c r="A35" s="52" t="s">
        <v>59</v>
      </c>
      <c r="B35" s="54">
        <v>1.5E8</v>
      </c>
      <c r="C35" s="56">
        <f t="shared" si="1"/>
        <v>0.5214292956</v>
      </c>
      <c r="D35" s="57">
        <v>120.0</v>
      </c>
      <c r="E35" s="54">
        <f t="shared" si="2"/>
        <v>1250000</v>
      </c>
      <c r="F35" s="58">
        <v>0.01</v>
      </c>
      <c r="G35" s="54">
        <f t="shared" si="3"/>
        <v>12500</v>
      </c>
      <c r="H35" s="56">
        <v>0.05</v>
      </c>
      <c r="I35" s="54">
        <f t="shared" si="4"/>
        <v>625</v>
      </c>
      <c r="J35" s="11">
        <f t="shared" si="12"/>
        <v>16854.16667</v>
      </c>
      <c r="K35" s="54">
        <v>9800.0</v>
      </c>
      <c r="L35" s="54">
        <f t="shared" si="5"/>
        <v>18375000</v>
      </c>
      <c r="M35" s="54">
        <f t="shared" si="6"/>
        <v>57534166.67</v>
      </c>
      <c r="N35" s="54">
        <f t="shared" si="13"/>
        <v>287670833.3</v>
      </c>
      <c r="O35" s="54">
        <f t="shared" si="7"/>
        <v>119295833.3</v>
      </c>
      <c r="P35" s="59">
        <f t="shared" si="8"/>
        <v>0.7085127444</v>
      </c>
      <c r="Q35" s="54">
        <f t="shared" si="9"/>
        <v>14383541.67</v>
      </c>
      <c r="R35" s="60">
        <f t="shared" si="10"/>
        <v>47378125</v>
      </c>
      <c r="S35" s="61">
        <f t="shared" si="11"/>
        <v>0.197168384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ht="16.5" customHeight="1">
      <c r="A36" s="18"/>
      <c r="B36" s="18"/>
      <c r="C36" s="18"/>
      <c r="D36" s="18"/>
      <c r="E36" s="57"/>
      <c r="F36" s="88"/>
      <c r="G36" s="56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6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ht="16.5" customHeight="1">
      <c r="A37" s="18"/>
      <c r="B37" s="18"/>
      <c r="C37" s="18"/>
      <c r="D37" s="18"/>
      <c r="E37" s="57"/>
      <c r="F37" s="88"/>
      <c r="G37" s="56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ht="16.5" customHeight="1">
      <c r="A38" s="18"/>
      <c r="B38" s="18"/>
      <c r="C38" s="18"/>
      <c r="D38" s="18"/>
      <c r="E38" s="57"/>
      <c r="F38" s="88"/>
      <c r="G38" s="56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ht="16.5" customHeight="1">
      <c r="A39" s="18"/>
      <c r="B39" s="18"/>
      <c r="C39" s="18"/>
      <c r="D39" s="18"/>
      <c r="E39" s="57"/>
      <c r="F39" s="89"/>
      <c r="G39" s="56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ht="16.5" customHeight="1">
      <c r="A40" s="18"/>
      <c r="B40" s="18"/>
      <c r="C40" s="18"/>
      <c r="D40" s="18"/>
      <c r="E40" s="57"/>
      <c r="F40" s="88"/>
      <c r="G40" s="56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ht="16.5" customHeight="1">
      <c r="A41" s="18"/>
      <c r="B41" s="18"/>
      <c r="C41" s="18"/>
      <c r="D41" s="18"/>
      <c r="E41" s="57"/>
      <c r="F41" s="88"/>
      <c r="G41" s="56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ht="16.5" customHeight="1">
      <c r="A42" s="18"/>
      <c r="B42" s="18"/>
      <c r="C42" s="18"/>
      <c r="D42" s="18"/>
      <c r="E42" s="57"/>
      <c r="F42" s="88"/>
      <c r="G42" s="56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ht="16.5" customHeight="1">
      <c r="A43" s="18"/>
      <c r="B43" s="18"/>
      <c r="C43" s="18"/>
      <c r="D43" s="18"/>
      <c r="E43" s="57"/>
      <c r="F43" s="88"/>
      <c r="G43" s="56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ht="16.5" customHeight="1">
      <c r="A44" s="18"/>
      <c r="B44" s="18"/>
      <c r="C44" s="18"/>
      <c r="D44" s="18"/>
      <c r="E44" s="57"/>
      <c r="F44" s="88"/>
      <c r="G44" s="5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63"/>
      <c r="U44" s="63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63"/>
      <c r="T45" s="63"/>
      <c r="U45" s="63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5.71"/>
  </cols>
  <sheetData>
    <row r="1">
      <c r="A1" s="93" t="s">
        <v>0</v>
      </c>
      <c r="B1" s="93" t="s">
        <v>2</v>
      </c>
      <c r="C1" s="93" t="s">
        <v>3</v>
      </c>
      <c r="D1" s="93" t="s">
        <v>9</v>
      </c>
      <c r="E1" s="94" t="s">
        <v>4</v>
      </c>
      <c r="F1" s="95" t="s">
        <v>5</v>
      </c>
      <c r="G1" s="95" t="s">
        <v>6</v>
      </c>
      <c r="H1" s="93" t="s">
        <v>63</v>
      </c>
      <c r="I1" s="93" t="s">
        <v>12</v>
      </c>
      <c r="K1" s="95" t="s">
        <v>64</v>
      </c>
    </row>
    <row r="2">
      <c r="A2" s="96" t="str">
        <f>TEXT(1000000, "#,##0" )</f>
        <v>1,000,000</v>
      </c>
      <c r="B2" s="96">
        <v>50.0</v>
      </c>
      <c r="C2" s="97" t="str">
        <f t="shared" ref="C2:C12" si="1">TEXT( SUM(A2/B2), "#,##0" )</f>
        <v>20,000</v>
      </c>
      <c r="D2" s="96" t="str">
        <f t="shared" ref="D2:D12" si="2">TEXT(7500, "#,##0" )</f>
        <v>7,500</v>
      </c>
      <c r="E2" s="98">
        <v>0.01</v>
      </c>
      <c r="F2" s="97" t="str">
        <f t="shared" ref="F2:F12" si="3">TEXT( SUM(C2*E2), "#,##0" )</f>
        <v>200</v>
      </c>
      <c r="G2" s="99">
        <v>0.2</v>
      </c>
      <c r="H2" s="97" t="str">
        <f>TEXT( SUM(F2*G2), "#,##0" )</f>
        <v>40</v>
      </c>
      <c r="I2" s="97" t="str">
        <f>TEXT( SUM(F2*D2), "#,##0" )</f>
        <v>1,500,000</v>
      </c>
      <c r="J2" s="100"/>
      <c r="K2" s="97" t="str">
        <f>TEXT( SUM(I2+I3+I4+I5+I6+I7+I8+I9+I10+I11+I12+I13), "#,##0" )</f>
        <v>2,037,000,000</v>
      </c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>
      <c r="A3" s="96" t="str">
        <f>TEXT(3000000, "#,##0" )</f>
        <v>3,000,000</v>
      </c>
      <c r="B3" s="96">
        <v>50.0</v>
      </c>
      <c r="C3" s="97" t="str">
        <f t="shared" si="1"/>
        <v>60,000</v>
      </c>
      <c r="D3" s="96" t="str">
        <f t="shared" si="2"/>
        <v>7,500</v>
      </c>
      <c r="E3" s="98">
        <v>0.025</v>
      </c>
      <c r="F3" s="97" t="str">
        <f t="shared" si="3"/>
        <v>1,500</v>
      </c>
      <c r="G3" s="99">
        <v>0.2</v>
      </c>
      <c r="H3" s="97" t="str">
        <f t="shared" ref="H3:H12" si="4">TEXT( SUM((F3*G3)+(H2)), "#,##0" )</f>
        <v>340</v>
      </c>
      <c r="I3" s="97" t="str">
        <f t="shared" ref="I3:I12" si="5">TEXT( SUM((F3*D3)+(H3*D3)), "#,##0" )</f>
        <v>13,800,000</v>
      </c>
    </row>
    <row r="4">
      <c r="A4" s="96" t="str">
        <f>TEXT(5000000, "#,##0" )</f>
        <v>5,000,000</v>
      </c>
      <c r="B4" s="96">
        <v>50.0</v>
      </c>
      <c r="C4" s="97" t="str">
        <f t="shared" si="1"/>
        <v>100,000</v>
      </c>
      <c r="D4" s="96" t="str">
        <f t="shared" si="2"/>
        <v>7,500</v>
      </c>
      <c r="E4" s="98">
        <v>0.025</v>
      </c>
      <c r="F4" s="97" t="str">
        <f t="shared" si="3"/>
        <v>2,500</v>
      </c>
      <c r="G4" s="99">
        <v>0.2</v>
      </c>
      <c r="H4" s="97" t="str">
        <f t="shared" si="4"/>
        <v>840</v>
      </c>
      <c r="I4" s="97" t="str">
        <f t="shared" si="5"/>
        <v>25,050,000</v>
      </c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5">
      <c r="A5" s="96" t="str">
        <f>TEXT(15000000, "#,##0" )</f>
        <v>15,000,000</v>
      </c>
      <c r="B5" s="96">
        <v>50.0</v>
      </c>
      <c r="C5" s="97" t="str">
        <f t="shared" si="1"/>
        <v>300,000</v>
      </c>
      <c r="D5" s="96" t="str">
        <f t="shared" si="2"/>
        <v>7,500</v>
      </c>
      <c r="E5" s="98">
        <v>0.025</v>
      </c>
      <c r="F5" s="97" t="str">
        <f t="shared" si="3"/>
        <v>7,500</v>
      </c>
      <c r="G5" s="99">
        <v>0.2</v>
      </c>
      <c r="H5" s="97" t="str">
        <f t="shared" si="4"/>
        <v>2,340</v>
      </c>
      <c r="I5" s="97" t="str">
        <f t="shared" si="5"/>
        <v>73,800,000</v>
      </c>
    </row>
    <row r="6">
      <c r="A6" s="96" t="str">
        <f>TEXT(30000000, "#,##0" )</f>
        <v>30,000,000</v>
      </c>
      <c r="B6" s="96">
        <v>50.0</v>
      </c>
      <c r="C6" s="97" t="str">
        <f t="shared" si="1"/>
        <v>600,000</v>
      </c>
      <c r="D6" s="96" t="str">
        <f t="shared" si="2"/>
        <v>7,500</v>
      </c>
      <c r="E6" s="98">
        <v>0.025</v>
      </c>
      <c r="F6" s="97" t="str">
        <f t="shared" si="3"/>
        <v>15,000</v>
      </c>
      <c r="G6" s="99">
        <v>0.2</v>
      </c>
      <c r="H6" s="97" t="str">
        <f t="shared" si="4"/>
        <v>5,340</v>
      </c>
      <c r="I6" s="97" t="str">
        <f t="shared" si="5"/>
        <v>152,550,000</v>
      </c>
    </row>
    <row r="7">
      <c r="A7" s="96" t="str">
        <f t="shared" ref="A7:A12" si="6">TEXT(40000000, "#,##0" )</f>
        <v>40,000,000</v>
      </c>
      <c r="B7" s="96">
        <v>50.0</v>
      </c>
      <c r="C7" s="97" t="str">
        <f t="shared" si="1"/>
        <v>800,000</v>
      </c>
      <c r="D7" s="96" t="str">
        <f t="shared" si="2"/>
        <v>7,500</v>
      </c>
      <c r="E7" s="98">
        <v>0.025</v>
      </c>
      <c r="F7" s="97" t="str">
        <f t="shared" si="3"/>
        <v>20,000</v>
      </c>
      <c r="G7" s="99">
        <v>0.2</v>
      </c>
      <c r="H7" s="97" t="str">
        <f t="shared" si="4"/>
        <v>9,340</v>
      </c>
      <c r="I7" s="97" t="str">
        <f t="shared" si="5"/>
        <v>220,050,000</v>
      </c>
    </row>
    <row r="8">
      <c r="A8" s="96" t="str">
        <f t="shared" si="6"/>
        <v>40,000,000</v>
      </c>
      <c r="B8" s="96">
        <v>50.0</v>
      </c>
      <c r="C8" s="97" t="str">
        <f t="shared" si="1"/>
        <v>800,000</v>
      </c>
      <c r="D8" s="96" t="str">
        <f t="shared" si="2"/>
        <v>7,500</v>
      </c>
      <c r="E8" s="98">
        <v>0.025</v>
      </c>
      <c r="F8" s="97" t="str">
        <f t="shared" si="3"/>
        <v>20,000</v>
      </c>
      <c r="G8" s="99">
        <v>0.2</v>
      </c>
      <c r="H8" s="97" t="str">
        <f t="shared" si="4"/>
        <v>13,340</v>
      </c>
      <c r="I8" s="97" t="str">
        <f t="shared" si="5"/>
        <v>250,050,000</v>
      </c>
    </row>
    <row r="9">
      <c r="A9" s="96" t="str">
        <f t="shared" si="6"/>
        <v>40,000,000</v>
      </c>
      <c r="B9" s="96">
        <v>50.0</v>
      </c>
      <c r="C9" s="97" t="str">
        <f t="shared" si="1"/>
        <v>800,000</v>
      </c>
      <c r="D9" s="96" t="str">
        <f t="shared" si="2"/>
        <v>7,500</v>
      </c>
      <c r="E9" s="98">
        <v>0.025</v>
      </c>
      <c r="F9" s="97" t="str">
        <f t="shared" si="3"/>
        <v>20,000</v>
      </c>
      <c r="G9" s="99">
        <v>0.2</v>
      </c>
      <c r="H9" s="97" t="str">
        <f t="shared" si="4"/>
        <v>17,340</v>
      </c>
      <c r="I9" s="97" t="str">
        <f t="shared" si="5"/>
        <v>280,050,000</v>
      </c>
    </row>
    <row r="10">
      <c r="A10" s="96" t="str">
        <f t="shared" si="6"/>
        <v>40,000,000</v>
      </c>
      <c r="B10" s="96">
        <v>50.0</v>
      </c>
      <c r="C10" s="97" t="str">
        <f t="shared" si="1"/>
        <v>800,000</v>
      </c>
      <c r="D10" s="96" t="str">
        <f t="shared" si="2"/>
        <v>7,500</v>
      </c>
      <c r="E10" s="98">
        <v>0.025</v>
      </c>
      <c r="F10" s="97" t="str">
        <f t="shared" si="3"/>
        <v>20,000</v>
      </c>
      <c r="G10" s="99">
        <v>0.2</v>
      </c>
      <c r="H10" s="97" t="str">
        <f t="shared" si="4"/>
        <v>21,340</v>
      </c>
      <c r="I10" s="97" t="str">
        <f t="shared" si="5"/>
        <v>310,050,000</v>
      </c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</row>
    <row r="11">
      <c r="A11" s="96" t="str">
        <f t="shared" si="6"/>
        <v>40,000,000</v>
      </c>
      <c r="B11" s="96">
        <v>50.0</v>
      </c>
      <c r="C11" s="97" t="str">
        <f t="shared" si="1"/>
        <v>800,000</v>
      </c>
      <c r="D11" s="96" t="str">
        <f t="shared" si="2"/>
        <v>7,500</v>
      </c>
      <c r="E11" s="98">
        <v>0.025</v>
      </c>
      <c r="F11" s="97" t="str">
        <f t="shared" si="3"/>
        <v>20,000</v>
      </c>
      <c r="G11" s="99">
        <v>0.2</v>
      </c>
      <c r="H11" s="97" t="str">
        <f t="shared" si="4"/>
        <v>25,340</v>
      </c>
      <c r="I11" s="97" t="str">
        <f t="shared" si="5"/>
        <v>340,050,000</v>
      </c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>
      <c r="A12" s="96" t="str">
        <f t="shared" si="6"/>
        <v>40,000,000</v>
      </c>
      <c r="B12" s="96">
        <v>50.0</v>
      </c>
      <c r="C12" s="97" t="str">
        <f t="shared" si="1"/>
        <v>800,000</v>
      </c>
      <c r="D12" s="96" t="str">
        <f t="shared" si="2"/>
        <v>7,500</v>
      </c>
      <c r="E12" s="98">
        <v>0.025</v>
      </c>
      <c r="F12" s="97" t="str">
        <f t="shared" si="3"/>
        <v>20,000</v>
      </c>
      <c r="G12" s="99">
        <v>0.2</v>
      </c>
      <c r="H12" s="97" t="str">
        <f t="shared" si="4"/>
        <v>29,340</v>
      </c>
      <c r="I12" s="97" t="str">
        <f t="shared" si="5"/>
        <v>370,050,000</v>
      </c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</row>
    <row r="18">
      <c r="F18" s="102"/>
      <c r="G18" s="93" t="s">
        <v>61</v>
      </c>
      <c r="H18" s="93" t="s">
        <v>62</v>
      </c>
      <c r="I18" s="93" t="s">
        <v>65</v>
      </c>
      <c r="J18" s="93" t="s">
        <v>66</v>
      </c>
      <c r="K18" s="93" t="s">
        <v>67</v>
      </c>
      <c r="L18" s="93" t="s">
        <v>68</v>
      </c>
      <c r="M18" s="93" t="s">
        <v>69</v>
      </c>
      <c r="N18" s="93" t="s">
        <v>70</v>
      </c>
      <c r="O18" s="93" t="s">
        <v>71</v>
      </c>
      <c r="P18" s="93" t="s">
        <v>72</v>
      </c>
      <c r="Q18" s="93" t="s">
        <v>73</v>
      </c>
      <c r="R18" s="93" t="s">
        <v>74</v>
      </c>
    </row>
    <row r="19">
      <c r="F19" s="93" t="s">
        <v>12</v>
      </c>
      <c r="G19" s="96">
        <v>1500000.0</v>
      </c>
      <c r="H19" s="93">
        <v>1.38E7</v>
      </c>
      <c r="I19" s="93">
        <v>2.505E7</v>
      </c>
      <c r="J19" s="93">
        <v>1380000.0</v>
      </c>
      <c r="K19" s="93">
        <v>1.38E7</v>
      </c>
      <c r="L19" s="93">
        <v>1.38E7</v>
      </c>
      <c r="M19" s="93">
        <v>1.38E7</v>
      </c>
      <c r="N19" s="93">
        <v>1.38E7</v>
      </c>
      <c r="O19" s="93">
        <v>1.38E7</v>
      </c>
      <c r="P19" s="93">
        <v>1.38E7</v>
      </c>
      <c r="Q19" s="93">
        <v>1.38E7</v>
      </c>
      <c r="R19" s="93">
        <v>1.38E7</v>
      </c>
    </row>
    <row r="20">
      <c r="F20" s="93" t="s">
        <v>60</v>
      </c>
      <c r="G20" s="93">
        <v>14.0</v>
      </c>
      <c r="H20" s="93">
        <v>30.0</v>
      </c>
      <c r="I20" s="93">
        <v>308.0</v>
      </c>
      <c r="J20" s="93">
        <v>30.0</v>
      </c>
      <c r="K20" s="93">
        <v>30.0</v>
      </c>
      <c r="L20" s="93">
        <v>30.0</v>
      </c>
      <c r="M20" s="93">
        <v>100.0</v>
      </c>
      <c r="N20" s="93">
        <v>30.0</v>
      </c>
      <c r="O20" s="93">
        <v>303434.0</v>
      </c>
      <c r="P20" s="93">
        <v>3043434.0</v>
      </c>
      <c r="Q20" s="93">
        <v>301434.0</v>
      </c>
      <c r="R20" s="93">
        <v>300.0</v>
      </c>
    </row>
    <row r="44">
      <c r="M44" s="95" t="s">
        <v>49</v>
      </c>
      <c r="N44" s="95" t="s">
        <v>50</v>
      </c>
      <c r="O44" s="95" t="s">
        <v>60</v>
      </c>
    </row>
    <row r="45">
      <c r="M45" s="95" t="s">
        <v>61</v>
      </c>
      <c r="N45" s="95">
        <v>100.0</v>
      </c>
      <c r="O45" s="95">
        <v>10.0</v>
      </c>
    </row>
    <row r="46">
      <c r="M46" s="95" t="s">
        <v>62</v>
      </c>
      <c r="N46" s="95">
        <v>200.0</v>
      </c>
      <c r="O46" s="95">
        <v>20.0</v>
      </c>
    </row>
  </sheetData>
  <drawing r:id="rId1"/>
  <tableParts count="2">
    <tablePart r:id="rId4"/>
    <tablePart r:id="rId5"/>
  </tableParts>
</worksheet>
</file>