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7.xml" ContentType="application/vnd.openxmlformats-officedocument.drawing+xml"/>
  <Override PartName="/xl/tables/table8.xml" ContentType="application/vnd.openxmlformats-officedocument.spreadsheetml.table+xml"/>
  <Override PartName="/xl/drawings/drawing8.xml" ContentType="application/vnd.openxmlformats-officedocument.drawing+xml"/>
  <Override PartName="/xl/tables/table9.xml" ContentType="application/vnd.openxmlformats-officedocument.spreadsheetml.tab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1.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aximilianotombolini/Desktop/Opti-Project/"/>
    </mc:Choice>
  </mc:AlternateContent>
  <xr:revisionPtr revIDLastSave="0" documentId="8_{62D698C6-C0A3-5145-94EB-ED81FF6A65B7}" xr6:coauthVersionLast="47" xr6:coauthVersionMax="47" xr10:uidLastSave="{00000000-0000-0000-0000-000000000000}"/>
  <bookViews>
    <workbookView xWindow="0" yWindow="0" windowWidth="29040" windowHeight="15840" firstSheet="4" activeTab="4" xr2:uid="{CA170439-337B-43D2-8315-8B4997B9E0F6}"/>
  </bookViews>
  <sheets>
    <sheet name="Promedio lluvia diario" sheetId="3" r:id="rId1"/>
    <sheet name="Areas" sheetId="1" r:id="rId2"/>
    <sheet name="eficiencia metodos" sheetId="2" r:id="rId3"/>
    <sheet name="Capacidad estanque" sheetId="4" r:id="rId4"/>
    <sheet name="Altura manometrica" sheetId="5" r:id="rId5"/>
    <sheet name="Bomba" sheetId="6" r:id="rId6"/>
    <sheet name="Costo unitario agua" sheetId="7" r:id="rId7"/>
    <sheet name="Costo energia" sheetId="8" r:id="rId8"/>
    <sheet name="Penalización" sheetId="9" r:id="rId9"/>
    <sheet name="periodos" sheetId="10" r:id="rId10"/>
    <sheet name="automatico" sheetId="11" r:id="rId11"/>
    <sheet name="Suelos necesidades"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12" l="1"/>
  <c r="D23" i="12"/>
  <c r="D22" i="12"/>
  <c r="D21" i="12"/>
  <c r="D20" i="12"/>
  <c r="D19" i="12"/>
  <c r="D18" i="12"/>
  <c r="D17" i="12"/>
  <c r="D16" i="12"/>
  <c r="D15" i="12"/>
  <c r="D14" i="12"/>
  <c r="D13" i="12"/>
  <c r="D12" i="12"/>
  <c r="D9" i="12"/>
  <c r="D10" i="12"/>
  <c r="D11" i="12"/>
  <c r="E6" i="11"/>
  <c r="E7" i="11"/>
  <c r="E8" i="11"/>
  <c r="E9" i="11"/>
  <c r="E10" i="11"/>
  <c r="E11" i="11"/>
  <c r="E12" i="11"/>
  <c r="E13" i="11"/>
  <c r="E14" i="11"/>
  <c r="E15" i="11"/>
  <c r="E16" i="11"/>
  <c r="E17" i="11"/>
  <c r="E18" i="11"/>
  <c r="E19" i="11"/>
  <c r="E20" i="11"/>
  <c r="E21" i="11"/>
  <c r="C4" i="11"/>
  <c r="D6" i="11"/>
  <c r="D7" i="11"/>
  <c r="D8" i="11"/>
  <c r="D9" i="11"/>
  <c r="D10" i="11"/>
  <c r="D11" i="11"/>
  <c r="D12" i="11"/>
  <c r="D13" i="11"/>
  <c r="D14" i="11"/>
  <c r="D15" i="11"/>
  <c r="D16" i="11"/>
  <c r="D17" i="11"/>
  <c r="D18" i="11"/>
  <c r="D19" i="11"/>
  <c r="D20" i="11"/>
  <c r="D21" i="11"/>
  <c r="C6" i="11"/>
  <c r="C7" i="11"/>
  <c r="C8" i="11"/>
  <c r="C9" i="11"/>
  <c r="C10" i="11"/>
  <c r="C11" i="11"/>
  <c r="C12" i="11"/>
  <c r="C13" i="11"/>
  <c r="C14" i="11"/>
  <c r="C15" i="11"/>
  <c r="C16" i="11"/>
  <c r="C17" i="11"/>
  <c r="C18" i="11"/>
  <c r="C19" i="11"/>
  <c r="C20" i="11"/>
  <c r="C21" i="11"/>
  <c r="D2" i="3"/>
  <c r="D3" i="3"/>
  <c r="D4" i="3"/>
  <c r="D5" i="3"/>
  <c r="D6" i="3"/>
  <c r="D7" i="3"/>
  <c r="D8" i="3"/>
  <c r="D9" i="3"/>
  <c r="D10" i="3"/>
  <c r="D11" i="3"/>
  <c r="D12" i="3"/>
  <c r="D13" i="3"/>
  <c r="E2" i="3"/>
  <c r="E3" i="3"/>
  <c r="E4" i="3"/>
  <c r="E5" i="3"/>
  <c r="E6" i="3"/>
  <c r="E7" i="3"/>
  <c r="E8" i="3"/>
  <c r="E9" i="3"/>
  <c r="E10" i="3"/>
  <c r="E11" i="3"/>
  <c r="E12" i="3"/>
  <c r="E13" i="3"/>
  <c r="K26" i="1"/>
  <c r="K27" i="1"/>
  <c r="J4" i="1" s="1"/>
  <c r="K28" i="1"/>
  <c r="J5" i="1" s="1"/>
  <c r="K29" i="1"/>
  <c r="J6" i="1" s="1"/>
  <c r="K30" i="1"/>
  <c r="J7" i="1" s="1"/>
  <c r="K31" i="1"/>
  <c r="J8" i="1" s="1"/>
  <c r="K32" i="1"/>
  <c r="K33" i="1"/>
  <c r="K34" i="1"/>
  <c r="J11" i="1" s="1"/>
  <c r="K35" i="1"/>
  <c r="J12" i="1" s="1"/>
  <c r="K36" i="1"/>
  <c r="J13" i="1" s="1"/>
  <c r="K37" i="1"/>
  <c r="J14" i="1" s="1"/>
  <c r="K38" i="1"/>
  <c r="K39" i="1"/>
  <c r="K40" i="1"/>
  <c r="K25" i="1"/>
  <c r="J2" i="1"/>
  <c r="J3" i="1"/>
  <c r="J15" i="1"/>
  <c r="J16" i="1"/>
  <c r="J17" i="1"/>
  <c r="J9" i="1"/>
  <c r="J10" i="1"/>
  <c r="I2" i="1"/>
  <c r="I3" i="1"/>
  <c r="I4" i="1"/>
  <c r="I5" i="1"/>
  <c r="I6" i="1"/>
  <c r="I7" i="1"/>
  <c r="I8" i="1"/>
  <c r="I9" i="1"/>
  <c r="I10" i="1"/>
  <c r="I11" i="1"/>
  <c r="I12" i="1"/>
  <c r="I13" i="1"/>
  <c r="I14" i="1"/>
  <c r="I15" i="1"/>
  <c r="I16" i="1"/>
  <c r="I17" i="1"/>
  <c r="H2" i="1"/>
  <c r="H3" i="1"/>
  <c r="H4" i="1"/>
  <c r="H5" i="1"/>
  <c r="H6" i="1"/>
  <c r="H7" i="1"/>
  <c r="H8" i="1"/>
  <c r="H9" i="1"/>
  <c r="H10" i="1"/>
  <c r="H11" i="1"/>
  <c r="H12" i="1"/>
  <c r="H13" i="1"/>
  <c r="H14" i="1"/>
  <c r="H15" i="1"/>
  <c r="H16" i="1"/>
  <c r="H17" i="1"/>
  <c r="G2" i="1"/>
  <c r="G3" i="1"/>
  <c r="G4" i="1"/>
  <c r="G5" i="1"/>
  <c r="G6" i="1"/>
  <c r="G7" i="1"/>
  <c r="G8" i="1"/>
  <c r="G9" i="1"/>
  <c r="G10" i="1"/>
  <c r="G11" i="1"/>
  <c r="G12" i="1"/>
  <c r="G13" i="1"/>
  <c r="G14" i="1"/>
  <c r="G15" i="1"/>
  <c r="G16" i="1"/>
  <c r="G17" i="1"/>
  <c r="F2" i="1"/>
  <c r="F3" i="1"/>
  <c r="F4" i="1"/>
  <c r="F5" i="1"/>
  <c r="F6" i="1"/>
  <c r="F7" i="1"/>
  <c r="F8" i="1"/>
  <c r="F9" i="1"/>
  <c r="F10" i="1"/>
  <c r="F11" i="1"/>
  <c r="F12" i="1"/>
  <c r="F13" i="1"/>
  <c r="F14" i="1"/>
  <c r="F15" i="1"/>
  <c r="F16" i="1"/>
  <c r="F17" i="1"/>
  <c r="E2" i="1"/>
  <c r="E3" i="1"/>
  <c r="E4" i="1"/>
  <c r="E5" i="1"/>
  <c r="E6" i="1"/>
  <c r="E7" i="1"/>
  <c r="E8" i="1"/>
  <c r="E9" i="1"/>
  <c r="E10" i="1"/>
  <c r="E11" i="1"/>
  <c r="E12" i="1"/>
  <c r="E13" i="1"/>
  <c r="E14" i="1"/>
  <c r="E15" i="1"/>
  <c r="E16" i="1"/>
  <c r="E17" i="1"/>
  <c r="D2" i="1"/>
  <c r="D3" i="1"/>
  <c r="D4" i="1"/>
  <c r="D5" i="1"/>
  <c r="D6" i="1"/>
  <c r="D7" i="1"/>
  <c r="D8" i="1"/>
  <c r="D9" i="1"/>
  <c r="D10" i="1"/>
  <c r="D11" i="1"/>
  <c r="D12" i="1"/>
  <c r="D13" i="1"/>
  <c r="D14" i="1"/>
  <c r="D15" i="1"/>
  <c r="D16" i="1"/>
  <c r="D17" i="1"/>
  <c r="C7" i="7"/>
  <c r="C6" i="7"/>
  <c r="B5" i="7"/>
  <c r="C5" i="7" s="1"/>
  <c r="E5" i="7"/>
  <c r="E4" i="7"/>
  <c r="C4" i="7"/>
  <c r="C3" i="7"/>
  <c r="C2" i="7"/>
  <c r="D3" i="6"/>
  <c r="D4" i="6"/>
  <c r="D5" i="6"/>
  <c r="D6" i="6"/>
  <c r="D2" i="6"/>
  <c r="C3" i="4"/>
  <c r="C4" i="4"/>
  <c r="C5" i="4"/>
  <c r="C6" i="4"/>
  <c r="C7" i="4"/>
  <c r="C8" i="4"/>
  <c r="C9" i="4"/>
  <c r="C10" i="4"/>
  <c r="C11" i="4"/>
  <c r="C12" i="4"/>
  <c r="C13" i="4"/>
  <c r="C14" i="4"/>
  <c r="C15" i="4"/>
  <c r="C16" i="4"/>
  <c r="C2" i="4"/>
  <c r="D3" i="2"/>
  <c r="D4" i="2"/>
  <c r="D5" i="2"/>
  <c r="D6" i="2"/>
  <c r="D7" i="2"/>
  <c r="D2" i="2"/>
  <c r="C14" i="3"/>
  <c r="C3" i="1"/>
  <c r="C4" i="1"/>
  <c r="C5" i="1"/>
  <c r="C6" i="1"/>
  <c r="C7" i="1"/>
  <c r="C8" i="1"/>
  <c r="C9" i="1"/>
  <c r="C10" i="1"/>
  <c r="C11" i="1"/>
  <c r="C12" i="1"/>
  <c r="C13" i="1"/>
  <c r="C14" i="1"/>
  <c r="C15" i="1"/>
  <c r="C16" i="1"/>
  <c r="C17" i="1"/>
  <c r="C2" i="1"/>
</calcChain>
</file>

<file path=xl/sharedStrings.xml><?xml version="1.0" encoding="utf-8"?>
<sst xmlns="http://schemas.openxmlformats.org/spreadsheetml/2006/main" count="224" uniqueCount="147">
  <si>
    <t>lluvia (mm)</t>
  </si>
  <si>
    <t>Enero</t>
  </si>
  <si>
    <t>Febrero</t>
  </si>
  <si>
    <t>Marzo</t>
  </si>
  <si>
    <t>Abril</t>
  </si>
  <si>
    <t>Mayo</t>
  </si>
  <si>
    <t>Junio</t>
  </si>
  <si>
    <t>Julio</t>
  </si>
  <si>
    <t>Agosto</t>
  </si>
  <si>
    <t>Septiembre</t>
  </si>
  <si>
    <t>Octubre</t>
  </si>
  <si>
    <t>Noviembre</t>
  </si>
  <si>
    <t>Diciembre</t>
  </si>
  <si>
    <t>Areas de ejemplo</t>
  </si>
  <si>
    <t>a</t>
  </si>
  <si>
    <t>b</t>
  </si>
  <si>
    <t>c</t>
  </si>
  <si>
    <t>d</t>
  </si>
  <si>
    <t>e</t>
  </si>
  <si>
    <t>f</t>
  </si>
  <si>
    <t>g</t>
  </si>
  <si>
    <t>h</t>
  </si>
  <si>
    <t>i</t>
  </si>
  <si>
    <t>j</t>
  </si>
  <si>
    <t>k</t>
  </si>
  <si>
    <t>l</t>
  </si>
  <si>
    <t>m</t>
  </si>
  <si>
    <t>n</t>
  </si>
  <si>
    <t>o</t>
  </si>
  <si>
    <t>promedios</t>
  </si>
  <si>
    <t>mensual(mm)</t>
  </si>
  <si>
    <t>Hectareas</t>
  </si>
  <si>
    <t>m^2</t>
  </si>
  <si>
    <t>Total</t>
  </si>
  <si>
    <t>metodo</t>
  </si>
  <si>
    <t>eficiencia</t>
  </si>
  <si>
    <t>goteo</t>
  </si>
  <si>
    <t>aspersión</t>
  </si>
  <si>
    <t>gravedad</t>
  </si>
  <si>
    <t>eficiencia (min)</t>
  </si>
  <si>
    <t>eficiencia(max)</t>
  </si>
  <si>
    <t>promedio</t>
  </si>
  <si>
    <t>nebulización</t>
  </si>
  <si>
    <t>microaspersión</t>
  </si>
  <si>
    <t>inundacion</t>
  </si>
  <si>
    <t>EVAS 500</t>
  </si>
  <si>
    <t>EVAS 1000</t>
  </si>
  <si>
    <t>EVAS 2000</t>
  </si>
  <si>
    <t>EVS 630</t>
  </si>
  <si>
    <t>EVS 1000</t>
  </si>
  <si>
    <t>EVS 1300</t>
  </si>
  <si>
    <t>EVS 2000</t>
  </si>
  <si>
    <t>EVS 2400</t>
  </si>
  <si>
    <t>EVS 3400</t>
  </si>
  <si>
    <t>EVS 5400</t>
  </si>
  <si>
    <t>EVS 10000</t>
  </si>
  <si>
    <t>EVS 15000</t>
  </si>
  <si>
    <t>EVS 20000</t>
  </si>
  <si>
    <t>EVS 30000</t>
  </si>
  <si>
    <t>sku</t>
  </si>
  <si>
    <t>capacidad (LTS)</t>
  </si>
  <si>
    <t>capacidad (m^3)</t>
  </si>
  <si>
    <t>EVS 40000</t>
  </si>
  <si>
    <t>tipo de bomba</t>
  </si>
  <si>
    <t>altura minima(m)</t>
  </si>
  <si>
    <t>altura maxima (m)</t>
  </si>
  <si>
    <t>centrifuga_estandar</t>
  </si>
  <si>
    <t>sumergible</t>
  </si>
  <si>
    <t>jet</t>
  </si>
  <si>
    <t>multietapas</t>
  </si>
  <si>
    <t>tipo de fuente (f)</t>
  </si>
  <si>
    <t>pozo profundo</t>
  </si>
  <si>
    <t>sistema domestico/ canales</t>
  </si>
  <si>
    <t>pozo ultra-profundo</t>
  </si>
  <si>
    <t>centrifuga_grande</t>
  </si>
  <si>
    <t>centrifuga_pequeña</t>
  </si>
  <si>
    <t>minimo</t>
  </si>
  <si>
    <t>maximo</t>
  </si>
  <si>
    <t>fuente</t>
  </si>
  <si>
    <t>derchos (compra unica) (uf)</t>
  </si>
  <si>
    <t xml:space="preserve">clp </t>
  </si>
  <si>
    <t>rio (grande)</t>
  </si>
  <si>
    <t>estero (pequeño)</t>
  </si>
  <si>
    <t>pozo (pequeño)</t>
  </si>
  <si>
    <t>estanque vacio 500LTS</t>
  </si>
  <si>
    <t>estanque vacio 10000 LTS</t>
  </si>
  <si>
    <t>CGE</t>
  </si>
  <si>
    <t>Mostazal</t>
  </si>
  <si>
    <t>STxE-1-A</t>
  </si>
  <si>
    <t>Aéreo</t>
  </si>
  <si>
    <t>1.019,57</t>
  </si>
  <si>
    <t>25.130,5</t>
  </si>
  <si>
    <t>17.578,9</t>
  </si>
  <si>
    <t>empresa</t>
  </si>
  <si>
    <t>comuna</t>
  </si>
  <si>
    <t>sector tarifario</t>
  </si>
  <si>
    <t>cargo fijo BT2</t>
  </si>
  <si>
    <t>transmicion</t>
  </si>
  <si>
    <t>presente en punta</t>
  </si>
  <si>
    <t>parcial en punta</t>
  </si>
  <si>
    <t>energia</t>
  </si>
  <si>
    <t>energia consumida x energia</t>
  </si>
  <si>
    <t>formula costos</t>
  </si>
  <si>
    <t>sumatoria</t>
  </si>
  <si>
    <t>maximo momentaneo x presente</t>
  </si>
  <si>
    <t>fijo</t>
  </si>
  <si>
    <t>mes</t>
  </si>
  <si>
    <t>Penalizacion (CLP/m^3)</t>
  </si>
  <si>
    <t>Potencia Max</t>
  </si>
  <si>
    <t>50kW</t>
  </si>
  <si>
    <t>tipo bomba</t>
  </si>
  <si>
    <t>maximo caudal (m^3/h)</t>
  </si>
  <si>
    <t>goteo caudal max</t>
  </si>
  <si>
    <t>gravedad caudal max</t>
  </si>
  <si>
    <t>aspersión caudal max</t>
  </si>
  <si>
    <t>nebulización caudal max</t>
  </si>
  <si>
    <t>microaspersión caudal max</t>
  </si>
  <si>
    <t>inundacion caudal max</t>
  </si>
  <si>
    <t>costo oportunidad  por año (CLP)</t>
  </si>
  <si>
    <t>peso estandar</t>
  </si>
  <si>
    <t>500 g</t>
  </si>
  <si>
    <t>precio estandar</t>
  </si>
  <si>
    <t>produccion anual</t>
  </si>
  <si>
    <t>producto</t>
  </si>
  <si>
    <t>lechuga</t>
  </si>
  <si>
    <t>25 Ton</t>
  </si>
  <si>
    <t>800 clp</t>
  </si>
  <si>
    <t>duracion</t>
  </si>
  <si>
    <t>24 h</t>
  </si>
  <si>
    <t>es una lista de fechas</t>
  </si>
  <si>
    <t>recoleccion diaria (m3)</t>
  </si>
  <si>
    <t>recoleccion mensual (m3)</t>
  </si>
  <si>
    <t xml:space="preserve">monitoreo </t>
  </si>
  <si>
    <t>automatico</t>
  </si>
  <si>
    <t>gasto energetico (kWh)</t>
  </si>
  <si>
    <t>costo instalacion (CLP)</t>
  </si>
  <si>
    <t>sistema</t>
  </si>
  <si>
    <t xml:space="preserve">tipo de suelo </t>
  </si>
  <si>
    <t>Arenoso</t>
  </si>
  <si>
    <t>Franco</t>
  </si>
  <si>
    <t xml:space="preserve">Arcilloso </t>
  </si>
  <si>
    <t>demanda hidrica 1 hectarea  1 dia (m^3)</t>
  </si>
  <si>
    <t>costo monitoreo</t>
  </si>
  <si>
    <t>costo automatisacion</t>
  </si>
  <si>
    <t>automatisacion monitoreo antes</t>
  </si>
  <si>
    <t>tipo de suelo</t>
  </si>
  <si>
    <t>demanda hidrica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</si>
</sst>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quot;$&quot;#,##0.00"/>
  </numFmts>
  <fonts count="7" x14ac:knownFonts="1">
    <font>
      <sz val="11"/>
      <color theme="1"/>
      <name val="Aptos Narrow"/>
      <family val="2"/>
      <scheme val="minor"/>
    </font>
    <font>
      <sz val="11"/>
      <color theme="1"/>
      <name val="Aptos Narrow"/>
      <family val="2"/>
      <scheme val="minor"/>
    </font>
    <font>
      <b/>
      <sz val="11"/>
      <color theme="0"/>
      <name val="Aptos Narrow"/>
      <family val="2"/>
      <scheme val="minor"/>
    </font>
    <font>
      <sz val="10"/>
      <name val="Arial"/>
    </font>
    <font>
      <sz val="10"/>
      <color theme="0"/>
      <name val="Arial"/>
      <family val="2"/>
    </font>
    <font>
      <sz val="8"/>
      <name val="Aptos Narrow"/>
      <family val="2"/>
      <scheme val="minor"/>
    </font>
    <font>
      <sz val="10"/>
      <name val="Arial"/>
      <family val="2"/>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13">
    <border>
      <left/>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style="thin">
        <color theme="1"/>
      </right>
      <top style="medium">
        <color theme="1"/>
      </top>
      <bottom style="medium">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style="thin">
        <color theme="1"/>
      </left>
      <right/>
      <top style="thin">
        <color theme="1"/>
      </top>
      <bottom style="thin">
        <color theme="1"/>
      </bottom>
      <diagonal/>
    </border>
    <border>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diagonal/>
    </border>
    <border>
      <left style="thin">
        <color theme="1"/>
      </left>
      <right/>
      <top style="thin">
        <color theme="1"/>
      </top>
      <bottom/>
      <diagonal/>
    </border>
    <border>
      <left style="thin">
        <color theme="1"/>
      </left>
      <right style="thin">
        <color theme="1"/>
      </right>
      <top/>
      <bottom style="medium">
        <color theme="1"/>
      </bottom>
      <diagonal/>
    </border>
  </borders>
  <cellStyleXfs count="3">
    <xf numFmtId="0" fontId="0" fillId="0" borderId="0"/>
    <xf numFmtId="164" fontId="1" fillId="0" borderId="0" applyFont="0" applyFill="0" applyBorder="0" applyAlignment="0" applyProtection="0"/>
    <xf numFmtId="0" fontId="3" fillId="0" borderId="0"/>
  </cellStyleXfs>
  <cellXfs count="26">
    <xf numFmtId="0" fontId="0" fillId="0" borderId="0" xfId="0"/>
    <xf numFmtId="0" fontId="3" fillId="0" borderId="0" xfId="2"/>
    <xf numFmtId="0" fontId="3" fillId="0" borderId="0" xfId="0" applyFont="1"/>
    <xf numFmtId="0" fontId="4" fillId="0" borderId="0" xfId="2" applyFont="1"/>
    <xf numFmtId="0" fontId="2" fillId="2" borderId="1" xfId="0" applyFont="1" applyFill="1" applyBorder="1"/>
    <xf numFmtId="0" fontId="0" fillId="3" borderId="2" xfId="0" applyFill="1" applyBorder="1"/>
    <xf numFmtId="0" fontId="0" fillId="0" borderId="2" xfId="0" applyBorder="1"/>
    <xf numFmtId="0" fontId="0" fillId="0" borderId="3" xfId="0" applyBorder="1"/>
    <xf numFmtId="0" fontId="0" fillId="3" borderId="3" xfId="0" applyFill="1" applyBorder="1"/>
    <xf numFmtId="164" fontId="0" fillId="0" borderId="0" xfId="1" applyFont="1"/>
    <xf numFmtId="3" fontId="0" fillId="0" borderId="0" xfId="0" applyNumberFormat="1"/>
    <xf numFmtId="20" fontId="0" fillId="0" borderId="0" xfId="0" applyNumberFormat="1"/>
    <xf numFmtId="164" fontId="0" fillId="0" borderId="0" xfId="0" applyNumberFormat="1"/>
    <xf numFmtId="165" fontId="0" fillId="0" borderId="0" xfId="0" applyNumberFormat="1"/>
    <xf numFmtId="0" fontId="6" fillId="0" borderId="0" xfId="0" applyFont="1"/>
    <xf numFmtId="0" fontId="2" fillId="2" borderId="4" xfId="0" applyFont="1" applyFill="1" applyBorder="1"/>
    <xf numFmtId="0" fontId="0" fillId="3" borderId="5" xfId="0" applyFill="1" applyBorder="1"/>
    <xf numFmtId="0" fontId="0" fillId="0" borderId="5" xfId="0" applyBorder="1"/>
    <xf numFmtId="0" fontId="0" fillId="0" borderId="6" xfId="0" applyBorder="1"/>
    <xf numFmtId="0" fontId="0" fillId="3" borderId="7" xfId="0" applyFill="1" applyBorder="1"/>
    <xf numFmtId="0" fontId="0" fillId="0" borderId="7" xfId="0" applyBorder="1"/>
    <xf numFmtId="0" fontId="2" fillId="2" borderId="8" xfId="0" applyFont="1" applyFill="1" applyBorder="1"/>
    <xf numFmtId="0" fontId="2" fillId="2" borderId="9" xfId="0" applyFont="1" applyFill="1" applyBorder="1"/>
    <xf numFmtId="0" fontId="0" fillId="0" borderId="10" xfId="0" applyBorder="1"/>
    <xf numFmtId="0" fontId="0" fillId="0" borderId="11" xfId="0" applyBorder="1"/>
    <xf numFmtId="0" fontId="2" fillId="2" borderId="12" xfId="0" applyFont="1" applyFill="1" applyBorder="1"/>
  </cellXfs>
  <cellStyles count="3">
    <cellStyle name="Moneda" xfId="1" builtinId="4"/>
    <cellStyle name="Normal" xfId="0" builtinId="0"/>
    <cellStyle name="Normal 2" xfId="2" xr:uid="{A5D75C47-ED5A-4049-9F4E-A4C908CD021A}"/>
  </cellStyles>
  <dxfs count="30">
    <dxf>
      <numFmt numFmtId="0" formatCode="General"/>
    </dxf>
    <dxf>
      <font>
        <b val="0"/>
        <i val="0"/>
        <strike val="0"/>
        <condense val="0"/>
        <extend val="0"/>
        <outline val="0"/>
        <shadow val="0"/>
        <u val="none"/>
        <vertAlign val="baseline"/>
        <sz val="11"/>
        <color theme="1"/>
        <name val="Aptos Narrow"/>
        <family val="2"/>
        <scheme val="minor"/>
      </font>
      <border diagonalUp="0" diagonalDown="0">
        <left style="thin">
          <color theme="1"/>
        </left>
        <right/>
        <top style="thin">
          <color theme="1"/>
        </top>
        <bottom style="thin">
          <color theme="1"/>
        </bottom>
        <vertical/>
        <horizontal/>
      </border>
    </dxf>
    <dxf>
      <font>
        <b val="0"/>
        <i val="0"/>
        <strike val="0"/>
        <condense val="0"/>
        <extend val="0"/>
        <outline val="0"/>
        <shadow val="0"/>
        <u val="none"/>
        <vertAlign val="baseline"/>
        <sz val="11"/>
        <color theme="1"/>
        <name val="Aptos Narrow"/>
        <family val="2"/>
        <scheme val="minor"/>
      </font>
      <border diagonalUp="0" diagonalDown="0">
        <left/>
        <right style="thin">
          <color theme="1"/>
        </right>
        <top style="thin">
          <color theme="1"/>
        </top>
        <bottom style="thin">
          <color theme="1"/>
        </bottom>
        <vertical/>
        <horizontal/>
      </border>
    </dxf>
    <dxf>
      <border outline="0">
        <top style="thin">
          <color theme="1"/>
        </top>
      </border>
    </dxf>
    <dxf>
      <border outline="0">
        <left style="thin">
          <color theme="1"/>
        </left>
        <right style="thin">
          <color theme="1"/>
        </right>
        <top style="medium">
          <color theme="1"/>
        </top>
        <bottom style="medium">
          <color theme="1"/>
        </bottom>
      </border>
    </dxf>
    <dxf>
      <border outline="0">
        <bottom style="medium">
          <color theme="1"/>
        </bottom>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border diagonalUp="0" diagonalDown="0" outline="0">
        <left style="thin">
          <color theme="1"/>
        </left>
        <right style="thin">
          <color theme="1"/>
        </right>
        <top/>
        <bottom/>
      </border>
    </dxf>
    <dxf>
      <numFmt numFmtId="164" formatCode="_-&quot;$&quot;* #,##0.00_-;\-&quot;$&quot;* #,##0.00_-;_-&quot;$&quot;* &quot;-&quot;??_-;_-@_-"/>
    </dxf>
    <dxf>
      <font>
        <b val="0"/>
        <i val="0"/>
        <strike val="0"/>
        <condense val="0"/>
        <extend val="0"/>
        <outline val="0"/>
        <shadow val="0"/>
        <u val="none"/>
        <vertAlign val="baseline"/>
        <sz val="11"/>
        <color theme="1"/>
        <name val="Aptos Narrow"/>
        <family val="2"/>
        <scheme val="minor"/>
      </font>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1"/>
        <color theme="1"/>
        <name val="Aptos Narrow"/>
        <family val="2"/>
        <scheme val="minor"/>
      </font>
      <border diagonalUp="0" diagonalDown="0">
        <left/>
        <right style="thin">
          <color theme="1"/>
        </right>
        <top style="thin">
          <color theme="1"/>
        </top>
        <bottom style="thin">
          <color theme="1"/>
        </bottom>
        <vertical/>
        <horizontal/>
      </border>
    </dxf>
    <dxf>
      <border outline="0">
        <left style="thin">
          <color theme="1"/>
        </left>
      </border>
    </dxf>
    <dxf>
      <font>
        <b val="0"/>
        <i val="0"/>
        <strike val="0"/>
        <condense val="0"/>
        <extend val="0"/>
        <outline val="0"/>
        <shadow val="0"/>
        <u val="none"/>
        <vertAlign val="baseline"/>
        <sz val="11"/>
        <color theme="1"/>
        <name val="Aptos Narrow"/>
        <family val="2"/>
        <scheme val="minor"/>
      </font>
    </dxf>
    <dxf>
      <numFmt numFmtId="165" formatCode="&quot;$&quot;#,##0.00"/>
    </dxf>
    <dxf>
      <numFmt numFmtId="3" formatCode="#,##0"/>
    </dxf>
    <dxf>
      <numFmt numFmtId="3" formatCode="#,##0"/>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dxf>
    <dxf>
      <fill>
        <patternFill patternType="none">
          <fgColor indexed="64"/>
          <bgColor indexed="65"/>
        </patternFill>
      </fill>
    </dxf>
    <dxf>
      <numFmt numFmtId="0" formatCode="General"/>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742950</xdr:colOff>
      <xdr:row>3</xdr:row>
      <xdr:rowOff>161924</xdr:rowOff>
    </xdr:from>
    <xdr:to>
      <xdr:col>11</xdr:col>
      <xdr:colOff>619125</xdr:colOff>
      <xdr:row>17</xdr:row>
      <xdr:rowOff>142875</xdr:rowOff>
    </xdr:to>
    <xdr:sp macro="" textlink="">
      <xdr:nvSpPr>
        <xdr:cNvPr id="2" name="CuadroTexto 1">
          <a:extLst>
            <a:ext uri="{FF2B5EF4-FFF2-40B4-BE49-F238E27FC236}">
              <a16:creationId xmlns:a16="http://schemas.microsoft.com/office/drawing/2014/main" id="{DCE01319-6E5F-C3A3-BFC6-6BA7ED018BED}"/>
            </a:ext>
          </a:extLst>
        </xdr:cNvPr>
        <xdr:cNvSpPr txBox="1"/>
      </xdr:nvSpPr>
      <xdr:spPr>
        <a:xfrm>
          <a:off x="6048375" y="647699"/>
          <a:ext cx="3686175" cy="224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Obtenido de la</a:t>
          </a:r>
          <a:r>
            <a:rPr lang="en-CA" sz="1100" baseline="0"/>
            <a:t> pagina de la DGA https://dga.mop.gob.cl/estadisticas-estaciones-dga/</a:t>
          </a:r>
        </a:p>
        <a:p>
          <a:r>
            <a:rPr lang="en-CA" sz="1100" baseline="0"/>
            <a:t>de mediciones mensuales de estaciones meteorologicas:</a:t>
          </a:r>
        </a:p>
        <a:p>
          <a:r>
            <a:rPr lang="en-CA" sz="1100"/>
            <a:t>Barrera Loncha</a:t>
          </a:r>
        </a:p>
        <a:p>
          <a:r>
            <a:rPr lang="en-CA" sz="1100"/>
            <a:t>Canal</a:t>
          </a:r>
          <a:r>
            <a:rPr lang="en-CA" sz="1100" baseline="0"/>
            <a:t> Sauzal en puente termas</a:t>
          </a:r>
        </a:p>
        <a:p>
          <a:r>
            <a:rPr lang="en-CA" sz="1100" baseline="0"/>
            <a:t>Cocalan</a:t>
          </a:r>
        </a:p>
        <a:p>
          <a:r>
            <a:rPr lang="en-CA" sz="1100" baseline="0"/>
            <a:t>Coltauco</a:t>
          </a:r>
        </a:p>
        <a:p>
          <a:r>
            <a:rPr lang="en-CA" sz="1100" baseline="0"/>
            <a:t>Convento Viejo</a:t>
          </a:r>
        </a:p>
        <a:p>
          <a:r>
            <a:rPr lang="en-CA" sz="1100" baseline="0"/>
            <a:t>El Membrillo</a:t>
          </a:r>
        </a:p>
        <a:p>
          <a:r>
            <a:rPr lang="en-CA" sz="1100"/>
            <a:t>La Candelaria</a:t>
          </a:r>
        </a:p>
        <a:p>
          <a:r>
            <a:rPr lang="en-CA" sz="1100"/>
            <a:t>La</a:t>
          </a:r>
          <a:r>
            <a:rPr lang="en-CA" sz="1100" baseline="0"/>
            <a:t> Rufina</a:t>
          </a:r>
        </a:p>
        <a:p>
          <a:r>
            <a:rPr lang="en-CA" sz="1100" baseline="0"/>
            <a:t>Estero de la Cadena Antes Junta</a:t>
          </a:r>
        </a:p>
        <a:p>
          <a:endParaRPr lang="en-CA" sz="1100"/>
        </a:p>
      </xdr:txBody>
    </xdr:sp>
    <xdr:clientData/>
  </xdr:twoCellAnchor>
  <xdr:twoCellAnchor>
    <xdr:from>
      <xdr:col>4</xdr:col>
      <xdr:colOff>314325</xdr:colOff>
      <xdr:row>19</xdr:row>
      <xdr:rowOff>28575</xdr:rowOff>
    </xdr:from>
    <xdr:to>
      <xdr:col>9</xdr:col>
      <xdr:colOff>152400</xdr:colOff>
      <xdr:row>31</xdr:row>
      <xdr:rowOff>28575</xdr:rowOff>
    </xdr:to>
    <xdr:sp macro="" textlink="">
      <xdr:nvSpPr>
        <xdr:cNvPr id="3" name="CuadroTexto 2">
          <a:extLst>
            <a:ext uri="{FF2B5EF4-FFF2-40B4-BE49-F238E27FC236}">
              <a16:creationId xmlns:a16="http://schemas.microsoft.com/office/drawing/2014/main" id="{C732DBB2-9306-A9B1-FE14-4B9EAC53DB84}"/>
            </a:ext>
          </a:extLst>
        </xdr:cNvPr>
        <xdr:cNvSpPr txBox="1"/>
      </xdr:nvSpPr>
      <xdr:spPr>
        <a:xfrm>
          <a:off x="4095750" y="3105150"/>
          <a:ext cx="3648075"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recoleccion=</a:t>
          </a:r>
          <a:r>
            <a:rPr lang="en-CA" sz="1100" baseline="0"/>
            <a:t> mm x area/ 1000</a:t>
          </a:r>
        </a:p>
        <a:p>
          <a:r>
            <a:rPr lang="en-CA" sz="1100" baseline="0"/>
            <a:t>el area considerada 200 metros cuadrados</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752476</xdr:colOff>
      <xdr:row>17</xdr:row>
      <xdr:rowOff>76200</xdr:rowOff>
    </xdr:from>
    <xdr:to>
      <xdr:col>3</xdr:col>
      <xdr:colOff>942976</xdr:colOff>
      <xdr:row>21</xdr:row>
      <xdr:rowOff>76200</xdr:rowOff>
    </xdr:to>
    <xdr:sp macro="" textlink="">
      <xdr:nvSpPr>
        <xdr:cNvPr id="2" name="CuadroTexto 1">
          <a:extLst>
            <a:ext uri="{FF2B5EF4-FFF2-40B4-BE49-F238E27FC236}">
              <a16:creationId xmlns:a16="http://schemas.microsoft.com/office/drawing/2014/main" id="{BE66D6F3-CBD8-ADC3-7C61-5BB680E96A0D}"/>
            </a:ext>
          </a:extLst>
        </xdr:cNvPr>
        <xdr:cNvSpPr txBox="1"/>
      </xdr:nvSpPr>
      <xdr:spPr>
        <a:xfrm>
          <a:off x="752476" y="3314700"/>
          <a:ext cx="2971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Inventado con promedio de campos pequeños medianos (pequeño &lt;= 12 hectareas, mediano &lt;= 200hectareas)</a:t>
          </a:r>
        </a:p>
        <a:p>
          <a:endParaRPr lang="en-CA" sz="1100"/>
        </a:p>
      </xdr:txBody>
    </xdr:sp>
    <xdr:clientData/>
  </xdr:twoCellAnchor>
  <xdr:twoCellAnchor>
    <xdr:from>
      <xdr:col>3</xdr:col>
      <xdr:colOff>923925</xdr:colOff>
      <xdr:row>16</xdr:row>
      <xdr:rowOff>161925</xdr:rowOff>
    </xdr:from>
    <xdr:to>
      <xdr:col>5</xdr:col>
      <xdr:colOff>1247775</xdr:colOff>
      <xdr:row>29</xdr:row>
      <xdr:rowOff>161925</xdr:rowOff>
    </xdr:to>
    <xdr:sp macro="" textlink="">
      <xdr:nvSpPr>
        <xdr:cNvPr id="3" name="CuadroTexto 2">
          <a:extLst>
            <a:ext uri="{FF2B5EF4-FFF2-40B4-BE49-F238E27FC236}">
              <a16:creationId xmlns:a16="http://schemas.microsoft.com/office/drawing/2014/main" id="{1B746D7B-CDF7-1A2B-E109-236026F41D3B}"/>
            </a:ext>
          </a:extLst>
        </xdr:cNvPr>
        <xdr:cNvSpPr txBox="1"/>
      </xdr:nvSpPr>
      <xdr:spPr>
        <a:xfrm>
          <a:off x="3705225" y="3209925"/>
          <a:ext cx="3057525" cy="247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Los tipos</a:t>
          </a:r>
          <a:r>
            <a:rPr lang="en-CA" sz="1100" baseline="0"/>
            <a:t> de riego que requieren equipamento se aproximo su valor por hectarea multiplicando el caudal individual maximo de cada implemento por la densidad maxima logica de implementos por metro cuadrado</a:t>
          </a:r>
        </a:p>
        <a:p>
          <a:r>
            <a:rPr lang="en-CA" sz="1100" baseline="0"/>
            <a:t>Los sin equipamento son aproximaciones segun que no destrosaria el terreno</a:t>
          </a:r>
          <a:endParaRPr lang="en-CA" sz="1100"/>
        </a:p>
      </xdr:txBody>
    </xdr:sp>
    <xdr:clientData/>
  </xdr:twoCellAnchor>
  <xdr:twoCellAnchor>
    <xdr:from>
      <xdr:col>6</xdr:col>
      <xdr:colOff>276225</xdr:colOff>
      <xdr:row>17</xdr:row>
      <xdr:rowOff>0</xdr:rowOff>
    </xdr:from>
    <xdr:to>
      <xdr:col>8</xdr:col>
      <xdr:colOff>476250</xdr:colOff>
      <xdr:row>29</xdr:row>
      <xdr:rowOff>19050</xdr:rowOff>
    </xdr:to>
    <xdr:sp macro="" textlink="">
      <xdr:nvSpPr>
        <xdr:cNvPr id="4" name="CuadroTexto 3">
          <a:extLst>
            <a:ext uri="{FF2B5EF4-FFF2-40B4-BE49-F238E27FC236}">
              <a16:creationId xmlns:a16="http://schemas.microsoft.com/office/drawing/2014/main" id="{D55D6AB8-31EF-DA6C-752B-7BFC88D613ED}"/>
            </a:ext>
          </a:extLst>
        </xdr:cNvPr>
        <xdr:cNvSpPr txBox="1"/>
      </xdr:nvSpPr>
      <xdr:spPr>
        <a:xfrm>
          <a:off x="7305675" y="3238500"/>
          <a:ext cx="3762375" cy="230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se concidera el producto lechuga con unas 50.000</a:t>
          </a:r>
          <a:r>
            <a:rPr lang="en-CA" sz="1100" baseline="0"/>
            <a:t> plantas por hectarea  teniendo en cuenta que 1 año tiene entre 1 y 2 ciclos  y que cada planta produce una lechuga por ciclo de 0.5 kg generando aprox 25 Ton anualmente con un precio de mercado de 800clp se vende el 50% de la produccion al 81% del precio de mercado (se agrega el iva) menos los costos de mantencion del las plantaciones se aproxima que 1 hectarea puede generar cerca de 1.200.000 CLP</a:t>
          </a:r>
          <a:endParaRPr lang="en-CA" sz="1100"/>
        </a:p>
      </xdr:txBody>
    </xdr:sp>
    <xdr:clientData/>
  </xdr:twoCellAnchor>
  <xdr:twoCellAnchor>
    <xdr:from>
      <xdr:col>8</xdr:col>
      <xdr:colOff>1038225</xdr:colOff>
      <xdr:row>18</xdr:row>
      <xdr:rowOff>142875</xdr:rowOff>
    </xdr:from>
    <xdr:to>
      <xdr:col>9</xdr:col>
      <xdr:colOff>1962150</xdr:colOff>
      <xdr:row>31</xdr:row>
      <xdr:rowOff>9525</xdr:rowOff>
    </xdr:to>
    <xdr:sp macro="" textlink="">
      <xdr:nvSpPr>
        <xdr:cNvPr id="5" name="CuadroTexto 4">
          <a:extLst>
            <a:ext uri="{FF2B5EF4-FFF2-40B4-BE49-F238E27FC236}">
              <a16:creationId xmlns:a16="http://schemas.microsoft.com/office/drawing/2014/main" id="{F2A94C99-0DA4-1F3F-0603-B5F5EAB6C16D}"/>
            </a:ext>
          </a:extLst>
        </xdr:cNvPr>
        <xdr:cNvSpPr txBox="1"/>
      </xdr:nvSpPr>
      <xdr:spPr>
        <a:xfrm>
          <a:off x="11630025" y="3571875"/>
          <a:ext cx="2524125"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el</a:t>
          </a:r>
          <a:r>
            <a:rPr lang="en-CA" sz="1100" baseline="0"/>
            <a:t> calculo de la energia por monitoreo lo hiso chat gpt con el prompt:</a:t>
          </a:r>
        </a:p>
        <a:p>
          <a:r>
            <a:rPr lang="en-CA"/>
            <a:t>cuanta energia requiere un sistema de monitoreo automatico de cultivos de 1 hectarea?</a:t>
          </a:r>
        </a:p>
        <a:p>
          <a:r>
            <a:rPr lang="en-CA" sz="1100"/>
            <a:t>la activacion automatica solo agrega</a:t>
          </a:r>
          <a:r>
            <a:rPr lang="en-CA" sz="1100" baseline="0"/>
            <a:t> la funcion de señales a el monitoreo</a:t>
          </a:r>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314326</xdr:colOff>
      <xdr:row>1</xdr:row>
      <xdr:rowOff>142875</xdr:rowOff>
    </xdr:from>
    <xdr:to>
      <xdr:col>9</xdr:col>
      <xdr:colOff>180976</xdr:colOff>
      <xdr:row>8</xdr:row>
      <xdr:rowOff>38100</xdr:rowOff>
    </xdr:to>
    <xdr:sp macro="" textlink="">
      <xdr:nvSpPr>
        <xdr:cNvPr id="2" name="CuadroTexto 1">
          <a:extLst>
            <a:ext uri="{FF2B5EF4-FFF2-40B4-BE49-F238E27FC236}">
              <a16:creationId xmlns:a16="http://schemas.microsoft.com/office/drawing/2014/main" id="{99AC0B9A-C0C6-E19D-9AF5-F494C1C83B8A}"/>
            </a:ext>
          </a:extLst>
        </xdr:cNvPr>
        <xdr:cNvSpPr txBox="1"/>
      </xdr:nvSpPr>
      <xdr:spPr>
        <a:xfrm>
          <a:off x="4810126" y="333375"/>
          <a:ext cx="2914650"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fuente:https://infoagro.com/documentos/tecnicas_un_programa_eficaz_riego.asp</a:t>
          </a:r>
        </a:p>
        <a:p>
          <a:r>
            <a:rPr lang="en-CA" sz="1100"/>
            <a:t>entre otras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685800</xdr:colOff>
      <xdr:row>1</xdr:row>
      <xdr:rowOff>28575</xdr:rowOff>
    </xdr:from>
    <xdr:to>
      <xdr:col>10</xdr:col>
      <xdr:colOff>371475</xdr:colOff>
      <xdr:row>7</xdr:row>
      <xdr:rowOff>9525</xdr:rowOff>
    </xdr:to>
    <xdr:sp macro="" textlink="">
      <xdr:nvSpPr>
        <xdr:cNvPr id="2" name="CuadroTexto 1">
          <a:extLst>
            <a:ext uri="{FF2B5EF4-FFF2-40B4-BE49-F238E27FC236}">
              <a16:creationId xmlns:a16="http://schemas.microsoft.com/office/drawing/2014/main" id="{8897222D-5B3C-144C-0E10-32FE75CA2ABC}"/>
            </a:ext>
          </a:extLst>
        </xdr:cNvPr>
        <xdr:cNvSpPr txBox="1"/>
      </xdr:nvSpPr>
      <xdr:spPr>
        <a:xfrm>
          <a:off x="4581525" y="219075"/>
          <a:ext cx="425767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fuente: https://www.bioplastic.cl/categoria/estanques-acumulacion?gad_source=1&amp;gad_campaignid=11762418667&amp;gclid=CjwKCAjwruXBBhArEiwACBRtHd1NTgPvG9ELSAxmRz5ZcsA2S6q2sV9m7uuCGbwaIfGfDVy1hGfJxRoC8_EQAvD_BwE#</a:t>
          </a:r>
        </a:p>
        <a:p>
          <a:r>
            <a:rPr lang="en-CA" sz="1100"/>
            <a:t>tienda de estanques de agua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295275</xdr:colOff>
      <xdr:row>0</xdr:row>
      <xdr:rowOff>180975</xdr:rowOff>
    </xdr:from>
    <xdr:to>
      <xdr:col>8</xdr:col>
      <xdr:colOff>647700</xdr:colOff>
      <xdr:row>5</xdr:row>
      <xdr:rowOff>19050</xdr:rowOff>
    </xdr:to>
    <xdr:sp macro="" textlink="">
      <xdr:nvSpPr>
        <xdr:cNvPr id="2" name="CuadroTexto 1">
          <a:extLst>
            <a:ext uri="{FF2B5EF4-FFF2-40B4-BE49-F238E27FC236}">
              <a16:creationId xmlns:a16="http://schemas.microsoft.com/office/drawing/2014/main" id="{6F831689-82FA-0FC3-1C8D-779FDA157CF8}"/>
            </a:ext>
          </a:extLst>
        </xdr:cNvPr>
        <xdr:cNvSpPr txBox="1"/>
      </xdr:nvSpPr>
      <xdr:spPr>
        <a:xfrm>
          <a:off x="6343650" y="180975"/>
          <a:ext cx="263842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fuente:</a:t>
          </a:r>
          <a:r>
            <a:rPr lang="en-CA" sz="1100" baseline="0"/>
            <a:t> wikipedia.org</a:t>
          </a:r>
        </a:p>
        <a:p>
          <a:r>
            <a:rPr lang="en-CA" sz="1100" baseline="0"/>
            <a:t>multiples busquedas segun el tipo de bomba</a:t>
          </a:r>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161925</xdr:colOff>
      <xdr:row>1</xdr:row>
      <xdr:rowOff>19050</xdr:rowOff>
    </xdr:from>
    <xdr:to>
      <xdr:col>8</xdr:col>
      <xdr:colOff>542925</xdr:colOff>
      <xdr:row>4</xdr:row>
      <xdr:rowOff>123825</xdr:rowOff>
    </xdr:to>
    <xdr:sp macro="" textlink="">
      <xdr:nvSpPr>
        <xdr:cNvPr id="2" name="CuadroTexto 1">
          <a:extLst>
            <a:ext uri="{FF2B5EF4-FFF2-40B4-BE49-F238E27FC236}">
              <a16:creationId xmlns:a16="http://schemas.microsoft.com/office/drawing/2014/main" id="{5A3A39D5-D347-CADB-976A-23AE3A4D06FD}"/>
            </a:ext>
          </a:extLst>
        </xdr:cNvPr>
        <xdr:cNvSpPr txBox="1"/>
      </xdr:nvSpPr>
      <xdr:spPr>
        <a:xfrm>
          <a:off x="4457700" y="209550"/>
          <a:ext cx="266700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fuente eficiencia:</a:t>
          </a:r>
          <a:r>
            <a:rPr lang="en-CA" sz="1100" baseline="0"/>
            <a:t> chat gpt, no entiendo realmente bien el concepto pero se puede encontrar en el manual tecnico de la bomba</a:t>
          </a:r>
          <a:endParaRPr lang="en-CA" sz="1100"/>
        </a:p>
      </xdr:txBody>
    </xdr:sp>
    <xdr:clientData/>
  </xdr:twoCellAnchor>
  <xdr:twoCellAnchor>
    <xdr:from>
      <xdr:col>2</xdr:col>
      <xdr:colOff>314326</xdr:colOff>
      <xdr:row>9</xdr:row>
      <xdr:rowOff>180976</xdr:rowOff>
    </xdr:from>
    <xdr:to>
      <xdr:col>5</xdr:col>
      <xdr:colOff>447676</xdr:colOff>
      <xdr:row>11</xdr:row>
      <xdr:rowOff>161925</xdr:rowOff>
    </xdr:to>
    <xdr:sp macro="" textlink="">
      <xdr:nvSpPr>
        <xdr:cNvPr id="3" name="CuadroTexto 2">
          <a:extLst>
            <a:ext uri="{FF2B5EF4-FFF2-40B4-BE49-F238E27FC236}">
              <a16:creationId xmlns:a16="http://schemas.microsoft.com/office/drawing/2014/main" id="{18210B3A-1F7D-B3D3-5B39-3FBE5B276602}"/>
            </a:ext>
          </a:extLst>
        </xdr:cNvPr>
        <xdr:cNvSpPr txBox="1"/>
      </xdr:nvSpPr>
      <xdr:spPr>
        <a:xfrm>
          <a:off x="3190876" y="1895476"/>
          <a:ext cx="2438400" cy="36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fuente caudal max: obtenido de  chat gpt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333374</xdr:colOff>
      <xdr:row>1</xdr:row>
      <xdr:rowOff>28575</xdr:rowOff>
    </xdr:from>
    <xdr:to>
      <xdr:col>11</xdr:col>
      <xdr:colOff>514349</xdr:colOff>
      <xdr:row>24</xdr:row>
      <xdr:rowOff>142875</xdr:rowOff>
    </xdr:to>
    <xdr:sp macro="" textlink="">
      <xdr:nvSpPr>
        <xdr:cNvPr id="2" name="CuadroTexto 1">
          <a:extLst>
            <a:ext uri="{FF2B5EF4-FFF2-40B4-BE49-F238E27FC236}">
              <a16:creationId xmlns:a16="http://schemas.microsoft.com/office/drawing/2014/main" id="{C148B493-0BF9-8110-AC53-6E96134D84F0}"/>
            </a:ext>
          </a:extLst>
        </xdr:cNvPr>
        <xdr:cNvSpPr txBox="1"/>
      </xdr:nvSpPr>
      <xdr:spPr>
        <a:xfrm>
          <a:off x="7419974" y="219075"/>
          <a:ext cx="3990975" cy="449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fuentes:</a:t>
          </a:r>
        </a:p>
        <a:p>
          <a:r>
            <a:rPr lang="en-CA" sz="1100"/>
            <a:t>derechos</a:t>
          </a:r>
          <a:r>
            <a:rPr lang="en-CA" sz="1100" baseline="0"/>
            <a:t> de aguas: https://www.aguacircular.cl/buscador.php?gad_source=1&amp;gad_campaignid=200970636&amp;gclid=CjwKCAjwruXBBhArEiwACBRtHaRQCYveml4_CJXYfp3zgsJFF1RAwJbAsk8BXs236hRE9JUQcO54tRoC7M4QAvD_BwE</a:t>
          </a:r>
        </a:p>
        <a:p>
          <a:r>
            <a:rPr lang="en-CA" sz="1100" baseline="0"/>
            <a:t>pozos: https://www.habitissimo.cl/presupuesto/hacer-pozo-profundo-o-noria/cardenal-caro</a:t>
          </a:r>
        </a:p>
        <a:p>
          <a:r>
            <a:rPr lang="en-CA" sz="1100" baseline="0"/>
            <a:t>estanques:https://www.bioplastic.cl/categoria/estanques-acumulacion?gad_source=1&amp;gad_campaignid=11762418667&amp;gclid=CjwKCAjwruXBBhArEiwACBRtHd1NTgPvG9ELSAxmRz5ZcsA2S6q2sV9m7uuCGbwaIfGfDVy1hGfJxRoC8_EQAvD_BwE#</a:t>
          </a:r>
        </a:p>
        <a:p>
          <a:endParaRPr lang="en-CA" sz="1100" baseline="0"/>
        </a:p>
        <a:p>
          <a:r>
            <a:rPr lang="en-CA" sz="1100" baseline="0"/>
            <a:t>redes de agua: el uso de redes de agua para riego agricola esta prohibido por ley por temas como desperdicio de recursos tratados, normativas sanitarias, incapacidad de la red para sostener riego industrial.</a:t>
          </a:r>
        </a:p>
        <a:p>
          <a:endParaRPr lang="en-CA" sz="1100" baseline="0"/>
        </a:p>
        <a:p>
          <a:r>
            <a:rPr lang="en-CA" sz="1100" baseline="0"/>
            <a:t>compra de agua: No se usa a menos que sea una emergencia por altos costos y una necesidad de derechos de aguas si se quiere utilizar para motivos agricolas</a:t>
          </a:r>
          <a:endParaRPr lang="en-CA"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590550</xdr:colOff>
      <xdr:row>6</xdr:row>
      <xdr:rowOff>0</xdr:rowOff>
    </xdr:from>
    <xdr:to>
      <xdr:col>11</xdr:col>
      <xdr:colOff>666750</xdr:colOff>
      <xdr:row>27</xdr:row>
      <xdr:rowOff>123825</xdr:rowOff>
    </xdr:to>
    <xdr:sp macro="" textlink="">
      <xdr:nvSpPr>
        <xdr:cNvPr id="3" name="CuadroTexto 2">
          <a:extLst>
            <a:ext uri="{FF2B5EF4-FFF2-40B4-BE49-F238E27FC236}">
              <a16:creationId xmlns:a16="http://schemas.microsoft.com/office/drawing/2014/main" id="{3D380B3E-83FF-C808-056A-AD4A8C0C0643}"/>
            </a:ext>
          </a:extLst>
        </xdr:cNvPr>
        <xdr:cNvSpPr txBox="1"/>
      </xdr:nvSpPr>
      <xdr:spPr>
        <a:xfrm>
          <a:off x="9382125" y="1143000"/>
          <a:ext cx="3752850" cy="412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fuente datos:</a:t>
          </a:r>
          <a:r>
            <a:rPr lang="en-CA" sz="1100" baseline="0"/>
            <a:t> https://www.cge.cl/informacion-comercial/tarifas-y-procesos-tarifarios/tarifa-de-suministro/</a:t>
          </a:r>
        </a:p>
        <a:p>
          <a:r>
            <a:rPr lang="en-CA" sz="1100" baseline="0"/>
            <a:t>se utilizo solo el sector de mostazal porque se encuentra en el area estudiada y la base de datos es ridiculamente enorme</a:t>
          </a:r>
        </a:p>
        <a:p>
          <a:endParaRPr lang="en-CA" sz="1100" baseline="0"/>
        </a:p>
        <a:p>
          <a:r>
            <a:rPr lang="en-CA" sz="1100" baseline="0"/>
            <a:t>La formula esta jodida pero nos sirve vastante bien quitando el maximo utilizado en algun instante porque no tengo ni idea de como se puede calcular eso jejejeje en general la transmicion no se suma no se por simplicidad porque su formula es una formula realmente compleja que no suma practicamente nada (aprox menos de 100 clp por una cuenta de mas de 5000 clp)</a:t>
          </a:r>
        </a:p>
        <a:p>
          <a:endParaRPr lang="en-CA" sz="1100" baseline="0"/>
        </a:p>
        <a:p>
          <a:r>
            <a:rPr lang="en-CA" sz="1100" baseline="0"/>
            <a:t>en un sistema BT2 se tiene una potencia maxima fija</a:t>
          </a:r>
          <a:endParaRPr lang="en-CA"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123826</xdr:colOff>
      <xdr:row>2</xdr:row>
      <xdr:rowOff>171450</xdr:rowOff>
    </xdr:from>
    <xdr:to>
      <xdr:col>5</xdr:col>
      <xdr:colOff>504825</xdr:colOff>
      <xdr:row>6</xdr:row>
      <xdr:rowOff>85725</xdr:rowOff>
    </xdr:to>
    <xdr:sp macro="" textlink="">
      <xdr:nvSpPr>
        <xdr:cNvPr id="2" name="CuadroTexto 1">
          <a:extLst>
            <a:ext uri="{FF2B5EF4-FFF2-40B4-BE49-F238E27FC236}">
              <a16:creationId xmlns:a16="http://schemas.microsoft.com/office/drawing/2014/main" id="{D7BA6CC4-BCBD-0106-A898-5EC098EF0673}"/>
            </a:ext>
          </a:extLst>
        </xdr:cNvPr>
        <xdr:cNvSpPr txBox="1"/>
      </xdr:nvSpPr>
      <xdr:spPr>
        <a:xfrm>
          <a:off x="3257551" y="552450"/>
          <a:ext cx="1904999"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me lo invente porque \(:/)/ por mes en verano afecta mas JEJEJE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495300</xdr:colOff>
      <xdr:row>3</xdr:row>
      <xdr:rowOff>66675</xdr:rowOff>
    </xdr:from>
    <xdr:to>
      <xdr:col>14</xdr:col>
      <xdr:colOff>476250</xdr:colOff>
      <xdr:row>9</xdr:row>
      <xdr:rowOff>66675</xdr:rowOff>
    </xdr:to>
    <xdr:sp macro="" textlink="">
      <xdr:nvSpPr>
        <xdr:cNvPr id="2" name="CuadroTexto 1">
          <a:extLst>
            <a:ext uri="{FF2B5EF4-FFF2-40B4-BE49-F238E27FC236}">
              <a16:creationId xmlns:a16="http://schemas.microsoft.com/office/drawing/2014/main" id="{D07DF064-650E-A97C-5361-57E10811F9E3}"/>
            </a:ext>
          </a:extLst>
        </xdr:cNvPr>
        <xdr:cNvSpPr txBox="1"/>
      </xdr:nvSpPr>
      <xdr:spPr>
        <a:xfrm>
          <a:off x="10086975" y="638175"/>
          <a:ext cx="5314950"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tanto</a:t>
          </a:r>
          <a:r>
            <a:rPr lang="en-CA" sz="1100" baseline="0"/>
            <a:t> el gasto energetico como el costo de instalacion de ambos elementos se calculan en base a los elementos necesarios para construir los sistemas, en el gasto y los costos  de la automatisacion se concidera el monitoreo ya que no se puede hacer que el equipo sea automatico sin monitoreo con lo que si el monitoreo se encuntra de antes solo se le agrega la diferencia para automatizar</a:t>
          </a:r>
          <a:endParaRPr lang="en-CA"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371475</xdr:colOff>
      <xdr:row>1</xdr:row>
      <xdr:rowOff>123825</xdr:rowOff>
    </xdr:from>
    <xdr:to>
      <xdr:col>7</xdr:col>
      <xdr:colOff>152400</xdr:colOff>
      <xdr:row>6</xdr:row>
      <xdr:rowOff>0</xdr:rowOff>
    </xdr:to>
    <xdr:sp macro="" textlink="">
      <xdr:nvSpPr>
        <xdr:cNvPr id="2" name="CuadroTexto 1">
          <a:extLst>
            <a:ext uri="{FF2B5EF4-FFF2-40B4-BE49-F238E27FC236}">
              <a16:creationId xmlns:a16="http://schemas.microsoft.com/office/drawing/2014/main" id="{7DB888F1-D515-3457-066A-B15810206B33}"/>
            </a:ext>
          </a:extLst>
        </xdr:cNvPr>
        <xdr:cNvSpPr txBox="1"/>
      </xdr:nvSpPr>
      <xdr:spPr>
        <a:xfrm>
          <a:off x="4705350" y="314325"/>
          <a:ext cx="28289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se concidera que el  cultivo es lo</a:t>
          </a:r>
          <a:r>
            <a:rPr lang="en-CA" sz="1100" baseline="0"/>
            <a:t> analisado en la entrega 1 las ortalizas,  conciderando datos estandar de el tipo de suelo y de los cultivos</a:t>
          </a:r>
          <a:endParaRPr lang="en-CA" sz="1100"/>
        </a:p>
      </xdr:txBody>
    </xdr:sp>
    <xdr:clientData/>
  </xdr:twoCellAnchor>
  <xdr:twoCellAnchor>
    <xdr:from>
      <xdr:col>5</xdr:col>
      <xdr:colOff>142876</xdr:colOff>
      <xdr:row>7</xdr:row>
      <xdr:rowOff>38099</xdr:rowOff>
    </xdr:from>
    <xdr:to>
      <xdr:col>7</xdr:col>
      <xdr:colOff>628650</xdr:colOff>
      <xdr:row>9</xdr:row>
      <xdr:rowOff>133349</xdr:rowOff>
    </xdr:to>
    <xdr:sp macro="" textlink="">
      <xdr:nvSpPr>
        <xdr:cNvPr id="3" name="CuadroTexto 2">
          <a:extLst>
            <a:ext uri="{FF2B5EF4-FFF2-40B4-BE49-F238E27FC236}">
              <a16:creationId xmlns:a16="http://schemas.microsoft.com/office/drawing/2014/main" id="{1D9C9EB9-C8CF-BB81-8936-19E40DB6FC3E}"/>
            </a:ext>
          </a:extLst>
        </xdr:cNvPr>
        <xdr:cNvSpPr txBox="1"/>
      </xdr:nvSpPr>
      <xdr:spPr>
        <a:xfrm>
          <a:off x="7239001" y="1371599"/>
          <a:ext cx="2009774"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solo se le aplica los tipos de suelos a las distintas areas</a:t>
          </a:r>
        </a:p>
        <a:p>
          <a:endParaRPr lang="en-CA"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FA3B84-8A00-47D0-9DAA-4EBD7B9A32DE}" name="Tabla1" displayName="Tabla1" ref="A1:E14" totalsRowCount="1" headerRowDxfId="29" headerRowCellStyle="Normal 2" dataCellStyle="Normal 2">
  <autoFilter ref="A1:E13" xr:uid="{47FA3B84-8A00-47D0-9DAA-4EBD7B9A32DE}"/>
  <tableColumns count="5">
    <tableColumn id="1" xr3:uid="{B8C17CD1-9B15-458F-8A21-6CEC7D3A88DE}" name="promedios" totalsRowLabel="Total" totalsRowDxfId="28" dataCellStyle="Normal 2"/>
    <tableColumn id="2" xr3:uid="{3C03B2B2-3676-4EFD-8454-D64E5DB20061}" name="lluvia (mm)" totalsRowDxfId="27" dataCellStyle="Normal 2"/>
    <tableColumn id="3" xr3:uid="{E1B9C082-11CA-4A8D-BC13-7317A8862727}" name="mensual(mm)" totalsRowFunction="sum" totalsRowDxfId="26" dataCellStyle="Normal 2"/>
    <tableColumn id="4" xr3:uid="{ADE8958A-7A41-423E-A95C-61CAA1119BAD}" name="recoleccion diaria (m3)" dataDxfId="25" totalsRowDxfId="24" dataCellStyle="Normal 2" totalsRowCellStyle="Normal 2">
      <calculatedColumnFormula>Tabla1[[#This Row],[lluvia (mm)]]*200/1000</calculatedColumnFormula>
    </tableColumn>
    <tableColumn id="5" xr3:uid="{00738F33-E24B-4640-B934-C3176CCF21D6}" name="recoleccion mensual (m3)" dataDxfId="23" totalsRowDxfId="22" dataCellStyle="Normal 2">
      <calculatedColumnFormula>Tabla1[[#This Row],[mensual(mm)]]*200/1000</calculatedColumnFormula>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A7B730-22C6-4D5F-A132-E33295A732BB}" name="Tabla2" displayName="Tabla2" ref="A1:J17" totalsRowShown="0">
  <autoFilter ref="A1:J17" xr:uid="{E0A7B730-22C6-4D5F-A132-E33295A732BB}"/>
  <tableColumns count="10">
    <tableColumn id="1" xr3:uid="{36E6A85F-87B1-4B45-B97B-F4E9F82DA7E2}" name="Areas de ejemplo"/>
    <tableColumn id="2" xr3:uid="{B6D39B34-FD39-4436-8325-F21081C753F3}" name="Hectareas"/>
    <tableColumn id="3" xr3:uid="{9DDE7732-0603-447B-8C37-98663507C459}" name="m^2">
      <calculatedColumnFormula>B2*10000</calculatedColumnFormula>
    </tableColumn>
    <tableColumn id="4" xr3:uid="{E70C32CA-4B46-4686-BDFE-3ABB35DB21C7}" name="goteo caudal max" dataDxfId="21">
      <calculatedColumnFormula>80*Tabla2[[#This Row],[Hectareas]]</calculatedColumnFormula>
    </tableColumn>
    <tableColumn id="5" xr3:uid="{A03C3786-9B3D-4919-8EBA-40BC2E9D8738}" name="gravedad caudal max" dataDxfId="20">
      <calculatedColumnFormula>250*Tabla2[[#This Row],[Hectareas]]</calculatedColumnFormula>
    </tableColumn>
    <tableColumn id="6" xr3:uid="{6BDA0D69-C297-4107-83AB-6641F2BEF200}" name="aspersión caudal max" dataDxfId="19">
      <calculatedColumnFormula>90*Tabla2[[#This Row],[Hectareas]]</calculatedColumnFormula>
    </tableColumn>
    <tableColumn id="7" xr3:uid="{02A72C48-1F0A-4194-8E4B-587C3C14D00F}" name="nebulización caudal max" dataDxfId="18">
      <calculatedColumnFormula>40*Tabla2[[#This Row],[Hectareas]]</calculatedColumnFormula>
    </tableColumn>
    <tableColumn id="8" xr3:uid="{5815F7DA-1A0A-443E-9C7E-AA37C1835D0A}" name="microaspersión caudal max" dataDxfId="17">
      <calculatedColumnFormula>100*Tabla2[[#This Row],[Hectareas]]</calculatedColumnFormula>
    </tableColumn>
    <tableColumn id="9" xr3:uid="{FB74ED40-C0A6-4CE9-A45C-CCB6529285D7}" name="inundacion caudal max" dataDxfId="16">
      <calculatedColumnFormula>300*Tabla2[[#This Row],[Hectareas]]</calculatedColumnFormula>
    </tableColumn>
    <tableColumn id="10" xr3:uid="{FEBB59D2-EA68-4119-AE3B-FA5E5C2501B0}" name="costo oportunidad  por año (CLP)" dataCellStyle="Moneda">
      <calculatedColumnFormula>K25*Tabla2[[#This Row],[Hectareas]]</calculatedColumnFormula>
    </tableColum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65A7456-30B4-46EA-BC75-F95EADB296DC}" name="Tabla9" displayName="Tabla9" ref="A1:D7" totalsRowShown="0">
  <autoFilter ref="A1:D7" xr:uid="{865A7456-30B4-46EA-BC75-F95EADB296DC}"/>
  <tableColumns count="4">
    <tableColumn id="1" xr3:uid="{46B21CA3-B261-4623-A958-9592E56C3B18}" name="metodo"/>
    <tableColumn id="2" xr3:uid="{E0C00755-2659-44F5-87DB-1E00877B1BAE}" name="eficiencia (min)"/>
    <tableColumn id="3" xr3:uid="{717A50A4-E022-47C4-A9DC-9F985EAF7152}" name="eficiencia(max)"/>
    <tableColumn id="4" xr3:uid="{4A4A3FC0-4083-415F-8994-CE9853C0061D}" name="promedio">
      <calculatedColumnFormula>AVERAGE(B2,C2)</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102DBA-D919-4C5C-AAF2-4BB0BFB12035}" name="Tabla3" displayName="Tabla3" ref="A1:C16" totalsRowShown="0">
  <autoFilter ref="A1:C16" xr:uid="{C8102DBA-D919-4C5C-AAF2-4BB0BFB12035}"/>
  <tableColumns count="3">
    <tableColumn id="1" xr3:uid="{79FAC35E-3092-43D7-A2CA-18BAB98672A5}" name="sku"/>
    <tableColumn id="2" xr3:uid="{1938863C-43D9-49E3-ABF4-9B68F023F3CE}" name="capacidad (LTS)"/>
    <tableColumn id="3" xr3:uid="{B1D2F1F2-9317-4406-A957-4A9CE85CE09D}" name="capacidad (m^3)">
      <calculatedColumnFormula>B2/1000</calculatedColumnFormula>
    </tableColumn>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DA8F71A-60B3-4C98-9DE1-BE2983B2C11A}" name="Tabla15" displayName="Tabla15" ref="A1:D5" totalsRowShown="0">
  <autoFilter ref="A1:D5" xr:uid="{6DA8F71A-60B3-4C98-9DE1-BE2983B2C11A}"/>
  <tableColumns count="4">
    <tableColumn id="1" xr3:uid="{2A87AFB2-6846-4FD1-8BD7-E89D3986411F}" name="tipo de bomba"/>
    <tableColumn id="2" xr3:uid="{47E94F22-0CFB-43A8-9A0D-F3D9346E2ADE}" name="altura minima(m)"/>
    <tableColumn id="3" xr3:uid="{51BC0270-718C-410B-BEBC-9D2EF0BC41DA}" name="altura maxima (m)"/>
    <tableColumn id="4" xr3:uid="{A66959F6-DF41-4924-B395-753CD40AFCC7}" name="tipo de fuente (f)"/>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4738759-BBFE-4841-BFFE-B4E74C294362}" name="Tabla7" displayName="Tabla7" ref="A1:D6" totalsRowShown="0">
  <autoFilter ref="A1:D6" xr:uid="{A4738759-BBFE-4841-BFFE-B4E74C294362}"/>
  <tableColumns count="4">
    <tableColumn id="1" xr3:uid="{814F4FA7-3D50-43B9-B119-5A73F1D58475}" name="eficiencia"/>
    <tableColumn id="2" xr3:uid="{33994AF2-3147-40BC-B80A-35B324B22370}" name="minimo"/>
    <tableColumn id="3" xr3:uid="{75145D1C-9085-422C-BA41-1B4029A090B4}" name="maximo"/>
    <tableColumn id="4" xr3:uid="{87B28793-D1E6-4721-A21C-0621609BD878}" name="promedio">
      <calculatedColumnFormula>AVERAGE(B2,C2)</calculatedColumnFormula>
    </tableColum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382D16-38D0-4F75-AF6B-341AE5DD10F7}" name="Tabla8" displayName="Tabla8" ref="A9:B14" totalsRowShown="0">
  <autoFilter ref="A9:B14" xr:uid="{A8382D16-38D0-4F75-AF6B-341AE5DD10F7}"/>
  <tableColumns count="2">
    <tableColumn id="1" xr3:uid="{F51901EE-E550-4E88-95A8-6776ED446D6B}" name="tipo bomba" dataDxfId="15"/>
    <tableColumn id="2" xr3:uid="{E86D27A4-EE58-4559-BBD8-93A1F928470C}" name="maximo caudal (m^3/h)"/>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4997D6-A417-4ACF-B4D3-639747F2DF1A}" name="Tabla4" displayName="Tabla4" ref="A1:C7" totalsRowShown="0">
  <autoFilter ref="A1:C7" xr:uid="{604997D6-A417-4ACF-B4D3-639747F2DF1A}"/>
  <tableColumns count="3">
    <tableColumn id="1" xr3:uid="{06B01D10-D1E9-4B57-86DD-F1B98C14E939}" name="fuente"/>
    <tableColumn id="3" xr3:uid="{A611F9C1-2C47-4890-91EB-FC8DC286BF00}" name="derchos (compra unica) (uf)"/>
    <tableColumn id="4" xr3:uid="{7F5731F4-B6D1-446B-A3D6-D12CB29B86BC}" name="clp " dataCellStyle="Moneda">
      <calculatedColumnFormula>B2*39186.92</calculatedColumnFormula>
    </tableColumn>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C07CA3-185A-4760-A716-6401EAC7497C}" name="Tabla5" displayName="Tabla5" ref="A1:I2" totalsRowShown="0">
  <autoFilter ref="A1:I2" xr:uid="{28C07CA3-185A-4760-A716-6401EAC7497C}"/>
  <tableColumns count="9">
    <tableColumn id="1" xr3:uid="{17212CF9-53D1-46EF-B8EB-BFC692849D87}" name="empresa"/>
    <tableColumn id="2" xr3:uid="{B326B712-7224-4D28-9B26-88E176AC3827}" name="comuna"/>
    <tableColumn id="3" xr3:uid="{4388E88A-AC52-40FD-B943-EC86FEF353F3}" name="sector tarifario"/>
    <tableColumn id="4" xr3:uid="{2BDEA5A3-03CD-4402-989C-CC2879B948AF}" name="Aéreo"/>
    <tableColumn id="5" xr3:uid="{5D7DACA1-40D5-40EF-935E-09066D9CCFDD}" name="cargo fijo BT2"/>
    <tableColumn id="6" xr3:uid="{2EBB4B2D-CED6-43CB-87DA-5E0BAD1AE623}" name="transmicion" dataDxfId="14"/>
    <tableColumn id="7" xr3:uid="{AAAFBF07-09E5-48E4-B90B-3BE5FF7BF209}" name="energia" dataDxfId="13"/>
    <tableColumn id="8" xr3:uid="{4D4F2D1D-2D8A-485D-8E61-36E4DED4AA6D}" name="presente en punta"/>
    <tableColumn id="9" xr3:uid="{3A8DE104-028A-4CBE-88FB-E17A3DE72FF7}" name="parcial en punta"/>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DE3739-F0B8-4F24-9E3E-E0AC9DCC887F}" name="Tabla6" displayName="Tabla6" ref="A1:B13" totalsRowShown="0">
  <autoFilter ref="A1:B13" xr:uid="{4EDE3739-F0B8-4F24-9E3E-E0AC9DCC887F}"/>
  <tableColumns count="2">
    <tableColumn id="1" xr3:uid="{E80EFFCD-3A75-4755-BF20-DAB295AA2EF8}" name="mes"/>
    <tableColumn id="2" xr3:uid="{DF047580-2C4F-4978-9B78-F7BB7DD507B0}" name="Penalizacion (CLP/m^3)" dataDxfId="12"/>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B380327-67B1-405C-9A20-964E12617CAD}" name="Tabla14" displayName="Tabla14" ref="A2:A34" totalsRowShown="0">
  <autoFilter ref="A2:A34" xr:uid="{5B380327-67B1-405C-9A20-964E12617CAD}"/>
  <tableColumns count="1">
    <tableColumn id="1" xr3:uid="{A6119147-D0DF-4DC2-B7E5-CCB08847564D}" name="es una lista de fechas"/>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17C7E7D-3C98-4D49-8745-D07568BDE4CC}" name="Tabla10" displayName="Tabla10" ref="A1:C4" totalsRowCount="1">
  <autoFilter ref="A1:C3" xr:uid="{B17C7E7D-3C98-4D49-8745-D07568BDE4CC}"/>
  <tableColumns count="3">
    <tableColumn id="1" xr3:uid="{52F2CF9F-EE36-4879-87D4-957B8CF1D847}" name="sistema"/>
    <tableColumn id="2" xr3:uid="{5D49E922-EDBE-45E1-BA30-2E3A8FEA8702}" name="gasto energetico (kWh)"/>
    <tableColumn id="3" xr3:uid="{B1EED0E6-0A72-4F6F-AAEE-C4EE6CC26B52}" name="costo instalacion (CLP)" totalsRowFunction="custom" totalsRowDxfId="11" dataCellStyle="Moneda" totalsRowCellStyle="Moneda">
      <totalsRowFormula>C3-C2</totalsRowFormula>
    </tableColumn>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3DBF002-DD6B-4F0B-8621-6A0A8682ABD5}" name="Tabla12" displayName="Tabla12" ref="A5:E21" totalsRowShown="0" tableBorderDxfId="10">
  <autoFilter ref="A5:E21" xr:uid="{A3DBF002-DD6B-4F0B-8621-6A0A8682ABD5}"/>
  <tableColumns count="5">
    <tableColumn id="1" xr3:uid="{4EB4A594-DB32-44F3-8270-52FD6B0A6432}" name="Areas de ejemplo" dataDxfId="9"/>
    <tableColumn id="2" xr3:uid="{DA9D014D-9FD1-40F7-BB97-B9E53A794594}" name="Hectareas" dataDxfId="8"/>
    <tableColumn id="3" xr3:uid="{317AB546-14E1-44DA-9F52-8FFF61A3D17A}" name="costo monitoreo" dataDxfId="7">
      <calculatedColumnFormula>Tabla12[[#This Row],[Hectareas]]*1050000</calculatedColumnFormula>
    </tableColumn>
    <tableColumn id="4" xr3:uid="{9F455EA6-ED2E-4C23-A9B9-C4588EFC16E0}" name="costo automatisacion" dataCellStyle="Moneda">
      <calculatedColumnFormula>Tabla12[[#This Row],[Hectareas]]*1900000</calculatedColumnFormula>
    </tableColumn>
    <tableColumn id="5" xr3:uid="{607383B6-4176-4C75-BCA6-C9C0C9297333}" name="automatisacion monitoreo antes" dataCellStyle="Moneda">
      <calculatedColumnFormula>850000*Tabla12[[#This Row],[Hectareas]]</calculatedColumnFormula>
    </tableColumn>
  </tableColumns>
  <tableStyleInfo name="TableStyleMedium15"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945E6D7-06A0-4C39-A0E8-B277AB3A2F49}" name="Tabla11" displayName="Tabla11" ref="A1:B4" totalsRowShown="0">
  <autoFilter ref="A1:B4" xr:uid="{5945E6D7-06A0-4C39-A0E8-B277AB3A2F49}"/>
  <tableColumns count="2">
    <tableColumn id="1" xr3:uid="{CAAA9E0B-0BB5-43AB-9B9E-A87B9888EA55}" name="tipo de suelo "/>
    <tableColumn id="2" xr3:uid="{4A4A1BF2-05C4-48A9-979F-03FB91795C1E}" name="demanda hidrica 1 hectarea  1 dia (m^3)"/>
  </tableColumns>
  <tableStyleInfo name="TableStyleMedium1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778CC55-24CC-4164-945C-59EA5D168AE1}" name="Tabla13" displayName="Tabla13" ref="A8:D24" totalsRowShown="0" headerRowDxfId="6" headerRowBorderDxfId="5" tableBorderDxfId="4" totalsRowBorderDxfId="3">
  <autoFilter ref="A8:D24" xr:uid="{A778CC55-24CC-4164-945C-59EA5D168AE1}"/>
  <tableColumns count="4">
    <tableColumn id="1" xr3:uid="{BB7977FE-7E71-4535-97CB-69E7BA42DF42}" name="Areas de ejemplo" dataDxfId="2"/>
    <tableColumn id="2" xr3:uid="{E1DC5BEA-5A06-46BB-ABC0-F8E208BC6E08}" name="Hectareas" dataDxfId="1"/>
    <tableColumn id="3" xr3:uid="{C33EA88C-AE94-4448-9C90-56E730D8EDAB}" name="tipo de suelo"/>
    <tableColumn id="4" xr3:uid="{739244BE-3622-4470-BE84-7CE3F98E958E}" name="demanda hidrica area" dataDxfId="0">
      <calculatedColumnFormula>B2*Tabla13[[#This Row],[Hectareas]]</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E494-F475-4183-9499-DA739033971B}">
  <dimension ref="A1:E14"/>
  <sheetViews>
    <sheetView workbookViewId="0">
      <selection activeCell="E2" sqref="E2"/>
    </sheetView>
  </sheetViews>
  <sheetFormatPr baseColWidth="10" defaultRowHeight="13" x14ac:dyDescent="0.15"/>
  <cols>
    <col min="1" max="1" width="15.5" style="1" bestFit="1" customWidth="1"/>
    <col min="2" max="2" width="15.33203125" style="1" bestFit="1" customWidth="1"/>
    <col min="3" max="3" width="14.5" style="1" customWidth="1"/>
    <col min="4" max="4" width="24.5" style="1" bestFit="1" customWidth="1"/>
    <col min="5" max="5" width="26.83203125" style="1" bestFit="1" customWidth="1"/>
    <col min="6" max="256" width="11.5" style="1"/>
    <col min="257" max="257" width="15.5" style="1" bestFit="1" customWidth="1"/>
    <col min="258" max="512" width="11.5" style="1"/>
    <col min="513" max="513" width="15.5" style="1" bestFit="1" customWidth="1"/>
    <col min="514" max="768" width="11.5" style="1"/>
    <col min="769" max="769" width="15.5" style="1" bestFit="1" customWidth="1"/>
    <col min="770" max="1024" width="11.5" style="1"/>
    <col min="1025" max="1025" width="15.5" style="1" bestFit="1" customWidth="1"/>
    <col min="1026" max="1280" width="11.5" style="1"/>
    <col min="1281" max="1281" width="15.5" style="1" bestFit="1" customWidth="1"/>
    <col min="1282" max="1536" width="11.5" style="1"/>
    <col min="1537" max="1537" width="15.5" style="1" bestFit="1" customWidth="1"/>
    <col min="1538" max="1792" width="11.5" style="1"/>
    <col min="1793" max="1793" width="15.5" style="1" bestFit="1" customWidth="1"/>
    <col min="1794" max="2048" width="11.5" style="1"/>
    <col min="2049" max="2049" width="15.5" style="1" bestFit="1" customWidth="1"/>
    <col min="2050" max="2304" width="11.5" style="1"/>
    <col min="2305" max="2305" width="15.5" style="1" bestFit="1" customWidth="1"/>
    <col min="2306" max="2560" width="11.5" style="1"/>
    <col min="2561" max="2561" width="15.5" style="1" bestFit="1" customWidth="1"/>
    <col min="2562" max="2816" width="11.5" style="1"/>
    <col min="2817" max="2817" width="15.5" style="1" bestFit="1" customWidth="1"/>
    <col min="2818" max="3072" width="11.5" style="1"/>
    <col min="3073" max="3073" width="15.5" style="1" bestFit="1" customWidth="1"/>
    <col min="3074" max="3328" width="11.5" style="1"/>
    <col min="3329" max="3329" width="15.5" style="1" bestFit="1" customWidth="1"/>
    <col min="3330" max="3584" width="11.5" style="1"/>
    <col min="3585" max="3585" width="15.5" style="1" bestFit="1" customWidth="1"/>
    <col min="3586" max="3840" width="11.5" style="1"/>
    <col min="3841" max="3841" width="15.5" style="1" bestFit="1" customWidth="1"/>
    <col min="3842" max="4096" width="11.5" style="1"/>
    <col min="4097" max="4097" width="15.5" style="1" bestFit="1" customWidth="1"/>
    <col min="4098" max="4352" width="11.5" style="1"/>
    <col min="4353" max="4353" width="15.5" style="1" bestFit="1" customWidth="1"/>
    <col min="4354" max="4608" width="11.5" style="1"/>
    <col min="4609" max="4609" width="15.5" style="1" bestFit="1" customWidth="1"/>
    <col min="4610" max="4864" width="11.5" style="1"/>
    <col min="4865" max="4865" width="15.5" style="1" bestFit="1" customWidth="1"/>
    <col min="4866" max="5120" width="11.5" style="1"/>
    <col min="5121" max="5121" width="15.5" style="1" bestFit="1" customWidth="1"/>
    <col min="5122" max="5376" width="11.5" style="1"/>
    <col min="5377" max="5377" width="15.5" style="1" bestFit="1" customWidth="1"/>
    <col min="5378" max="5632" width="11.5" style="1"/>
    <col min="5633" max="5633" width="15.5" style="1" bestFit="1" customWidth="1"/>
    <col min="5634" max="5888" width="11.5" style="1"/>
    <col min="5889" max="5889" width="15.5" style="1" bestFit="1" customWidth="1"/>
    <col min="5890" max="6144" width="11.5" style="1"/>
    <col min="6145" max="6145" width="15.5" style="1" bestFit="1" customWidth="1"/>
    <col min="6146" max="6400" width="11.5" style="1"/>
    <col min="6401" max="6401" width="15.5" style="1" bestFit="1" customWidth="1"/>
    <col min="6402" max="6656" width="11.5" style="1"/>
    <col min="6657" max="6657" width="15.5" style="1" bestFit="1" customWidth="1"/>
    <col min="6658" max="6912" width="11.5" style="1"/>
    <col min="6913" max="6913" width="15.5" style="1" bestFit="1" customWidth="1"/>
    <col min="6914" max="7168" width="11.5" style="1"/>
    <col min="7169" max="7169" width="15.5" style="1" bestFit="1" customWidth="1"/>
    <col min="7170" max="7424" width="11.5" style="1"/>
    <col min="7425" max="7425" width="15.5" style="1" bestFit="1" customWidth="1"/>
    <col min="7426" max="7680" width="11.5" style="1"/>
    <col min="7681" max="7681" width="15.5" style="1" bestFit="1" customWidth="1"/>
    <col min="7682" max="7936" width="11.5" style="1"/>
    <col min="7937" max="7937" width="15.5" style="1" bestFit="1" customWidth="1"/>
    <col min="7938" max="8192" width="11.5" style="1"/>
    <col min="8193" max="8193" width="15.5" style="1" bestFit="1" customWidth="1"/>
    <col min="8194" max="8448" width="11.5" style="1"/>
    <col min="8449" max="8449" width="15.5" style="1" bestFit="1" customWidth="1"/>
    <col min="8450" max="8704" width="11.5" style="1"/>
    <col min="8705" max="8705" width="15.5" style="1" bestFit="1" customWidth="1"/>
    <col min="8706" max="8960" width="11.5" style="1"/>
    <col min="8961" max="8961" width="15.5" style="1" bestFit="1" customWidth="1"/>
    <col min="8962" max="9216" width="11.5" style="1"/>
    <col min="9217" max="9217" width="15.5" style="1" bestFit="1" customWidth="1"/>
    <col min="9218" max="9472" width="11.5" style="1"/>
    <col min="9473" max="9473" width="15.5" style="1" bestFit="1" customWidth="1"/>
    <col min="9474" max="9728" width="11.5" style="1"/>
    <col min="9729" max="9729" width="15.5" style="1" bestFit="1" customWidth="1"/>
    <col min="9730" max="9984" width="11.5" style="1"/>
    <col min="9985" max="9985" width="15.5" style="1" bestFit="1" customWidth="1"/>
    <col min="9986" max="10240" width="11.5" style="1"/>
    <col min="10241" max="10241" width="15.5" style="1" bestFit="1" customWidth="1"/>
    <col min="10242" max="10496" width="11.5" style="1"/>
    <col min="10497" max="10497" width="15.5" style="1" bestFit="1" customWidth="1"/>
    <col min="10498" max="10752" width="11.5" style="1"/>
    <col min="10753" max="10753" width="15.5" style="1" bestFit="1" customWidth="1"/>
    <col min="10754" max="11008" width="11.5" style="1"/>
    <col min="11009" max="11009" width="15.5" style="1" bestFit="1" customWidth="1"/>
    <col min="11010" max="11264" width="11.5" style="1"/>
    <col min="11265" max="11265" width="15.5" style="1" bestFit="1" customWidth="1"/>
    <col min="11266" max="11520" width="11.5" style="1"/>
    <col min="11521" max="11521" width="15.5" style="1" bestFit="1" customWidth="1"/>
    <col min="11522" max="11776" width="11.5" style="1"/>
    <col min="11777" max="11777" width="15.5" style="1" bestFit="1" customWidth="1"/>
    <col min="11778" max="12032" width="11.5" style="1"/>
    <col min="12033" max="12033" width="15.5" style="1" bestFit="1" customWidth="1"/>
    <col min="12034" max="12288" width="11.5" style="1"/>
    <col min="12289" max="12289" width="15.5" style="1" bestFit="1" customWidth="1"/>
    <col min="12290" max="12544" width="11.5" style="1"/>
    <col min="12545" max="12545" width="15.5" style="1" bestFit="1" customWidth="1"/>
    <col min="12546" max="12800" width="11.5" style="1"/>
    <col min="12801" max="12801" width="15.5" style="1" bestFit="1" customWidth="1"/>
    <col min="12802" max="13056" width="11.5" style="1"/>
    <col min="13057" max="13057" width="15.5" style="1" bestFit="1" customWidth="1"/>
    <col min="13058" max="13312" width="11.5" style="1"/>
    <col min="13313" max="13313" width="15.5" style="1" bestFit="1" customWidth="1"/>
    <col min="13314" max="13568" width="11.5" style="1"/>
    <col min="13569" max="13569" width="15.5" style="1" bestFit="1" customWidth="1"/>
    <col min="13570" max="13824" width="11.5" style="1"/>
    <col min="13825" max="13825" width="15.5" style="1" bestFit="1" customWidth="1"/>
    <col min="13826" max="14080" width="11.5" style="1"/>
    <col min="14081" max="14081" width="15.5" style="1" bestFit="1" customWidth="1"/>
    <col min="14082" max="14336" width="11.5" style="1"/>
    <col min="14337" max="14337" width="15.5" style="1" bestFit="1" customWidth="1"/>
    <col min="14338" max="14592" width="11.5" style="1"/>
    <col min="14593" max="14593" width="15.5" style="1" bestFit="1" customWidth="1"/>
    <col min="14594" max="14848" width="11.5" style="1"/>
    <col min="14849" max="14849" width="15.5" style="1" bestFit="1" customWidth="1"/>
    <col min="14850" max="15104" width="11.5" style="1"/>
    <col min="15105" max="15105" width="15.5" style="1" bestFit="1" customWidth="1"/>
    <col min="15106" max="15360" width="11.5" style="1"/>
    <col min="15361" max="15361" width="15.5" style="1" bestFit="1" customWidth="1"/>
    <col min="15362" max="15616" width="11.5" style="1"/>
    <col min="15617" max="15617" width="15.5" style="1" bestFit="1" customWidth="1"/>
    <col min="15618" max="15872" width="11.5" style="1"/>
    <col min="15873" max="15873" width="15.5" style="1" bestFit="1" customWidth="1"/>
    <col min="15874" max="16128" width="11.5" style="1"/>
    <col min="16129" max="16129" width="15.5" style="1" bestFit="1" customWidth="1"/>
    <col min="16130" max="16384" width="11.5" style="1"/>
  </cols>
  <sheetData>
    <row r="1" spans="1:5" x14ac:dyDescent="0.15">
      <c r="A1" s="3" t="s">
        <v>29</v>
      </c>
      <c r="B1" s="3" t="s">
        <v>0</v>
      </c>
      <c r="C1" s="3" t="s">
        <v>30</v>
      </c>
      <c r="D1" s="3" t="s">
        <v>130</v>
      </c>
      <c r="E1" s="3" t="s">
        <v>131</v>
      </c>
    </row>
    <row r="2" spans="1:5" x14ac:dyDescent="0.15">
      <c r="A2" s="1" t="s">
        <v>1</v>
      </c>
      <c r="B2" s="1">
        <v>3.0716845878136199E-2</v>
      </c>
      <c r="C2" s="1">
        <v>0.9522222222222223</v>
      </c>
      <c r="D2" s="1">
        <f>Tabla1[[#This Row],[lluvia (mm)]]*200/1000</f>
        <v>6.1433691756272394E-3</v>
      </c>
      <c r="E2" s="1">
        <f>Tabla1[[#This Row],[mensual(mm)]]*200/1000</f>
        <v>0.19044444444444444</v>
      </c>
    </row>
    <row r="3" spans="1:5" x14ac:dyDescent="0.15">
      <c r="A3" s="1" t="s">
        <v>2</v>
      </c>
      <c r="B3" s="1">
        <v>4.3000755857898719E-2</v>
      </c>
      <c r="C3" s="1">
        <v>1.204021164021164</v>
      </c>
      <c r="D3" s="1">
        <f>Tabla1[[#This Row],[lluvia (mm)]]*200/1000</f>
        <v>8.6001511715797438E-3</v>
      </c>
      <c r="E3" s="1">
        <f>Tabla1[[#This Row],[mensual(mm)]]*200/1000</f>
        <v>0.2408042328042328</v>
      </c>
    </row>
    <row r="4" spans="1:5" x14ac:dyDescent="0.15">
      <c r="A4" s="1" t="s">
        <v>3</v>
      </c>
      <c r="B4" s="1">
        <v>0.14031660692951012</v>
      </c>
      <c r="C4" s="1">
        <v>4.349814814814815</v>
      </c>
      <c r="D4" s="1">
        <f>Tabla1[[#This Row],[lluvia (mm)]]*200/1000</f>
        <v>2.8063321385902024E-2</v>
      </c>
      <c r="E4" s="1">
        <f>Tabla1[[#This Row],[mensual(mm)]]*200/1000</f>
        <v>0.86996296296296305</v>
      </c>
    </row>
    <row r="5" spans="1:5" x14ac:dyDescent="0.15">
      <c r="A5" s="1" t="s">
        <v>4</v>
      </c>
      <c r="B5" s="1">
        <v>1.3214656084656085</v>
      </c>
      <c r="C5" s="1">
        <v>39.643968253968254</v>
      </c>
      <c r="D5" s="1">
        <f>Tabla1[[#This Row],[lluvia (mm)]]*200/1000</f>
        <v>0.26429312169312169</v>
      </c>
      <c r="E5" s="1">
        <f>Tabla1[[#This Row],[mensual(mm)]]*200/1000</f>
        <v>7.9287936507936507</v>
      </c>
    </row>
    <row r="6" spans="1:5" x14ac:dyDescent="0.15">
      <c r="A6" s="1" t="s">
        <v>5</v>
      </c>
      <c r="B6" s="1">
        <v>1.5290954087728279</v>
      </c>
      <c r="C6" s="1">
        <v>47.401957671957668</v>
      </c>
      <c r="D6" s="1">
        <f>Tabla1[[#This Row],[lluvia (mm)]]*200/1000</f>
        <v>0.30581908175456557</v>
      </c>
      <c r="E6" s="1">
        <f>Tabla1[[#This Row],[mensual(mm)]]*200/1000</f>
        <v>9.4803915343915346</v>
      </c>
    </row>
    <row r="7" spans="1:5" x14ac:dyDescent="0.15">
      <c r="A7" s="1" t="s">
        <v>6</v>
      </c>
      <c r="B7" s="1">
        <v>5.0335661375661367</v>
      </c>
      <c r="C7" s="1">
        <v>151.00698412698409</v>
      </c>
      <c r="D7" s="1">
        <f>Tabla1[[#This Row],[lluvia (mm)]]*200/1000</f>
        <v>1.0067132275132273</v>
      </c>
      <c r="E7" s="1">
        <f>Tabla1[[#This Row],[mensual(mm)]]*200/1000</f>
        <v>30.20139682539682</v>
      </c>
    </row>
    <row r="8" spans="1:5" x14ac:dyDescent="0.15">
      <c r="A8" s="1" t="s">
        <v>7</v>
      </c>
      <c r="B8" s="1">
        <v>2.6132445809865166</v>
      </c>
      <c r="C8" s="1">
        <v>81.010582010582027</v>
      </c>
      <c r="D8" s="1">
        <f>Tabla1[[#This Row],[lluvia (mm)]]*200/1000</f>
        <v>0.52264891619730325</v>
      </c>
      <c r="E8" s="1">
        <f>Tabla1[[#This Row],[mensual(mm)]]*200/1000</f>
        <v>16.202116402116406</v>
      </c>
    </row>
    <row r="9" spans="1:5" x14ac:dyDescent="0.15">
      <c r="A9" s="1" t="s">
        <v>8</v>
      </c>
      <c r="B9" s="1">
        <v>2.2345920805598225</v>
      </c>
      <c r="C9" s="1">
        <v>69.272354497354499</v>
      </c>
      <c r="D9" s="1">
        <f>Tabla1[[#This Row],[lluvia (mm)]]*200/1000</f>
        <v>0.44691841611196453</v>
      </c>
      <c r="E9" s="1">
        <f>Tabla1[[#This Row],[mensual(mm)]]*200/1000</f>
        <v>13.8544708994709</v>
      </c>
    </row>
    <row r="10" spans="1:5" x14ac:dyDescent="0.15">
      <c r="A10" s="1" t="s">
        <v>9</v>
      </c>
      <c r="B10" s="1">
        <v>0.93943915343915352</v>
      </c>
      <c r="C10" s="1">
        <v>28.183174603174603</v>
      </c>
      <c r="D10" s="1">
        <f>Tabla1[[#This Row],[lluvia (mm)]]*200/1000</f>
        <v>0.18788783068783069</v>
      </c>
      <c r="E10" s="1">
        <f>Tabla1[[#This Row],[mensual(mm)]]*200/1000</f>
        <v>5.6366349206349202</v>
      </c>
    </row>
    <row r="11" spans="1:5" x14ac:dyDescent="0.15">
      <c r="A11" s="1" t="s">
        <v>10</v>
      </c>
      <c r="B11" s="1">
        <v>0.98487113841952534</v>
      </c>
      <c r="C11" s="1">
        <v>30.53100529100529</v>
      </c>
      <c r="D11" s="1">
        <f>Tabla1[[#This Row],[lluvia (mm)]]*200/1000</f>
        <v>0.19697422768390507</v>
      </c>
      <c r="E11" s="1">
        <f>Tabla1[[#This Row],[mensual(mm)]]*200/1000</f>
        <v>6.1062010582010577</v>
      </c>
    </row>
    <row r="12" spans="1:5" x14ac:dyDescent="0.15">
      <c r="A12" s="1" t="s">
        <v>11</v>
      </c>
      <c r="B12" s="1">
        <v>0.14774074074074076</v>
      </c>
      <c r="C12" s="1">
        <v>4.4322222222222223</v>
      </c>
      <c r="D12" s="1">
        <f>Tabla1[[#This Row],[lluvia (mm)]]*200/1000</f>
        <v>2.954814814814815E-2</v>
      </c>
      <c r="E12" s="1">
        <f>Tabla1[[#This Row],[mensual(mm)]]*200/1000</f>
        <v>0.88644444444444448</v>
      </c>
    </row>
    <row r="13" spans="1:5" x14ac:dyDescent="0.15">
      <c r="A13" s="1" t="s">
        <v>12</v>
      </c>
      <c r="B13" s="1">
        <v>4.0173237753882908E-2</v>
      </c>
      <c r="C13" s="1">
        <v>1.2453703703703705</v>
      </c>
      <c r="D13" s="1">
        <f>Tabla1[[#This Row],[lluvia (mm)]]*200/1000</f>
        <v>8.0346475507765813E-3</v>
      </c>
      <c r="E13" s="1">
        <f>Tabla1[[#This Row],[mensual(mm)]]*200/1000</f>
        <v>0.24907407407407411</v>
      </c>
    </row>
    <row r="14" spans="1:5" x14ac:dyDescent="0.15">
      <c r="A14" s="2" t="s">
        <v>33</v>
      </c>
      <c r="B14" s="2"/>
      <c r="C14" s="2">
        <f>SUBTOTAL(109,Tabla1[mensual(mm)])</f>
        <v>459.23367724867722</v>
      </c>
      <c r="E14" s="14"/>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6215-1733-4C99-BBA2-57FCEEBDA20E}">
  <dimension ref="A1:L40"/>
  <sheetViews>
    <sheetView workbookViewId="0">
      <selection sqref="A1:B17"/>
    </sheetView>
  </sheetViews>
  <sheetFormatPr baseColWidth="10" defaultRowHeight="15" x14ac:dyDescent="0.2"/>
  <cols>
    <col min="1" max="1" width="18.33203125" customWidth="1"/>
    <col min="2" max="2" width="12" customWidth="1"/>
    <col min="4" max="4" width="19" bestFit="1" customWidth="1"/>
    <col min="5" max="5" width="22" bestFit="1" customWidth="1"/>
    <col min="6" max="6" width="22.6640625" bestFit="1" customWidth="1"/>
    <col min="7" max="7" width="25.5" bestFit="1" customWidth="1"/>
    <col min="8" max="8" width="28" bestFit="1" customWidth="1"/>
    <col min="9" max="9" width="24" bestFit="1" customWidth="1"/>
    <col min="10" max="10" width="33.1640625" bestFit="1" customWidth="1"/>
    <col min="11" max="11" width="41.83203125" bestFit="1" customWidth="1"/>
    <col min="12" max="12" width="28.6640625" bestFit="1" customWidth="1"/>
  </cols>
  <sheetData>
    <row r="1" spans="1:10" x14ac:dyDescent="0.2">
      <c r="A1" t="s">
        <v>13</v>
      </c>
      <c r="B1" t="s">
        <v>31</v>
      </c>
      <c r="C1" t="s">
        <v>32</v>
      </c>
      <c r="D1" t="s">
        <v>112</v>
      </c>
      <c r="E1" t="s">
        <v>113</v>
      </c>
      <c r="F1" t="s">
        <v>114</v>
      </c>
      <c r="G1" t="s">
        <v>115</v>
      </c>
      <c r="H1" t="s">
        <v>116</v>
      </c>
      <c r="I1" t="s">
        <v>117</v>
      </c>
      <c r="J1" t="s">
        <v>118</v>
      </c>
    </row>
    <row r="2" spans="1:10" x14ac:dyDescent="0.2">
      <c r="A2" t="s">
        <v>14</v>
      </c>
      <c r="B2">
        <v>1</v>
      </c>
      <c r="C2">
        <f>B2*10000</f>
        <v>10000</v>
      </c>
      <c r="D2">
        <f>80*Tabla2[[#This Row],[Hectareas]]</f>
        <v>80</v>
      </c>
      <c r="E2">
        <f>250*Tabla2[[#This Row],[Hectareas]]</f>
        <v>250</v>
      </c>
      <c r="F2">
        <f>90*Tabla2[[#This Row],[Hectareas]]</f>
        <v>90</v>
      </c>
      <c r="G2">
        <f>40*Tabla2[[#This Row],[Hectareas]]</f>
        <v>40</v>
      </c>
      <c r="H2">
        <f>100*Tabla2[[#This Row],[Hectareas]]</f>
        <v>100</v>
      </c>
      <c r="I2">
        <f>300*Tabla2[[#This Row],[Hectareas]]</f>
        <v>300</v>
      </c>
      <c r="J2" s="9">
        <f>K25*Tabla2[[#This Row],[Hectareas]]</f>
        <v>1200000.0000000019</v>
      </c>
    </row>
    <row r="3" spans="1:10" x14ac:dyDescent="0.2">
      <c r="A3" t="s">
        <v>15</v>
      </c>
      <c r="B3">
        <v>5</v>
      </c>
      <c r="C3">
        <f t="shared" ref="C3:C17" si="0">B3*10000</f>
        <v>50000</v>
      </c>
      <c r="D3">
        <f>80*Tabla2[[#This Row],[Hectareas]]</f>
        <v>400</v>
      </c>
      <c r="E3">
        <f>250*Tabla2[[#This Row],[Hectareas]]</f>
        <v>1250</v>
      </c>
      <c r="F3">
        <f>90*Tabla2[[#This Row],[Hectareas]]</f>
        <v>450</v>
      </c>
      <c r="G3">
        <f>40*Tabla2[[#This Row],[Hectareas]]</f>
        <v>200</v>
      </c>
      <c r="H3">
        <f>100*Tabla2[[#This Row],[Hectareas]]</f>
        <v>500</v>
      </c>
      <c r="I3">
        <f>300*Tabla2[[#This Row],[Hectareas]]</f>
        <v>1500</v>
      </c>
      <c r="J3" s="9">
        <f>K26*Tabla2[[#This Row],[Hectareas]]</f>
        <v>6000000.0000000093</v>
      </c>
    </row>
    <row r="4" spans="1:10" x14ac:dyDescent="0.2">
      <c r="A4" t="s">
        <v>16</v>
      </c>
      <c r="B4">
        <v>10</v>
      </c>
      <c r="C4">
        <f t="shared" si="0"/>
        <v>100000</v>
      </c>
      <c r="D4">
        <f>80*Tabla2[[#This Row],[Hectareas]]</f>
        <v>800</v>
      </c>
      <c r="E4">
        <f>250*Tabla2[[#This Row],[Hectareas]]</f>
        <v>2500</v>
      </c>
      <c r="F4">
        <f>90*Tabla2[[#This Row],[Hectareas]]</f>
        <v>900</v>
      </c>
      <c r="G4">
        <f>40*Tabla2[[#This Row],[Hectareas]]</f>
        <v>400</v>
      </c>
      <c r="H4">
        <f>100*Tabla2[[#This Row],[Hectareas]]</f>
        <v>1000</v>
      </c>
      <c r="I4">
        <f>300*Tabla2[[#This Row],[Hectareas]]</f>
        <v>3000</v>
      </c>
      <c r="J4" s="9">
        <f>K27*Tabla2[[#This Row],[Hectareas]]</f>
        <v>12000000.000000019</v>
      </c>
    </row>
    <row r="5" spans="1:10" x14ac:dyDescent="0.2">
      <c r="A5" t="s">
        <v>16</v>
      </c>
      <c r="B5">
        <v>20</v>
      </c>
      <c r="C5">
        <f t="shared" si="0"/>
        <v>200000</v>
      </c>
      <c r="D5">
        <f>80*Tabla2[[#This Row],[Hectareas]]</f>
        <v>1600</v>
      </c>
      <c r="E5">
        <f>250*Tabla2[[#This Row],[Hectareas]]</f>
        <v>5000</v>
      </c>
      <c r="F5">
        <f>90*Tabla2[[#This Row],[Hectareas]]</f>
        <v>1800</v>
      </c>
      <c r="G5">
        <f>40*Tabla2[[#This Row],[Hectareas]]</f>
        <v>800</v>
      </c>
      <c r="H5">
        <f>100*Tabla2[[#This Row],[Hectareas]]</f>
        <v>2000</v>
      </c>
      <c r="I5">
        <f>300*Tabla2[[#This Row],[Hectareas]]</f>
        <v>6000</v>
      </c>
      <c r="J5" s="9">
        <f>K28*Tabla2[[#This Row],[Hectareas]]</f>
        <v>24000000.000000037</v>
      </c>
    </row>
    <row r="6" spans="1:10" x14ac:dyDescent="0.2">
      <c r="A6" t="s">
        <v>17</v>
      </c>
      <c r="B6">
        <v>35</v>
      </c>
      <c r="C6">
        <f t="shared" si="0"/>
        <v>350000</v>
      </c>
      <c r="D6">
        <f>80*Tabla2[[#This Row],[Hectareas]]</f>
        <v>2800</v>
      </c>
      <c r="E6">
        <f>250*Tabla2[[#This Row],[Hectareas]]</f>
        <v>8750</v>
      </c>
      <c r="F6">
        <f>90*Tabla2[[#This Row],[Hectareas]]</f>
        <v>3150</v>
      </c>
      <c r="G6">
        <f>40*Tabla2[[#This Row],[Hectareas]]</f>
        <v>1400</v>
      </c>
      <c r="H6">
        <f>100*Tabla2[[#This Row],[Hectareas]]</f>
        <v>3500</v>
      </c>
      <c r="I6">
        <f>300*Tabla2[[#This Row],[Hectareas]]</f>
        <v>10500</v>
      </c>
      <c r="J6" s="9">
        <f>K29*Tabla2[[#This Row],[Hectareas]]</f>
        <v>42000000.000000067</v>
      </c>
    </row>
    <row r="7" spans="1:10" x14ac:dyDescent="0.2">
      <c r="A7" t="s">
        <v>18</v>
      </c>
      <c r="B7">
        <v>50</v>
      </c>
      <c r="C7">
        <f t="shared" si="0"/>
        <v>500000</v>
      </c>
      <c r="D7">
        <f>80*Tabla2[[#This Row],[Hectareas]]</f>
        <v>4000</v>
      </c>
      <c r="E7">
        <f>250*Tabla2[[#This Row],[Hectareas]]</f>
        <v>12500</v>
      </c>
      <c r="F7">
        <f>90*Tabla2[[#This Row],[Hectareas]]</f>
        <v>4500</v>
      </c>
      <c r="G7">
        <f>40*Tabla2[[#This Row],[Hectareas]]</f>
        <v>2000</v>
      </c>
      <c r="H7">
        <f>100*Tabla2[[#This Row],[Hectareas]]</f>
        <v>5000</v>
      </c>
      <c r="I7">
        <f>300*Tabla2[[#This Row],[Hectareas]]</f>
        <v>15000</v>
      </c>
      <c r="J7" s="9">
        <f>K30*Tabla2[[#This Row],[Hectareas]]</f>
        <v>60000000.000000089</v>
      </c>
    </row>
    <row r="8" spans="1:10" x14ac:dyDescent="0.2">
      <c r="A8" t="s">
        <v>19</v>
      </c>
      <c r="B8">
        <v>100</v>
      </c>
      <c r="C8">
        <f t="shared" si="0"/>
        <v>1000000</v>
      </c>
      <c r="D8">
        <f>80*Tabla2[[#This Row],[Hectareas]]</f>
        <v>8000</v>
      </c>
      <c r="E8">
        <f>250*Tabla2[[#This Row],[Hectareas]]</f>
        <v>25000</v>
      </c>
      <c r="F8">
        <f>90*Tabla2[[#This Row],[Hectareas]]</f>
        <v>9000</v>
      </c>
      <c r="G8">
        <f>40*Tabla2[[#This Row],[Hectareas]]</f>
        <v>4000</v>
      </c>
      <c r="H8">
        <f>100*Tabla2[[#This Row],[Hectareas]]</f>
        <v>10000</v>
      </c>
      <c r="I8">
        <f>300*Tabla2[[#This Row],[Hectareas]]</f>
        <v>30000</v>
      </c>
      <c r="J8" s="9">
        <f>K31*Tabla2[[#This Row],[Hectareas]]</f>
        <v>120000000.00000018</v>
      </c>
    </row>
    <row r="9" spans="1:10" x14ac:dyDescent="0.2">
      <c r="A9" t="s">
        <v>20</v>
      </c>
      <c r="B9">
        <v>200</v>
      </c>
      <c r="C9">
        <f t="shared" si="0"/>
        <v>2000000</v>
      </c>
      <c r="D9">
        <f>80*Tabla2[[#This Row],[Hectareas]]</f>
        <v>16000</v>
      </c>
      <c r="E9">
        <f>250*Tabla2[[#This Row],[Hectareas]]</f>
        <v>50000</v>
      </c>
      <c r="F9">
        <f>90*Tabla2[[#This Row],[Hectareas]]</f>
        <v>18000</v>
      </c>
      <c r="G9">
        <f>40*Tabla2[[#This Row],[Hectareas]]</f>
        <v>8000</v>
      </c>
      <c r="H9">
        <f>100*Tabla2[[#This Row],[Hectareas]]</f>
        <v>20000</v>
      </c>
      <c r="I9">
        <f>300*Tabla2[[#This Row],[Hectareas]]</f>
        <v>60000</v>
      </c>
      <c r="J9" s="9">
        <f>K32*Tabla2[[#This Row],[Hectareas]]</f>
        <v>240000000.00000036</v>
      </c>
    </row>
    <row r="10" spans="1:10" x14ac:dyDescent="0.2">
      <c r="A10" t="s">
        <v>21</v>
      </c>
      <c r="B10">
        <v>150</v>
      </c>
      <c r="C10">
        <f t="shared" si="0"/>
        <v>1500000</v>
      </c>
      <c r="D10">
        <f>80*Tabla2[[#This Row],[Hectareas]]</f>
        <v>12000</v>
      </c>
      <c r="E10">
        <f>250*Tabla2[[#This Row],[Hectareas]]</f>
        <v>37500</v>
      </c>
      <c r="F10">
        <f>90*Tabla2[[#This Row],[Hectareas]]</f>
        <v>13500</v>
      </c>
      <c r="G10">
        <f>40*Tabla2[[#This Row],[Hectareas]]</f>
        <v>6000</v>
      </c>
      <c r="H10">
        <f>100*Tabla2[[#This Row],[Hectareas]]</f>
        <v>15000</v>
      </c>
      <c r="I10">
        <f>300*Tabla2[[#This Row],[Hectareas]]</f>
        <v>45000</v>
      </c>
      <c r="J10" s="9">
        <f>K33*Tabla2[[#This Row],[Hectareas]]</f>
        <v>180000000.00000027</v>
      </c>
    </row>
    <row r="11" spans="1:10" x14ac:dyDescent="0.2">
      <c r="A11" t="s">
        <v>22</v>
      </c>
      <c r="B11">
        <v>75</v>
      </c>
      <c r="C11">
        <f t="shared" si="0"/>
        <v>750000</v>
      </c>
      <c r="D11">
        <f>80*Tabla2[[#This Row],[Hectareas]]</f>
        <v>6000</v>
      </c>
      <c r="E11">
        <f>250*Tabla2[[#This Row],[Hectareas]]</f>
        <v>18750</v>
      </c>
      <c r="F11">
        <f>90*Tabla2[[#This Row],[Hectareas]]</f>
        <v>6750</v>
      </c>
      <c r="G11">
        <f>40*Tabla2[[#This Row],[Hectareas]]</f>
        <v>3000</v>
      </c>
      <c r="H11">
        <f>100*Tabla2[[#This Row],[Hectareas]]</f>
        <v>7500</v>
      </c>
      <c r="I11">
        <f>300*Tabla2[[#This Row],[Hectareas]]</f>
        <v>22500</v>
      </c>
      <c r="J11" s="9">
        <f>K34*Tabla2[[#This Row],[Hectareas]]</f>
        <v>90000000.000000134</v>
      </c>
    </row>
    <row r="12" spans="1:10" x14ac:dyDescent="0.2">
      <c r="A12" t="s">
        <v>23</v>
      </c>
      <c r="B12">
        <v>12</v>
      </c>
      <c r="C12">
        <f t="shared" si="0"/>
        <v>120000</v>
      </c>
      <c r="D12">
        <f>80*Tabla2[[#This Row],[Hectareas]]</f>
        <v>960</v>
      </c>
      <c r="E12">
        <f>250*Tabla2[[#This Row],[Hectareas]]</f>
        <v>3000</v>
      </c>
      <c r="F12">
        <f>90*Tabla2[[#This Row],[Hectareas]]</f>
        <v>1080</v>
      </c>
      <c r="G12">
        <f>40*Tabla2[[#This Row],[Hectareas]]</f>
        <v>480</v>
      </c>
      <c r="H12">
        <f>100*Tabla2[[#This Row],[Hectareas]]</f>
        <v>1200</v>
      </c>
      <c r="I12">
        <f>300*Tabla2[[#This Row],[Hectareas]]</f>
        <v>3600</v>
      </c>
      <c r="J12" s="9">
        <f>K35*Tabla2[[#This Row],[Hectareas]]</f>
        <v>14400000.000000022</v>
      </c>
    </row>
    <row r="13" spans="1:10" x14ac:dyDescent="0.2">
      <c r="A13" t="s">
        <v>24</v>
      </c>
      <c r="B13">
        <v>25</v>
      </c>
      <c r="C13">
        <f t="shared" si="0"/>
        <v>250000</v>
      </c>
      <c r="D13">
        <f>80*Tabla2[[#This Row],[Hectareas]]</f>
        <v>2000</v>
      </c>
      <c r="E13">
        <f>250*Tabla2[[#This Row],[Hectareas]]</f>
        <v>6250</v>
      </c>
      <c r="F13">
        <f>90*Tabla2[[#This Row],[Hectareas]]</f>
        <v>2250</v>
      </c>
      <c r="G13">
        <f>40*Tabla2[[#This Row],[Hectareas]]</f>
        <v>1000</v>
      </c>
      <c r="H13">
        <f>100*Tabla2[[#This Row],[Hectareas]]</f>
        <v>2500</v>
      </c>
      <c r="I13">
        <f>300*Tabla2[[#This Row],[Hectareas]]</f>
        <v>7500</v>
      </c>
      <c r="J13" s="9">
        <f>K36*Tabla2[[#This Row],[Hectareas]]</f>
        <v>30000000.000000045</v>
      </c>
    </row>
    <row r="14" spans="1:10" x14ac:dyDescent="0.2">
      <c r="A14" t="s">
        <v>25</v>
      </c>
      <c r="B14">
        <v>40</v>
      </c>
      <c r="C14">
        <f t="shared" si="0"/>
        <v>400000</v>
      </c>
      <c r="D14">
        <f>80*Tabla2[[#This Row],[Hectareas]]</f>
        <v>3200</v>
      </c>
      <c r="E14">
        <f>250*Tabla2[[#This Row],[Hectareas]]</f>
        <v>10000</v>
      </c>
      <c r="F14">
        <f>90*Tabla2[[#This Row],[Hectareas]]</f>
        <v>3600</v>
      </c>
      <c r="G14">
        <f>40*Tabla2[[#This Row],[Hectareas]]</f>
        <v>1600</v>
      </c>
      <c r="H14">
        <f>100*Tabla2[[#This Row],[Hectareas]]</f>
        <v>4000</v>
      </c>
      <c r="I14">
        <f>300*Tabla2[[#This Row],[Hectareas]]</f>
        <v>12000</v>
      </c>
      <c r="J14" s="9">
        <f>K37*Tabla2[[#This Row],[Hectareas]]</f>
        <v>48000000.000000075</v>
      </c>
    </row>
    <row r="15" spans="1:10" x14ac:dyDescent="0.2">
      <c r="A15" t="s">
        <v>26</v>
      </c>
      <c r="B15">
        <v>90</v>
      </c>
      <c r="C15">
        <f t="shared" si="0"/>
        <v>900000</v>
      </c>
      <c r="D15">
        <f>80*Tabla2[[#This Row],[Hectareas]]</f>
        <v>7200</v>
      </c>
      <c r="E15">
        <f>250*Tabla2[[#This Row],[Hectareas]]</f>
        <v>22500</v>
      </c>
      <c r="F15">
        <f>90*Tabla2[[#This Row],[Hectareas]]</f>
        <v>8100</v>
      </c>
      <c r="G15">
        <f>40*Tabla2[[#This Row],[Hectareas]]</f>
        <v>3600</v>
      </c>
      <c r="H15">
        <f>100*Tabla2[[#This Row],[Hectareas]]</f>
        <v>9000</v>
      </c>
      <c r="I15">
        <f>300*Tabla2[[#This Row],[Hectareas]]</f>
        <v>27000</v>
      </c>
      <c r="J15" s="9">
        <f>K38*Tabla2[[#This Row],[Hectareas]]</f>
        <v>108000000.00000016</v>
      </c>
    </row>
    <row r="16" spans="1:10" x14ac:dyDescent="0.2">
      <c r="A16" t="s">
        <v>27</v>
      </c>
      <c r="B16">
        <v>155</v>
      </c>
      <c r="C16">
        <f t="shared" si="0"/>
        <v>1550000</v>
      </c>
      <c r="D16">
        <f>80*Tabla2[[#This Row],[Hectareas]]</f>
        <v>12400</v>
      </c>
      <c r="E16">
        <f>250*Tabla2[[#This Row],[Hectareas]]</f>
        <v>38750</v>
      </c>
      <c r="F16">
        <f>90*Tabla2[[#This Row],[Hectareas]]</f>
        <v>13950</v>
      </c>
      <c r="G16">
        <f>40*Tabla2[[#This Row],[Hectareas]]</f>
        <v>6200</v>
      </c>
      <c r="H16">
        <f>100*Tabla2[[#This Row],[Hectareas]]</f>
        <v>15500</v>
      </c>
      <c r="I16">
        <f>300*Tabla2[[#This Row],[Hectareas]]</f>
        <v>46500</v>
      </c>
      <c r="J16" s="9">
        <f>K39*Tabla2[[#This Row],[Hectareas]]</f>
        <v>186000000.0000003</v>
      </c>
    </row>
    <row r="17" spans="1:12" x14ac:dyDescent="0.2">
      <c r="A17" t="s">
        <v>28</v>
      </c>
      <c r="B17">
        <v>120</v>
      </c>
      <c r="C17">
        <f t="shared" si="0"/>
        <v>1200000</v>
      </c>
      <c r="D17">
        <f>80*Tabla2[[#This Row],[Hectareas]]</f>
        <v>9600</v>
      </c>
      <c r="E17">
        <f>250*Tabla2[[#This Row],[Hectareas]]</f>
        <v>30000</v>
      </c>
      <c r="F17">
        <f>90*Tabla2[[#This Row],[Hectareas]]</f>
        <v>10800</v>
      </c>
      <c r="G17">
        <f>40*Tabla2[[#This Row],[Hectareas]]</f>
        <v>4800</v>
      </c>
      <c r="H17">
        <f>100*Tabla2[[#This Row],[Hectareas]]</f>
        <v>12000</v>
      </c>
      <c r="I17">
        <f>300*Tabla2[[#This Row],[Hectareas]]</f>
        <v>36000</v>
      </c>
      <c r="J17" s="9">
        <f>K40*Tabla2[[#This Row],[Hectareas]]</f>
        <v>144000000.00000024</v>
      </c>
    </row>
    <row r="19" spans="1:12" x14ac:dyDescent="0.2">
      <c r="K19" t="s">
        <v>123</v>
      </c>
      <c r="L19" t="s">
        <v>124</v>
      </c>
    </row>
    <row r="20" spans="1:12" x14ac:dyDescent="0.2">
      <c r="K20" t="s">
        <v>119</v>
      </c>
      <c r="L20" t="s">
        <v>120</v>
      </c>
    </row>
    <row r="21" spans="1:12" x14ac:dyDescent="0.2">
      <c r="K21" t="s">
        <v>121</v>
      </c>
      <c r="L21" t="s">
        <v>126</v>
      </c>
    </row>
    <row r="22" spans="1:12" x14ac:dyDescent="0.2">
      <c r="K22" t="s">
        <v>122</v>
      </c>
      <c r="L22" t="s">
        <v>125</v>
      </c>
    </row>
    <row r="25" spans="1:12" x14ac:dyDescent="0.2">
      <c r="K25">
        <f>((25*1000/0.5)*800*0.5 *0.81)-15000000</f>
        <v>1200000.0000000019</v>
      </c>
    </row>
    <row r="26" spans="1:12" x14ac:dyDescent="0.2">
      <c r="K26">
        <f t="shared" ref="K26:K40" si="1">((25*1000/0.5)*800*0.5 *0.81)-15000000</f>
        <v>1200000.0000000019</v>
      </c>
    </row>
    <row r="27" spans="1:12" x14ac:dyDescent="0.2">
      <c r="K27">
        <f t="shared" si="1"/>
        <v>1200000.0000000019</v>
      </c>
    </row>
    <row r="28" spans="1:12" x14ac:dyDescent="0.2">
      <c r="K28">
        <f t="shared" si="1"/>
        <v>1200000.0000000019</v>
      </c>
    </row>
    <row r="29" spans="1:12" x14ac:dyDescent="0.2">
      <c r="K29">
        <f t="shared" si="1"/>
        <v>1200000.0000000019</v>
      </c>
    </row>
    <row r="30" spans="1:12" x14ac:dyDescent="0.2">
      <c r="K30">
        <f t="shared" si="1"/>
        <v>1200000.0000000019</v>
      </c>
    </row>
    <row r="31" spans="1:12" x14ac:dyDescent="0.2">
      <c r="K31">
        <f t="shared" si="1"/>
        <v>1200000.0000000019</v>
      </c>
    </row>
    <row r="32" spans="1:12" x14ac:dyDescent="0.2">
      <c r="K32">
        <f t="shared" si="1"/>
        <v>1200000.0000000019</v>
      </c>
    </row>
    <row r="33" spans="11:11" x14ac:dyDescent="0.2">
      <c r="K33">
        <f t="shared" si="1"/>
        <v>1200000.0000000019</v>
      </c>
    </row>
    <row r="34" spans="11:11" x14ac:dyDescent="0.2">
      <c r="K34">
        <f t="shared" si="1"/>
        <v>1200000.0000000019</v>
      </c>
    </row>
    <row r="35" spans="11:11" x14ac:dyDescent="0.2">
      <c r="K35">
        <f t="shared" si="1"/>
        <v>1200000.0000000019</v>
      </c>
    </row>
    <row r="36" spans="11:11" x14ac:dyDescent="0.2">
      <c r="K36">
        <f t="shared" si="1"/>
        <v>1200000.0000000019</v>
      </c>
    </row>
    <row r="37" spans="11:11" x14ac:dyDescent="0.2">
      <c r="K37">
        <f t="shared" si="1"/>
        <v>1200000.0000000019</v>
      </c>
    </row>
    <row r="38" spans="11:11" x14ac:dyDescent="0.2">
      <c r="K38">
        <f t="shared" si="1"/>
        <v>1200000.0000000019</v>
      </c>
    </row>
    <row r="39" spans="11:11" x14ac:dyDescent="0.2">
      <c r="K39">
        <f t="shared" si="1"/>
        <v>1200000.0000000019</v>
      </c>
    </row>
    <row r="40" spans="11:11" x14ac:dyDescent="0.2">
      <c r="K40">
        <f t="shared" si="1"/>
        <v>1200000.0000000019</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7FB3-D4CB-427B-8C55-C2EAE9603679}">
  <dimension ref="A1:D7"/>
  <sheetViews>
    <sheetView workbookViewId="0">
      <selection activeCell="A2" sqref="A2:A7"/>
    </sheetView>
  </sheetViews>
  <sheetFormatPr baseColWidth="10" defaultRowHeight="15" x14ac:dyDescent="0.2"/>
  <cols>
    <col min="1" max="1" width="15" bestFit="1" customWidth="1"/>
    <col min="2" max="2" width="17" customWidth="1"/>
    <col min="3" max="3" width="16.83203125" customWidth="1"/>
    <col min="4" max="4" width="11.6640625" customWidth="1"/>
  </cols>
  <sheetData>
    <row r="1" spans="1:4" x14ac:dyDescent="0.2">
      <c r="A1" t="s">
        <v>34</v>
      </c>
      <c r="B1" t="s">
        <v>39</v>
      </c>
      <c r="C1" t="s">
        <v>40</v>
      </c>
      <c r="D1" t="s">
        <v>41</v>
      </c>
    </row>
    <row r="2" spans="1:4" x14ac:dyDescent="0.2">
      <c r="A2" t="s">
        <v>36</v>
      </c>
      <c r="B2">
        <v>0.85</v>
      </c>
      <c r="C2">
        <v>0.95</v>
      </c>
      <c r="D2">
        <f>AVERAGE(B2,C2)</f>
        <v>0.89999999999999991</v>
      </c>
    </row>
    <row r="3" spans="1:4" x14ac:dyDescent="0.2">
      <c r="A3" t="s">
        <v>38</v>
      </c>
      <c r="B3">
        <v>0.3</v>
      </c>
      <c r="C3">
        <v>0.6</v>
      </c>
      <c r="D3">
        <f t="shared" ref="D3:D7" si="0">AVERAGE(B3,C3)</f>
        <v>0.44999999999999996</v>
      </c>
    </row>
    <row r="4" spans="1:4" x14ac:dyDescent="0.2">
      <c r="A4" t="s">
        <v>37</v>
      </c>
      <c r="B4">
        <v>0.6</v>
      </c>
      <c r="C4">
        <v>0.8</v>
      </c>
      <c r="D4">
        <f t="shared" si="0"/>
        <v>0.7</v>
      </c>
    </row>
    <row r="5" spans="1:4" x14ac:dyDescent="0.2">
      <c r="A5" t="s">
        <v>42</v>
      </c>
      <c r="B5">
        <v>0.7</v>
      </c>
      <c r="C5">
        <v>0.9</v>
      </c>
      <c r="D5">
        <f t="shared" si="0"/>
        <v>0.8</v>
      </c>
    </row>
    <row r="6" spans="1:4" x14ac:dyDescent="0.2">
      <c r="A6" t="s">
        <v>43</v>
      </c>
      <c r="B6">
        <v>0.8</v>
      </c>
      <c r="C6">
        <v>0.9</v>
      </c>
      <c r="D6">
        <f t="shared" si="0"/>
        <v>0.85000000000000009</v>
      </c>
    </row>
    <row r="7" spans="1:4" x14ac:dyDescent="0.2">
      <c r="A7" t="s">
        <v>44</v>
      </c>
      <c r="B7">
        <v>0.25</v>
      </c>
      <c r="C7">
        <v>0.5</v>
      </c>
      <c r="D7">
        <f t="shared" si="0"/>
        <v>0.375</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0D4F9-0CC2-409A-95E6-9DC2866E1353}">
  <dimension ref="A1:C16"/>
  <sheetViews>
    <sheetView workbookViewId="0">
      <selection activeCell="H3" sqref="H3"/>
    </sheetView>
  </sheetViews>
  <sheetFormatPr baseColWidth="10" defaultRowHeight="15" x14ac:dyDescent="0.2"/>
  <cols>
    <col min="2" max="2" width="17.33203125" customWidth="1"/>
    <col min="3" max="3" width="18.33203125" customWidth="1"/>
  </cols>
  <sheetData>
    <row r="1" spans="1:3" x14ac:dyDescent="0.2">
      <c r="A1" t="s">
        <v>59</v>
      </c>
      <c r="B1" t="s">
        <v>60</v>
      </c>
      <c r="C1" t="s">
        <v>61</v>
      </c>
    </row>
    <row r="2" spans="1:3" x14ac:dyDescent="0.2">
      <c r="A2" t="s">
        <v>45</v>
      </c>
      <c r="B2">
        <v>500</v>
      </c>
      <c r="C2">
        <f>B2/1000</f>
        <v>0.5</v>
      </c>
    </row>
    <row r="3" spans="1:3" x14ac:dyDescent="0.2">
      <c r="A3" t="s">
        <v>46</v>
      </c>
      <c r="B3">
        <v>1000</v>
      </c>
      <c r="C3">
        <f t="shared" ref="C3:C16" si="0">B3/1000</f>
        <v>1</v>
      </c>
    </row>
    <row r="4" spans="1:3" x14ac:dyDescent="0.2">
      <c r="A4" t="s">
        <v>47</v>
      </c>
      <c r="B4">
        <v>2000</v>
      </c>
      <c r="C4">
        <f t="shared" si="0"/>
        <v>2</v>
      </c>
    </row>
    <row r="5" spans="1:3" x14ac:dyDescent="0.2">
      <c r="A5" t="s">
        <v>48</v>
      </c>
      <c r="B5">
        <v>630</v>
      </c>
      <c r="C5">
        <f t="shared" si="0"/>
        <v>0.63</v>
      </c>
    </row>
    <row r="6" spans="1:3" x14ac:dyDescent="0.2">
      <c r="A6" t="s">
        <v>49</v>
      </c>
      <c r="B6">
        <v>1000</v>
      </c>
      <c r="C6">
        <f t="shared" si="0"/>
        <v>1</v>
      </c>
    </row>
    <row r="7" spans="1:3" x14ac:dyDescent="0.2">
      <c r="A7" t="s">
        <v>50</v>
      </c>
      <c r="B7">
        <v>1300</v>
      </c>
      <c r="C7">
        <f t="shared" si="0"/>
        <v>1.3</v>
      </c>
    </row>
    <row r="8" spans="1:3" x14ac:dyDescent="0.2">
      <c r="A8" t="s">
        <v>51</v>
      </c>
      <c r="B8">
        <v>2000</v>
      </c>
      <c r="C8">
        <f t="shared" si="0"/>
        <v>2</v>
      </c>
    </row>
    <row r="9" spans="1:3" x14ac:dyDescent="0.2">
      <c r="A9" t="s">
        <v>52</v>
      </c>
      <c r="B9">
        <v>2400</v>
      </c>
      <c r="C9">
        <f t="shared" si="0"/>
        <v>2.4</v>
      </c>
    </row>
    <row r="10" spans="1:3" x14ac:dyDescent="0.2">
      <c r="A10" t="s">
        <v>53</v>
      </c>
      <c r="B10">
        <v>3400</v>
      </c>
      <c r="C10">
        <f t="shared" si="0"/>
        <v>3.4</v>
      </c>
    </row>
    <row r="11" spans="1:3" x14ac:dyDescent="0.2">
      <c r="A11" t="s">
        <v>54</v>
      </c>
      <c r="B11">
        <v>5400</v>
      </c>
      <c r="C11">
        <f t="shared" si="0"/>
        <v>5.4</v>
      </c>
    </row>
    <row r="12" spans="1:3" x14ac:dyDescent="0.2">
      <c r="A12" t="s">
        <v>55</v>
      </c>
      <c r="B12">
        <v>10000</v>
      </c>
      <c r="C12">
        <f t="shared" si="0"/>
        <v>10</v>
      </c>
    </row>
    <row r="13" spans="1:3" x14ac:dyDescent="0.2">
      <c r="A13" t="s">
        <v>56</v>
      </c>
      <c r="B13">
        <v>15000</v>
      </c>
      <c r="C13">
        <f t="shared" si="0"/>
        <v>15</v>
      </c>
    </row>
    <row r="14" spans="1:3" x14ac:dyDescent="0.2">
      <c r="A14" t="s">
        <v>57</v>
      </c>
      <c r="B14">
        <v>20000</v>
      </c>
      <c r="C14">
        <f t="shared" si="0"/>
        <v>20</v>
      </c>
    </row>
    <row r="15" spans="1:3" x14ac:dyDescent="0.2">
      <c r="A15" t="s">
        <v>58</v>
      </c>
      <c r="B15">
        <v>30000</v>
      </c>
      <c r="C15">
        <f t="shared" si="0"/>
        <v>30</v>
      </c>
    </row>
    <row r="16" spans="1:3" x14ac:dyDescent="0.2">
      <c r="A16" t="s">
        <v>62</v>
      </c>
      <c r="B16">
        <v>40000</v>
      </c>
      <c r="C16">
        <f t="shared" si="0"/>
        <v>40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988B-2D25-4698-8CAE-1B92ADD7892C}">
  <dimension ref="A1:D5"/>
  <sheetViews>
    <sheetView tabSelected="1" workbookViewId="0">
      <selection sqref="A1:D5"/>
    </sheetView>
  </sheetViews>
  <sheetFormatPr baseColWidth="10" defaultRowHeight="15" x14ac:dyDescent="0.2"/>
  <cols>
    <col min="1" max="1" width="18.6640625" bestFit="1" customWidth="1"/>
    <col min="2" max="2" width="18.83203125" customWidth="1"/>
    <col min="3" max="3" width="19.5" customWidth="1"/>
    <col min="4" max="4" width="26.1640625" bestFit="1" customWidth="1"/>
  </cols>
  <sheetData>
    <row r="1" spans="1:4" x14ac:dyDescent="0.2">
      <c r="A1" t="s">
        <v>63</v>
      </c>
      <c r="B1" t="s">
        <v>64</v>
      </c>
      <c r="C1" t="s">
        <v>65</v>
      </c>
      <c r="D1" t="s">
        <v>70</v>
      </c>
    </row>
    <row r="2" spans="1:4" x14ac:dyDescent="0.2">
      <c r="A2" t="s">
        <v>66</v>
      </c>
      <c r="B2">
        <v>10</v>
      </c>
      <c r="C2">
        <v>60</v>
      </c>
      <c r="D2" t="s">
        <v>72</v>
      </c>
    </row>
    <row r="3" spans="1:4" x14ac:dyDescent="0.2">
      <c r="A3" t="s">
        <v>67</v>
      </c>
      <c r="B3">
        <v>10</v>
      </c>
      <c r="C3">
        <v>250</v>
      </c>
      <c r="D3" t="s">
        <v>71</v>
      </c>
    </row>
    <row r="4" spans="1:4" x14ac:dyDescent="0.2">
      <c r="A4" t="s">
        <v>68</v>
      </c>
      <c r="B4">
        <v>20</v>
      </c>
      <c r="C4">
        <v>50</v>
      </c>
      <c r="D4" t="s">
        <v>71</v>
      </c>
    </row>
    <row r="5" spans="1:4" x14ac:dyDescent="0.2">
      <c r="A5" t="s">
        <v>69</v>
      </c>
      <c r="B5">
        <v>50</v>
      </c>
      <c r="C5">
        <v>300</v>
      </c>
      <c r="D5" t="s">
        <v>73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F919-3734-4A3F-A8AD-F7D10C518D1B}">
  <dimension ref="A1:D14"/>
  <sheetViews>
    <sheetView workbookViewId="0">
      <selection activeCell="D10" sqref="D10"/>
    </sheetView>
  </sheetViews>
  <sheetFormatPr baseColWidth="10" defaultRowHeight="15" x14ac:dyDescent="0.2"/>
  <cols>
    <col min="1" max="1" width="18.6640625" bestFit="1" customWidth="1"/>
    <col min="2" max="2" width="24.5" customWidth="1"/>
    <col min="4" max="4" width="11.6640625" customWidth="1"/>
  </cols>
  <sheetData>
    <row r="1" spans="1:4" x14ac:dyDescent="0.2">
      <c r="A1" t="s">
        <v>35</v>
      </c>
      <c r="B1" t="s">
        <v>76</v>
      </c>
      <c r="C1" t="s">
        <v>77</v>
      </c>
      <c r="D1" t="s">
        <v>41</v>
      </c>
    </row>
    <row r="2" spans="1:4" x14ac:dyDescent="0.2">
      <c r="A2" t="s">
        <v>74</v>
      </c>
      <c r="B2">
        <v>0.7</v>
      </c>
      <c r="C2">
        <v>0.9</v>
      </c>
      <c r="D2">
        <f>AVERAGE(B2,C2)</f>
        <v>0.8</v>
      </c>
    </row>
    <row r="3" spans="1:4" x14ac:dyDescent="0.2">
      <c r="A3" t="s">
        <v>67</v>
      </c>
      <c r="B3">
        <v>0.45</v>
      </c>
      <c r="C3">
        <v>0.7</v>
      </c>
      <c r="D3">
        <f t="shared" ref="D3:D6" si="0">AVERAGE(B3,C3)</f>
        <v>0.57499999999999996</v>
      </c>
    </row>
    <row r="4" spans="1:4" x14ac:dyDescent="0.2">
      <c r="A4" t="s">
        <v>68</v>
      </c>
      <c r="B4">
        <v>0.4</v>
      </c>
      <c r="C4">
        <v>0.65</v>
      </c>
      <c r="D4">
        <f t="shared" si="0"/>
        <v>0.52500000000000002</v>
      </c>
    </row>
    <row r="5" spans="1:4" x14ac:dyDescent="0.2">
      <c r="A5" t="s">
        <v>69</v>
      </c>
      <c r="B5">
        <v>0.75</v>
      </c>
      <c r="C5">
        <v>0.9</v>
      </c>
      <c r="D5">
        <f t="shared" si="0"/>
        <v>0.82499999999999996</v>
      </c>
    </row>
    <row r="6" spans="1:4" x14ac:dyDescent="0.2">
      <c r="A6" t="s">
        <v>75</v>
      </c>
      <c r="B6">
        <v>0.5</v>
      </c>
      <c r="C6">
        <v>0.75</v>
      </c>
      <c r="D6">
        <f t="shared" si="0"/>
        <v>0.625</v>
      </c>
    </row>
    <row r="9" spans="1:4" x14ac:dyDescent="0.2">
      <c r="A9" t="s">
        <v>110</v>
      </c>
      <c r="B9" t="s">
        <v>111</v>
      </c>
    </row>
    <row r="10" spans="1:4" x14ac:dyDescent="0.2">
      <c r="A10" s="5" t="s">
        <v>74</v>
      </c>
      <c r="B10">
        <v>2000</v>
      </c>
    </row>
    <row r="11" spans="1:4" x14ac:dyDescent="0.2">
      <c r="A11" s="6" t="s">
        <v>67</v>
      </c>
      <c r="B11">
        <v>500</v>
      </c>
    </row>
    <row r="12" spans="1:4" x14ac:dyDescent="0.2">
      <c r="A12" s="5" t="s">
        <v>68</v>
      </c>
      <c r="B12">
        <v>20</v>
      </c>
    </row>
    <row r="13" spans="1:4" x14ac:dyDescent="0.2">
      <c r="A13" s="6" t="s">
        <v>69</v>
      </c>
      <c r="B13">
        <v>200</v>
      </c>
    </row>
    <row r="14" spans="1:4" ht="16" thickBot="1" x14ac:dyDescent="0.25">
      <c r="A14" s="8" t="s">
        <v>75</v>
      </c>
      <c r="B14">
        <v>40</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CDCD-37EB-4854-816F-5B1964B03B62}">
  <dimension ref="A1:F7"/>
  <sheetViews>
    <sheetView workbookViewId="0">
      <selection activeCell="A7" sqref="A7"/>
    </sheetView>
  </sheetViews>
  <sheetFormatPr baseColWidth="10" defaultRowHeight="15" x14ac:dyDescent="0.2"/>
  <cols>
    <col min="1" max="1" width="23.33203125" bestFit="1" customWidth="1"/>
    <col min="2" max="2" width="15.83203125" customWidth="1"/>
    <col min="3" max="3" width="28" customWidth="1"/>
    <col min="4" max="4" width="16.33203125" bestFit="1" customWidth="1"/>
  </cols>
  <sheetData>
    <row r="1" spans="1:6" x14ac:dyDescent="0.2">
      <c r="A1" t="s">
        <v>78</v>
      </c>
      <c r="B1" t="s">
        <v>79</v>
      </c>
      <c r="C1" t="s">
        <v>80</v>
      </c>
    </row>
    <row r="2" spans="1:6" x14ac:dyDescent="0.2">
      <c r="A2" t="s">
        <v>82</v>
      </c>
      <c r="B2">
        <v>203</v>
      </c>
      <c r="C2" s="9">
        <f t="shared" ref="C2:C7" si="0">B2*39186.92</f>
        <v>7954944.7599999998</v>
      </c>
    </row>
    <row r="3" spans="1:6" x14ac:dyDescent="0.2">
      <c r="A3" t="s">
        <v>81</v>
      </c>
      <c r="B3">
        <v>21747</v>
      </c>
      <c r="C3" s="9">
        <f t="shared" si="0"/>
        <v>852197949.24000001</v>
      </c>
    </row>
    <row r="4" spans="1:6" x14ac:dyDescent="0.2">
      <c r="A4" t="s">
        <v>83</v>
      </c>
      <c r="B4">
        <v>250.08</v>
      </c>
      <c r="C4" s="9">
        <f t="shared" si="0"/>
        <v>9799864.9536000006</v>
      </c>
      <c r="E4">
        <f>(4800000+5000000)/39186.92</f>
        <v>250.08344621113372</v>
      </c>
    </row>
    <row r="5" spans="1:6" x14ac:dyDescent="0.2">
      <c r="A5" t="s">
        <v>71</v>
      </c>
      <c r="B5">
        <f>E5+F5</f>
        <v>5255.1871900113611</v>
      </c>
      <c r="C5" s="9">
        <f t="shared" si="0"/>
        <v>205934600</v>
      </c>
      <c r="E5">
        <f>(40*250000)/39186.92</f>
        <v>255.18719001136094</v>
      </c>
      <c r="F5">
        <v>5000</v>
      </c>
    </row>
    <row r="6" spans="1:6" x14ac:dyDescent="0.2">
      <c r="A6" t="s">
        <v>84</v>
      </c>
      <c r="B6">
        <v>2</v>
      </c>
      <c r="C6" s="9">
        <f t="shared" si="0"/>
        <v>78373.84</v>
      </c>
    </row>
    <row r="7" spans="1:6" x14ac:dyDescent="0.2">
      <c r="A7" t="s">
        <v>85</v>
      </c>
      <c r="B7">
        <v>20</v>
      </c>
      <c r="C7" s="9">
        <f t="shared" si="0"/>
        <v>783738.39999999991</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05E3-7DBF-436E-A09A-6E770A06442E}">
  <dimension ref="A1:I6"/>
  <sheetViews>
    <sheetView workbookViewId="0">
      <selection activeCell="B6" sqref="B6"/>
    </sheetView>
  </sheetViews>
  <sheetFormatPr baseColWidth="10" defaultRowHeight="15" x14ac:dyDescent="0.2"/>
  <cols>
    <col min="1" max="1" width="12.6640625" bestFit="1" customWidth="1"/>
    <col min="2" max="2" width="14.33203125" bestFit="1" customWidth="1"/>
    <col min="3" max="3" width="16.1640625" customWidth="1"/>
    <col min="4" max="4" width="26.6640625" bestFit="1" customWidth="1"/>
    <col min="5" max="5" width="30" bestFit="1" customWidth="1"/>
    <col min="6" max="6" width="13.83203125" customWidth="1"/>
    <col min="8" max="8" width="18.83203125" customWidth="1"/>
    <col min="9" max="9" width="17.5" customWidth="1"/>
  </cols>
  <sheetData>
    <row r="1" spans="1:9" x14ac:dyDescent="0.2">
      <c r="A1" t="s">
        <v>93</v>
      </c>
      <c r="B1" t="s">
        <v>94</v>
      </c>
      <c r="C1" t="s">
        <v>95</v>
      </c>
      <c r="D1" t="s">
        <v>89</v>
      </c>
      <c r="E1" t="s">
        <v>96</v>
      </c>
      <c r="F1" t="s">
        <v>97</v>
      </c>
      <c r="G1" t="s">
        <v>100</v>
      </c>
      <c r="H1" t="s">
        <v>98</v>
      </c>
      <c r="I1" t="s">
        <v>99</v>
      </c>
    </row>
    <row r="2" spans="1:9" x14ac:dyDescent="0.2">
      <c r="A2" t="s">
        <v>86</v>
      </c>
      <c r="B2" t="s">
        <v>87</v>
      </c>
      <c r="C2" t="s">
        <v>88</v>
      </c>
      <c r="D2" t="s">
        <v>89</v>
      </c>
      <c r="E2" t="s">
        <v>90</v>
      </c>
      <c r="F2" s="10">
        <v>26785</v>
      </c>
      <c r="G2" s="10">
        <v>132171</v>
      </c>
      <c r="H2" t="s">
        <v>91</v>
      </c>
      <c r="I2" t="s">
        <v>92</v>
      </c>
    </row>
    <row r="4" spans="1:9" x14ac:dyDescent="0.2">
      <c r="B4" t="s">
        <v>102</v>
      </c>
      <c r="C4" t="s">
        <v>103</v>
      </c>
      <c r="D4" t="s">
        <v>101</v>
      </c>
      <c r="E4" t="s">
        <v>104</v>
      </c>
      <c r="F4" t="s">
        <v>105</v>
      </c>
    </row>
    <row r="6" spans="1:9" x14ac:dyDescent="0.2">
      <c r="A6" t="s">
        <v>108</v>
      </c>
      <c r="B6" t="s">
        <v>109</v>
      </c>
    </row>
  </sheetData>
  <phoneticPr fontId="5" type="noConversion"/>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D4A6C-854C-4C73-B5D8-67D32113C47A}">
  <dimension ref="A1:B13"/>
  <sheetViews>
    <sheetView workbookViewId="0">
      <selection activeCell="K26" sqref="K26"/>
    </sheetView>
  </sheetViews>
  <sheetFormatPr baseColWidth="10" defaultRowHeight="15" x14ac:dyDescent="0.2"/>
  <cols>
    <col min="2" max="2" width="24.1640625" customWidth="1"/>
  </cols>
  <sheetData>
    <row r="1" spans="1:2" x14ac:dyDescent="0.2">
      <c r="A1" t="s">
        <v>106</v>
      </c>
      <c r="B1" s="13" t="s">
        <v>107</v>
      </c>
    </row>
    <row r="2" spans="1:2" x14ac:dyDescent="0.2">
      <c r="A2" s="11" t="s">
        <v>1</v>
      </c>
      <c r="B2" s="13">
        <v>70000</v>
      </c>
    </row>
    <row r="3" spans="1:2" x14ac:dyDescent="0.2">
      <c r="A3" t="s">
        <v>2</v>
      </c>
      <c r="B3" s="13">
        <v>100000</v>
      </c>
    </row>
    <row r="4" spans="1:2" x14ac:dyDescent="0.2">
      <c r="A4" t="s">
        <v>3</v>
      </c>
      <c r="B4" s="13">
        <v>75000</v>
      </c>
    </row>
    <row r="5" spans="1:2" x14ac:dyDescent="0.2">
      <c r="A5" t="s">
        <v>4</v>
      </c>
      <c r="B5" s="13">
        <v>50000</v>
      </c>
    </row>
    <row r="6" spans="1:2" x14ac:dyDescent="0.2">
      <c r="A6" t="s">
        <v>5</v>
      </c>
      <c r="B6" s="13">
        <v>45000</v>
      </c>
    </row>
    <row r="7" spans="1:2" x14ac:dyDescent="0.2">
      <c r="A7" t="s">
        <v>6</v>
      </c>
      <c r="B7" s="13">
        <v>15000</v>
      </c>
    </row>
    <row r="8" spans="1:2" x14ac:dyDescent="0.2">
      <c r="A8" t="s">
        <v>7</v>
      </c>
      <c r="B8" s="13">
        <v>10000</v>
      </c>
    </row>
    <row r="9" spans="1:2" x14ac:dyDescent="0.2">
      <c r="A9" t="s">
        <v>8</v>
      </c>
      <c r="B9" s="13">
        <v>8000</v>
      </c>
    </row>
    <row r="10" spans="1:2" x14ac:dyDescent="0.2">
      <c r="A10" t="s">
        <v>9</v>
      </c>
      <c r="B10" s="13">
        <v>12000</v>
      </c>
    </row>
    <row r="11" spans="1:2" x14ac:dyDescent="0.2">
      <c r="A11" t="s">
        <v>10</v>
      </c>
      <c r="B11" s="13">
        <v>20000</v>
      </c>
    </row>
    <row r="12" spans="1:2" x14ac:dyDescent="0.2">
      <c r="A12" t="s">
        <v>11</v>
      </c>
      <c r="B12" s="13">
        <v>30000</v>
      </c>
    </row>
    <row r="13" spans="1:2" x14ac:dyDescent="0.2">
      <c r="A13" t="s">
        <v>12</v>
      </c>
      <c r="B13" s="13">
        <v>50000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B06C-8070-4B2D-B9D4-E2B4C2CFF389}">
  <dimension ref="A1:B34"/>
  <sheetViews>
    <sheetView workbookViewId="0">
      <selection activeCell="I27" sqref="I27"/>
    </sheetView>
  </sheetViews>
  <sheetFormatPr baseColWidth="10" defaultRowHeight="15" x14ac:dyDescent="0.2"/>
  <cols>
    <col min="1" max="1" width="22.1640625" customWidth="1"/>
  </cols>
  <sheetData>
    <row r="1" spans="1:2" x14ac:dyDescent="0.2">
      <c r="A1" t="s">
        <v>127</v>
      </c>
      <c r="B1" t="s">
        <v>128</v>
      </c>
    </row>
    <row r="2" spans="1:2" x14ac:dyDescent="0.2">
      <c r="A2" t="s">
        <v>129</v>
      </c>
    </row>
    <row r="3" spans="1:2" x14ac:dyDescent="0.2">
      <c r="A3">
        <v>1</v>
      </c>
    </row>
    <row r="4" spans="1:2" x14ac:dyDescent="0.2">
      <c r="A4">
        <v>2</v>
      </c>
    </row>
    <row r="5" spans="1:2" x14ac:dyDescent="0.2">
      <c r="A5">
        <v>3</v>
      </c>
    </row>
    <row r="6" spans="1:2" x14ac:dyDescent="0.2">
      <c r="A6">
        <v>4</v>
      </c>
    </row>
    <row r="7" spans="1:2" x14ac:dyDescent="0.2">
      <c r="A7">
        <v>5</v>
      </c>
    </row>
    <row r="8" spans="1:2" x14ac:dyDescent="0.2">
      <c r="A8">
        <v>6</v>
      </c>
    </row>
    <row r="9" spans="1:2" x14ac:dyDescent="0.2">
      <c r="A9">
        <v>7</v>
      </c>
    </row>
    <row r="10" spans="1:2" x14ac:dyDescent="0.2">
      <c r="A10">
        <v>8</v>
      </c>
    </row>
    <row r="11" spans="1:2" x14ac:dyDescent="0.2">
      <c r="A11">
        <v>9</v>
      </c>
    </row>
    <row r="12" spans="1:2" x14ac:dyDescent="0.2">
      <c r="A12">
        <v>10</v>
      </c>
    </row>
    <row r="13" spans="1:2" x14ac:dyDescent="0.2">
      <c r="A13">
        <v>11</v>
      </c>
    </row>
    <row r="14" spans="1:2" x14ac:dyDescent="0.2">
      <c r="A14">
        <v>12</v>
      </c>
    </row>
    <row r="15" spans="1:2" x14ac:dyDescent="0.2">
      <c r="A15">
        <v>13</v>
      </c>
    </row>
    <row r="16" spans="1:2" x14ac:dyDescent="0.2">
      <c r="A16">
        <v>14</v>
      </c>
    </row>
    <row r="17" spans="1:1" x14ac:dyDescent="0.2">
      <c r="A17">
        <v>15</v>
      </c>
    </row>
    <row r="18" spans="1:1" x14ac:dyDescent="0.2">
      <c r="A18">
        <v>16</v>
      </c>
    </row>
    <row r="19" spans="1:1" x14ac:dyDescent="0.2">
      <c r="A19">
        <v>17</v>
      </c>
    </row>
    <row r="20" spans="1:1" x14ac:dyDescent="0.2">
      <c r="A20">
        <v>18</v>
      </c>
    </row>
    <row r="21" spans="1:1" x14ac:dyDescent="0.2">
      <c r="A21">
        <v>19</v>
      </c>
    </row>
    <row r="22" spans="1:1" x14ac:dyDescent="0.2">
      <c r="A22">
        <v>20</v>
      </c>
    </row>
    <row r="23" spans="1:1" x14ac:dyDescent="0.2">
      <c r="A23">
        <v>21</v>
      </c>
    </row>
    <row r="24" spans="1:1" x14ac:dyDescent="0.2">
      <c r="A24">
        <v>22</v>
      </c>
    </row>
    <row r="25" spans="1:1" x14ac:dyDescent="0.2">
      <c r="A25">
        <v>23</v>
      </c>
    </row>
    <row r="26" spans="1:1" x14ac:dyDescent="0.2">
      <c r="A26">
        <v>24</v>
      </c>
    </row>
    <row r="27" spans="1:1" x14ac:dyDescent="0.2">
      <c r="A27">
        <v>25</v>
      </c>
    </row>
    <row r="28" spans="1:1" x14ac:dyDescent="0.2">
      <c r="A28">
        <v>26</v>
      </c>
    </row>
    <row r="29" spans="1:1" x14ac:dyDescent="0.2">
      <c r="A29">
        <v>27</v>
      </c>
    </row>
    <row r="30" spans="1:1" x14ac:dyDescent="0.2">
      <c r="A30">
        <v>28</v>
      </c>
    </row>
    <row r="31" spans="1:1" x14ac:dyDescent="0.2">
      <c r="A31">
        <v>29</v>
      </c>
    </row>
    <row r="32" spans="1:1" x14ac:dyDescent="0.2">
      <c r="A32">
        <v>30</v>
      </c>
    </row>
    <row r="33" spans="1:1" x14ac:dyDescent="0.2">
      <c r="A33">
        <v>31</v>
      </c>
    </row>
    <row r="34" spans="1:1" x14ac:dyDescent="0.2">
      <c r="A34">
        <v>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F71B-499B-4CA8-8C79-532F64D29CA5}">
  <dimension ref="A1:E21"/>
  <sheetViews>
    <sheetView workbookViewId="0">
      <selection activeCell="D34" sqref="D34"/>
    </sheetView>
  </sheetViews>
  <sheetFormatPr baseColWidth="10" defaultRowHeight="15" x14ac:dyDescent="0.2"/>
  <cols>
    <col min="1" max="1" width="18.6640625" customWidth="1"/>
    <col min="2" max="2" width="23.33203125" customWidth="1"/>
    <col min="3" max="3" width="23.5" customWidth="1"/>
    <col min="4" max="4" width="22.6640625" bestFit="1" customWidth="1"/>
    <col min="5" max="5" width="32.83203125" bestFit="1" customWidth="1"/>
  </cols>
  <sheetData>
    <row r="1" spans="1:5" x14ac:dyDescent="0.2">
      <c r="A1" t="s">
        <v>136</v>
      </c>
      <c r="B1" t="s">
        <v>134</v>
      </c>
      <c r="C1" t="s">
        <v>135</v>
      </c>
    </row>
    <row r="2" spans="1:5" x14ac:dyDescent="0.2">
      <c r="A2" t="s">
        <v>132</v>
      </c>
      <c r="B2">
        <v>3</v>
      </c>
      <c r="C2" s="9">
        <v>1050000</v>
      </c>
    </row>
    <row r="3" spans="1:5" x14ac:dyDescent="0.2">
      <c r="A3" t="s">
        <v>133</v>
      </c>
      <c r="B3">
        <v>4</v>
      </c>
      <c r="C3" s="9">
        <v>1900000</v>
      </c>
    </row>
    <row r="4" spans="1:5" ht="16" thickBot="1" x14ac:dyDescent="0.25">
      <c r="C4" s="9">
        <f>C3-C2</f>
        <v>850000</v>
      </c>
    </row>
    <row r="5" spans="1:5" ht="16" thickBot="1" x14ac:dyDescent="0.25">
      <c r="A5" s="15" t="s">
        <v>13</v>
      </c>
      <c r="B5" s="4" t="s">
        <v>31</v>
      </c>
      <c r="C5" t="s">
        <v>142</v>
      </c>
      <c r="D5" t="s">
        <v>143</v>
      </c>
      <c r="E5" t="s">
        <v>144</v>
      </c>
    </row>
    <row r="6" spans="1:5" x14ac:dyDescent="0.2">
      <c r="A6" s="16" t="s">
        <v>14</v>
      </c>
      <c r="B6" s="5">
        <v>1</v>
      </c>
      <c r="C6" s="12">
        <f>Tabla12[[#This Row],[Hectareas]]*1050000</f>
        <v>1050000</v>
      </c>
      <c r="D6" s="9">
        <f>Tabla12[[#This Row],[Hectareas]]*1900000</f>
        <v>1900000</v>
      </c>
      <c r="E6" s="9">
        <f>850000*Tabla12[[#This Row],[Hectareas]]</f>
        <v>850000</v>
      </c>
    </row>
    <row r="7" spans="1:5" x14ac:dyDescent="0.2">
      <c r="A7" s="17" t="s">
        <v>15</v>
      </c>
      <c r="B7" s="6">
        <v>5</v>
      </c>
      <c r="C7" s="12">
        <f>Tabla12[[#This Row],[Hectareas]]*1050000</f>
        <v>5250000</v>
      </c>
      <c r="D7" s="9">
        <f>Tabla12[[#This Row],[Hectareas]]*1900000</f>
        <v>9500000</v>
      </c>
      <c r="E7" s="9">
        <f>850000*Tabla12[[#This Row],[Hectareas]]</f>
        <v>4250000</v>
      </c>
    </row>
    <row r="8" spans="1:5" x14ac:dyDescent="0.2">
      <c r="A8" s="16" t="s">
        <v>16</v>
      </c>
      <c r="B8" s="5">
        <v>10</v>
      </c>
      <c r="C8" s="12">
        <f>Tabla12[[#This Row],[Hectareas]]*1050000</f>
        <v>10500000</v>
      </c>
      <c r="D8" s="9">
        <f>Tabla12[[#This Row],[Hectareas]]*1900000</f>
        <v>19000000</v>
      </c>
      <c r="E8" s="9">
        <f>850000*Tabla12[[#This Row],[Hectareas]]</f>
        <v>8500000</v>
      </c>
    </row>
    <row r="9" spans="1:5" x14ac:dyDescent="0.2">
      <c r="A9" s="17" t="s">
        <v>16</v>
      </c>
      <c r="B9" s="6">
        <v>20</v>
      </c>
      <c r="C9" s="12">
        <f>Tabla12[[#This Row],[Hectareas]]*1050000</f>
        <v>21000000</v>
      </c>
      <c r="D9" s="9">
        <f>Tabla12[[#This Row],[Hectareas]]*1900000</f>
        <v>38000000</v>
      </c>
      <c r="E9" s="9">
        <f>850000*Tabla12[[#This Row],[Hectareas]]</f>
        <v>17000000</v>
      </c>
    </row>
    <row r="10" spans="1:5" x14ac:dyDescent="0.2">
      <c r="A10" s="16" t="s">
        <v>17</v>
      </c>
      <c r="B10" s="5">
        <v>35</v>
      </c>
      <c r="C10" s="12">
        <f>Tabla12[[#This Row],[Hectareas]]*1050000</f>
        <v>36750000</v>
      </c>
      <c r="D10" s="9">
        <f>Tabla12[[#This Row],[Hectareas]]*1900000</f>
        <v>66500000</v>
      </c>
      <c r="E10" s="9">
        <f>850000*Tabla12[[#This Row],[Hectareas]]</f>
        <v>29750000</v>
      </c>
    </row>
    <row r="11" spans="1:5" x14ac:dyDescent="0.2">
      <c r="A11" s="17" t="s">
        <v>18</v>
      </c>
      <c r="B11" s="6">
        <v>50</v>
      </c>
      <c r="C11" s="12">
        <f>Tabla12[[#This Row],[Hectareas]]*1050000</f>
        <v>52500000</v>
      </c>
      <c r="D11" s="9">
        <f>Tabla12[[#This Row],[Hectareas]]*1900000</f>
        <v>95000000</v>
      </c>
      <c r="E11" s="9">
        <f>850000*Tabla12[[#This Row],[Hectareas]]</f>
        <v>42500000</v>
      </c>
    </row>
    <row r="12" spans="1:5" x14ac:dyDescent="0.2">
      <c r="A12" s="16" t="s">
        <v>19</v>
      </c>
      <c r="B12" s="5">
        <v>100</v>
      </c>
      <c r="C12" s="12">
        <f>Tabla12[[#This Row],[Hectareas]]*1050000</f>
        <v>105000000</v>
      </c>
      <c r="D12" s="9">
        <f>Tabla12[[#This Row],[Hectareas]]*1900000</f>
        <v>190000000</v>
      </c>
      <c r="E12" s="9">
        <f>850000*Tabla12[[#This Row],[Hectareas]]</f>
        <v>85000000</v>
      </c>
    </row>
    <row r="13" spans="1:5" x14ac:dyDescent="0.2">
      <c r="A13" s="17" t="s">
        <v>20</v>
      </c>
      <c r="B13" s="6">
        <v>200</v>
      </c>
      <c r="C13" s="12">
        <f>Tabla12[[#This Row],[Hectareas]]*1050000</f>
        <v>210000000</v>
      </c>
      <c r="D13" s="9">
        <f>Tabla12[[#This Row],[Hectareas]]*1900000</f>
        <v>380000000</v>
      </c>
      <c r="E13" s="9">
        <f>850000*Tabla12[[#This Row],[Hectareas]]</f>
        <v>170000000</v>
      </c>
    </row>
    <row r="14" spans="1:5" x14ac:dyDescent="0.2">
      <c r="A14" s="16" t="s">
        <v>21</v>
      </c>
      <c r="B14" s="5">
        <v>150</v>
      </c>
      <c r="C14" s="12">
        <f>Tabla12[[#This Row],[Hectareas]]*1050000</f>
        <v>157500000</v>
      </c>
      <c r="D14" s="9">
        <f>Tabla12[[#This Row],[Hectareas]]*1900000</f>
        <v>285000000</v>
      </c>
      <c r="E14" s="9">
        <f>850000*Tabla12[[#This Row],[Hectareas]]</f>
        <v>127500000</v>
      </c>
    </row>
    <row r="15" spans="1:5" x14ac:dyDescent="0.2">
      <c r="A15" s="17" t="s">
        <v>22</v>
      </c>
      <c r="B15" s="6">
        <v>75</v>
      </c>
      <c r="C15" s="12">
        <f>Tabla12[[#This Row],[Hectareas]]*1050000</f>
        <v>78750000</v>
      </c>
      <c r="D15" s="9">
        <f>Tabla12[[#This Row],[Hectareas]]*1900000</f>
        <v>142500000</v>
      </c>
      <c r="E15" s="9">
        <f>850000*Tabla12[[#This Row],[Hectareas]]</f>
        <v>63750000</v>
      </c>
    </row>
    <row r="16" spans="1:5" x14ac:dyDescent="0.2">
      <c r="A16" s="16" t="s">
        <v>23</v>
      </c>
      <c r="B16" s="5">
        <v>12</v>
      </c>
      <c r="C16" s="12">
        <f>Tabla12[[#This Row],[Hectareas]]*1050000</f>
        <v>12600000</v>
      </c>
      <c r="D16" s="9">
        <f>Tabla12[[#This Row],[Hectareas]]*1900000</f>
        <v>22800000</v>
      </c>
      <c r="E16" s="9">
        <f>850000*Tabla12[[#This Row],[Hectareas]]</f>
        <v>10200000</v>
      </c>
    </row>
    <row r="17" spans="1:5" x14ac:dyDescent="0.2">
      <c r="A17" s="17" t="s">
        <v>24</v>
      </c>
      <c r="B17" s="6">
        <v>25</v>
      </c>
      <c r="C17" s="12">
        <f>Tabla12[[#This Row],[Hectareas]]*1050000</f>
        <v>26250000</v>
      </c>
      <c r="D17" s="9">
        <f>Tabla12[[#This Row],[Hectareas]]*1900000</f>
        <v>47500000</v>
      </c>
      <c r="E17" s="9">
        <f>850000*Tabla12[[#This Row],[Hectareas]]</f>
        <v>21250000</v>
      </c>
    </row>
    <row r="18" spans="1:5" x14ac:dyDescent="0.2">
      <c r="A18" s="16" t="s">
        <v>25</v>
      </c>
      <c r="B18" s="5">
        <v>40</v>
      </c>
      <c r="C18" s="12">
        <f>Tabla12[[#This Row],[Hectareas]]*1050000</f>
        <v>42000000</v>
      </c>
      <c r="D18" s="9">
        <f>Tabla12[[#This Row],[Hectareas]]*1900000</f>
        <v>76000000</v>
      </c>
      <c r="E18" s="9">
        <f>850000*Tabla12[[#This Row],[Hectareas]]</f>
        <v>34000000</v>
      </c>
    </row>
    <row r="19" spans="1:5" x14ac:dyDescent="0.2">
      <c r="A19" s="17" t="s">
        <v>26</v>
      </c>
      <c r="B19" s="6">
        <v>90</v>
      </c>
      <c r="C19" s="12">
        <f>Tabla12[[#This Row],[Hectareas]]*1050000</f>
        <v>94500000</v>
      </c>
      <c r="D19" s="9">
        <f>Tabla12[[#This Row],[Hectareas]]*1900000</f>
        <v>171000000</v>
      </c>
      <c r="E19" s="9">
        <f>850000*Tabla12[[#This Row],[Hectareas]]</f>
        <v>76500000</v>
      </c>
    </row>
    <row r="20" spans="1:5" x14ac:dyDescent="0.2">
      <c r="A20" s="16" t="s">
        <v>27</v>
      </c>
      <c r="B20" s="5">
        <v>155</v>
      </c>
      <c r="C20" s="12">
        <f>Tabla12[[#This Row],[Hectareas]]*1050000</f>
        <v>162750000</v>
      </c>
      <c r="D20" s="9">
        <f>Tabla12[[#This Row],[Hectareas]]*1900000</f>
        <v>294500000</v>
      </c>
      <c r="E20" s="9">
        <f>850000*Tabla12[[#This Row],[Hectareas]]</f>
        <v>131750000</v>
      </c>
    </row>
    <row r="21" spans="1:5" ht="16" thickBot="1" x14ac:dyDescent="0.25">
      <c r="A21" s="18" t="s">
        <v>28</v>
      </c>
      <c r="B21" s="7">
        <v>120</v>
      </c>
      <c r="C21" s="12">
        <f>Tabla12[[#This Row],[Hectareas]]*1050000</f>
        <v>126000000</v>
      </c>
      <c r="D21" s="9">
        <f>Tabla12[[#This Row],[Hectareas]]*1900000</f>
        <v>228000000</v>
      </c>
      <c r="E21" s="9">
        <f>850000*Tabla12[[#This Row],[Hectareas]]</f>
        <v>102000000</v>
      </c>
    </row>
  </sheetData>
  <pageMargins left="0.7" right="0.7" top="0.75" bottom="0.75" header="0.3" footer="0.3"/>
  <drawing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EF546-4AFB-457E-9B4C-722EE549E28D}">
  <dimension ref="A1:D24"/>
  <sheetViews>
    <sheetView workbookViewId="0">
      <selection activeCell="G15" sqref="G15"/>
    </sheetView>
  </sheetViews>
  <sheetFormatPr baseColWidth="10" defaultRowHeight="15" x14ac:dyDescent="0.2"/>
  <cols>
    <col min="1" max="1" width="18.6640625" customWidth="1"/>
    <col min="2" max="2" width="38.6640625" customWidth="1"/>
    <col min="3" max="3" width="15" bestFit="1" customWidth="1"/>
    <col min="4" max="4" width="22.5" bestFit="1" customWidth="1"/>
  </cols>
  <sheetData>
    <row r="1" spans="1:4" x14ac:dyDescent="0.2">
      <c r="A1" t="s">
        <v>137</v>
      </c>
      <c r="B1" t="s">
        <v>141</v>
      </c>
    </row>
    <row r="2" spans="1:4" x14ac:dyDescent="0.2">
      <c r="A2" t="s">
        <v>138</v>
      </c>
      <c r="B2">
        <v>250</v>
      </c>
    </row>
    <row r="3" spans="1:4" x14ac:dyDescent="0.2">
      <c r="A3" t="s">
        <v>139</v>
      </c>
      <c r="B3">
        <v>175</v>
      </c>
    </row>
    <row r="4" spans="1:4" x14ac:dyDescent="0.2">
      <c r="A4" t="s">
        <v>140</v>
      </c>
      <c r="B4">
        <v>115</v>
      </c>
    </row>
    <row r="8" spans="1:4" ht="16" thickBot="1" x14ac:dyDescent="0.25">
      <c r="A8" s="21" t="s">
        <v>13</v>
      </c>
      <c r="B8" s="22" t="s">
        <v>31</v>
      </c>
      <c r="C8" s="25" t="s">
        <v>145</v>
      </c>
      <c r="D8" s="25" t="s">
        <v>146</v>
      </c>
    </row>
    <row r="9" spans="1:4" x14ac:dyDescent="0.2">
      <c r="A9" s="16" t="s">
        <v>14</v>
      </c>
      <c r="B9" s="19">
        <v>1</v>
      </c>
      <c r="C9" t="s">
        <v>138</v>
      </c>
      <c r="D9">
        <f>B2*Tabla13[[#This Row],[Hectareas]]</f>
        <v>250</v>
      </c>
    </row>
    <row r="10" spans="1:4" x14ac:dyDescent="0.2">
      <c r="A10" s="17" t="s">
        <v>15</v>
      </c>
      <c r="B10" s="20">
        <v>5</v>
      </c>
      <c r="C10" t="s">
        <v>139</v>
      </c>
      <c r="D10">
        <f>B3*Tabla13[[#This Row],[Hectareas]]</f>
        <v>875</v>
      </c>
    </row>
    <row r="11" spans="1:4" x14ac:dyDescent="0.2">
      <c r="A11" s="16" t="s">
        <v>16</v>
      </c>
      <c r="B11" s="19">
        <v>10</v>
      </c>
      <c r="C11" t="s">
        <v>140</v>
      </c>
      <c r="D11">
        <f>B4*Tabla13[[#This Row],[Hectareas]]</f>
        <v>1150</v>
      </c>
    </row>
    <row r="12" spans="1:4" x14ac:dyDescent="0.2">
      <c r="A12" s="17" t="s">
        <v>16</v>
      </c>
      <c r="B12" s="20">
        <v>20</v>
      </c>
      <c r="C12" t="s">
        <v>138</v>
      </c>
      <c r="D12">
        <f>B2*Tabla13[[#This Row],[Hectareas]]</f>
        <v>5000</v>
      </c>
    </row>
    <row r="13" spans="1:4" x14ac:dyDescent="0.2">
      <c r="A13" s="16" t="s">
        <v>17</v>
      </c>
      <c r="B13" s="19">
        <v>35</v>
      </c>
      <c r="C13" t="s">
        <v>139</v>
      </c>
      <c r="D13">
        <f>B3*Tabla13[[#This Row],[Hectareas]]</f>
        <v>6125</v>
      </c>
    </row>
    <row r="14" spans="1:4" x14ac:dyDescent="0.2">
      <c r="A14" s="17" t="s">
        <v>18</v>
      </c>
      <c r="B14" s="20">
        <v>50</v>
      </c>
      <c r="C14" t="s">
        <v>140</v>
      </c>
      <c r="D14">
        <f>B4*Tabla13[[#This Row],[Hectareas]]</f>
        <v>5750</v>
      </c>
    </row>
    <row r="15" spans="1:4" x14ac:dyDescent="0.2">
      <c r="A15" s="16" t="s">
        <v>19</v>
      </c>
      <c r="B15" s="19">
        <v>100</v>
      </c>
      <c r="C15" t="s">
        <v>138</v>
      </c>
      <c r="D15">
        <f>B2*Tabla13[[#This Row],[Hectareas]]</f>
        <v>25000</v>
      </c>
    </row>
    <row r="16" spans="1:4" x14ac:dyDescent="0.2">
      <c r="A16" s="17" t="s">
        <v>20</v>
      </c>
      <c r="B16" s="20">
        <v>200</v>
      </c>
      <c r="C16" t="s">
        <v>139</v>
      </c>
      <c r="D16">
        <f>B3*Tabla13[[#This Row],[Hectareas]]</f>
        <v>35000</v>
      </c>
    </row>
    <row r="17" spans="1:4" x14ac:dyDescent="0.2">
      <c r="A17" s="16" t="s">
        <v>21</v>
      </c>
      <c r="B17" s="19">
        <v>150</v>
      </c>
      <c r="C17" t="s">
        <v>140</v>
      </c>
      <c r="D17">
        <f>B4*Tabla13[[#This Row],[Hectareas]]</f>
        <v>17250</v>
      </c>
    </row>
    <row r="18" spans="1:4" x14ac:dyDescent="0.2">
      <c r="A18" s="17" t="s">
        <v>22</v>
      </c>
      <c r="B18" s="20">
        <v>75</v>
      </c>
      <c r="C18" t="s">
        <v>138</v>
      </c>
      <c r="D18">
        <f>B2*Tabla13[[#This Row],[Hectareas]]</f>
        <v>18750</v>
      </c>
    </row>
    <row r="19" spans="1:4" x14ac:dyDescent="0.2">
      <c r="A19" s="16" t="s">
        <v>23</v>
      </c>
      <c r="B19" s="19">
        <v>12</v>
      </c>
      <c r="C19" t="s">
        <v>139</v>
      </c>
      <c r="D19">
        <f>B3*Tabla13[[#This Row],[Hectareas]]</f>
        <v>2100</v>
      </c>
    </row>
    <row r="20" spans="1:4" x14ac:dyDescent="0.2">
      <c r="A20" s="17" t="s">
        <v>24</v>
      </c>
      <c r="B20" s="20">
        <v>25</v>
      </c>
      <c r="C20" t="s">
        <v>140</v>
      </c>
      <c r="D20">
        <f>B3*Tabla13[[#This Row],[Hectareas]]</f>
        <v>4375</v>
      </c>
    </row>
    <row r="21" spans="1:4" x14ac:dyDescent="0.2">
      <c r="A21" s="16" t="s">
        <v>25</v>
      </c>
      <c r="B21" s="19">
        <v>40</v>
      </c>
      <c r="C21" t="s">
        <v>138</v>
      </c>
      <c r="D21">
        <f>B4*Tabla13[[#This Row],[Hectareas]]</f>
        <v>4600</v>
      </c>
    </row>
    <row r="22" spans="1:4" x14ac:dyDescent="0.2">
      <c r="A22" s="17" t="s">
        <v>26</v>
      </c>
      <c r="B22" s="20">
        <v>90</v>
      </c>
      <c r="C22" t="s">
        <v>139</v>
      </c>
      <c r="D22">
        <f>B2*Tabla13[[#This Row],[Hectareas]]</f>
        <v>22500</v>
      </c>
    </row>
    <row r="23" spans="1:4" x14ac:dyDescent="0.2">
      <c r="A23" s="16" t="s">
        <v>27</v>
      </c>
      <c r="B23" s="19">
        <v>155</v>
      </c>
      <c r="C23" t="s">
        <v>140</v>
      </c>
      <c r="D23">
        <f>B3*Tabla13[[#This Row],[Hectareas]]</f>
        <v>27125</v>
      </c>
    </row>
    <row r="24" spans="1:4" x14ac:dyDescent="0.2">
      <c r="A24" s="23" t="s">
        <v>28</v>
      </c>
      <c r="B24" s="24">
        <v>120</v>
      </c>
      <c r="C24" t="s">
        <v>138</v>
      </c>
      <c r="D24">
        <f>B4*Tabla13[[#This Row],[Hectareas]]</f>
        <v>13800</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12</vt:i4>
      </vt:variant>
    </vt:vector>
  </HeadingPairs>
  <TitlesOfParts>
    <vt:vector size="12" baseType="lpstr">
      <vt:lpstr>Promedio lluvia diario</vt:lpstr>
      <vt:lpstr>Areas</vt:lpstr>
      <vt:lpstr>eficiencia metodos</vt:lpstr>
      <vt:lpstr>Capacidad estanque</vt:lpstr>
      <vt:lpstr>Altura manometrica</vt:lpstr>
      <vt:lpstr>Bomba</vt:lpstr>
      <vt:lpstr>Costo unitario agua</vt:lpstr>
      <vt:lpstr>Costo energia</vt:lpstr>
      <vt:lpstr>Penalización</vt:lpstr>
      <vt:lpstr>periodos</vt:lpstr>
      <vt:lpstr>automatico</vt:lpstr>
      <vt:lpstr>Suelos necesidades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Antonio Ortiz Leiva</dc:creator>
  <cp:lastModifiedBy>Maximiliano Tombolini Troncoso</cp:lastModifiedBy>
  <dcterms:created xsi:type="dcterms:W3CDTF">2025-05-30T10:06:34Z</dcterms:created>
  <dcterms:modified xsi:type="dcterms:W3CDTF">2025-05-31T00:39:59Z</dcterms:modified>
</cp:coreProperties>
</file>