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ilianotombolini/Desktop/Royal Moto Service/Royal-Software/archivos/"/>
    </mc:Choice>
  </mc:AlternateContent>
  <xr:revisionPtr revIDLastSave="0" documentId="8_{754B9ECD-4FE2-6140-AD23-42A0A9AAA1CF}" xr6:coauthVersionLast="47" xr6:coauthVersionMax="47" xr10:uidLastSave="{00000000-0000-0000-0000-000000000000}"/>
  <bookViews>
    <workbookView xWindow="3440" yWindow="500" windowWidth="25360" windowHeight="15560"/>
  </bookViews>
  <sheets>
    <sheet name="73154-product-report-2023-09-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" l="1"/>
  <c r="AJ2" i="1"/>
  <c r="AI3" i="1"/>
  <c r="AJ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258" i="1"/>
  <c r="AJ258" i="1"/>
  <c r="AI259" i="1"/>
  <c r="AJ259" i="1"/>
  <c r="AI260" i="1"/>
  <c r="AJ260" i="1"/>
  <c r="AI261" i="1"/>
  <c r="AJ261" i="1"/>
  <c r="AI262" i="1"/>
  <c r="AJ262" i="1"/>
  <c r="AI263" i="1"/>
  <c r="AJ263" i="1"/>
  <c r="AI264" i="1"/>
  <c r="AJ264" i="1"/>
  <c r="AI265" i="1"/>
  <c r="AJ265" i="1"/>
  <c r="AI266" i="1"/>
  <c r="AJ266" i="1"/>
  <c r="AI267" i="1"/>
  <c r="AJ267" i="1"/>
  <c r="AI268" i="1"/>
  <c r="AJ268" i="1"/>
  <c r="AI269" i="1"/>
  <c r="AJ269" i="1"/>
  <c r="AI270" i="1"/>
  <c r="AJ270" i="1"/>
  <c r="AI271" i="1"/>
  <c r="AJ271" i="1"/>
  <c r="AI272" i="1"/>
  <c r="AJ272" i="1"/>
  <c r="AI273" i="1"/>
  <c r="AJ273" i="1"/>
  <c r="AI274" i="1"/>
  <c r="AJ274" i="1"/>
  <c r="AI275" i="1"/>
  <c r="AJ275" i="1"/>
  <c r="AI276" i="1"/>
  <c r="AJ276" i="1"/>
  <c r="AI277" i="1"/>
  <c r="AJ277" i="1"/>
  <c r="AI278" i="1"/>
  <c r="AJ278" i="1"/>
  <c r="AI279" i="1"/>
  <c r="AJ279" i="1"/>
  <c r="AI280" i="1"/>
  <c r="AJ280" i="1"/>
  <c r="AI281" i="1"/>
  <c r="AJ281" i="1"/>
  <c r="AI282" i="1"/>
  <c r="AJ282" i="1"/>
  <c r="AI283" i="1"/>
  <c r="AJ283" i="1"/>
  <c r="AI284" i="1"/>
  <c r="AJ284" i="1"/>
  <c r="AI285" i="1"/>
  <c r="AJ285" i="1"/>
  <c r="AI286" i="1"/>
  <c r="AJ286" i="1"/>
  <c r="AI287" i="1"/>
  <c r="AJ287" i="1"/>
  <c r="AI288" i="1"/>
  <c r="AJ288" i="1"/>
  <c r="AI289" i="1"/>
  <c r="AJ289" i="1"/>
  <c r="AI290" i="1"/>
  <c r="AJ290" i="1"/>
  <c r="AI291" i="1"/>
  <c r="AJ291" i="1"/>
  <c r="AI292" i="1"/>
  <c r="AJ292" i="1"/>
  <c r="AI293" i="1"/>
  <c r="AJ293" i="1"/>
  <c r="AI294" i="1"/>
  <c r="AJ294" i="1"/>
  <c r="AI295" i="1"/>
  <c r="AJ295" i="1"/>
  <c r="AI296" i="1"/>
  <c r="AJ296" i="1"/>
  <c r="AI297" i="1"/>
  <c r="AJ297" i="1"/>
  <c r="AI298" i="1"/>
  <c r="AJ298" i="1"/>
  <c r="AI299" i="1"/>
  <c r="AJ299" i="1"/>
  <c r="AI300" i="1"/>
  <c r="AJ300" i="1"/>
  <c r="AI301" i="1"/>
  <c r="AJ301" i="1"/>
  <c r="AI302" i="1"/>
  <c r="AJ302" i="1"/>
  <c r="AI303" i="1"/>
  <c r="AJ303" i="1"/>
  <c r="AI304" i="1"/>
  <c r="AJ304" i="1"/>
  <c r="AI305" i="1"/>
  <c r="AJ305" i="1"/>
  <c r="AI306" i="1"/>
  <c r="AJ306" i="1"/>
  <c r="AI307" i="1"/>
  <c r="AJ307" i="1"/>
  <c r="AI308" i="1"/>
  <c r="AJ308" i="1"/>
  <c r="AI309" i="1"/>
  <c r="AJ309" i="1"/>
  <c r="AI310" i="1"/>
  <c r="AJ310" i="1"/>
  <c r="AI311" i="1"/>
  <c r="AJ311" i="1"/>
  <c r="AI312" i="1"/>
  <c r="AJ312" i="1"/>
  <c r="AI313" i="1"/>
  <c r="AJ313" i="1"/>
  <c r="AI314" i="1"/>
  <c r="AJ314" i="1"/>
  <c r="AI315" i="1"/>
  <c r="AJ315" i="1"/>
  <c r="AI316" i="1"/>
  <c r="AJ316" i="1"/>
  <c r="AI317" i="1"/>
  <c r="AJ317" i="1"/>
  <c r="AI318" i="1"/>
  <c r="AJ318" i="1"/>
  <c r="AI319" i="1"/>
  <c r="AJ319" i="1"/>
  <c r="AI320" i="1"/>
  <c r="AJ320" i="1"/>
  <c r="AI321" i="1"/>
  <c r="AJ321" i="1"/>
  <c r="AI322" i="1"/>
  <c r="AJ322" i="1"/>
  <c r="AI323" i="1"/>
  <c r="AJ323" i="1"/>
  <c r="AI324" i="1"/>
  <c r="AJ324" i="1"/>
  <c r="AI325" i="1"/>
  <c r="AJ325" i="1"/>
  <c r="AI326" i="1"/>
  <c r="AJ326" i="1"/>
  <c r="AI327" i="1"/>
  <c r="AJ327" i="1"/>
  <c r="AI328" i="1"/>
  <c r="AJ328" i="1"/>
  <c r="AI329" i="1"/>
  <c r="AJ329" i="1"/>
  <c r="AI330" i="1"/>
  <c r="AJ330" i="1"/>
  <c r="AI331" i="1"/>
  <c r="AJ331" i="1"/>
  <c r="AI332" i="1"/>
  <c r="AJ332" i="1"/>
  <c r="AI333" i="1"/>
  <c r="AJ333" i="1"/>
  <c r="AI334" i="1"/>
  <c r="AJ334" i="1"/>
  <c r="AI335" i="1"/>
  <c r="AJ335" i="1"/>
  <c r="AI336" i="1"/>
  <c r="AJ336" i="1"/>
  <c r="AI337" i="1"/>
  <c r="AJ337" i="1"/>
  <c r="AI338" i="1"/>
  <c r="AJ338" i="1"/>
  <c r="AI339" i="1"/>
  <c r="AJ339" i="1"/>
  <c r="AI340" i="1"/>
  <c r="AJ340" i="1"/>
  <c r="AI341" i="1"/>
  <c r="AJ341" i="1"/>
  <c r="AI342" i="1"/>
  <c r="AJ342" i="1"/>
  <c r="AI343" i="1"/>
  <c r="AJ343" i="1"/>
  <c r="AI344" i="1"/>
  <c r="AJ344" i="1"/>
  <c r="AI345" i="1"/>
  <c r="AJ345" i="1"/>
  <c r="AI346" i="1"/>
  <c r="AJ346" i="1"/>
  <c r="AI347" i="1"/>
  <c r="AJ347" i="1"/>
  <c r="AI348" i="1"/>
  <c r="AJ348" i="1"/>
  <c r="AI349" i="1"/>
  <c r="AJ349" i="1"/>
  <c r="AI350" i="1"/>
  <c r="AJ350" i="1"/>
  <c r="AI351" i="1"/>
  <c r="AJ351" i="1"/>
  <c r="AI352" i="1"/>
  <c r="AJ352" i="1"/>
  <c r="AI353" i="1"/>
  <c r="AJ353" i="1"/>
  <c r="AI354" i="1"/>
  <c r="AJ354" i="1"/>
  <c r="AI355" i="1"/>
  <c r="AJ355" i="1"/>
  <c r="AI356" i="1"/>
  <c r="AJ356" i="1"/>
  <c r="AI357" i="1"/>
  <c r="AJ357" i="1"/>
  <c r="AI358" i="1"/>
  <c r="AJ358" i="1"/>
  <c r="AI359" i="1"/>
  <c r="AJ359" i="1"/>
  <c r="AI360" i="1"/>
  <c r="AJ360" i="1"/>
  <c r="AI361" i="1"/>
  <c r="AJ361" i="1"/>
  <c r="AI362" i="1"/>
  <c r="AJ362" i="1"/>
  <c r="AI363" i="1"/>
  <c r="AJ363" i="1"/>
  <c r="AI364" i="1"/>
  <c r="AJ364" i="1"/>
  <c r="AI365" i="1"/>
  <c r="AJ365" i="1"/>
  <c r="AI366" i="1"/>
  <c r="AJ366" i="1"/>
  <c r="AI367" i="1"/>
  <c r="AJ367" i="1"/>
  <c r="AI368" i="1"/>
  <c r="AJ368" i="1"/>
  <c r="AI369" i="1"/>
  <c r="AJ369" i="1"/>
  <c r="AI370" i="1"/>
  <c r="AJ370" i="1"/>
  <c r="AI371" i="1"/>
  <c r="AJ371" i="1"/>
  <c r="AI372" i="1"/>
  <c r="AJ372" i="1"/>
  <c r="AI373" i="1"/>
  <c r="AJ373" i="1"/>
  <c r="AI374" i="1"/>
  <c r="AJ374" i="1"/>
  <c r="AI375" i="1"/>
  <c r="AJ375" i="1"/>
  <c r="AI376" i="1"/>
  <c r="AJ376" i="1"/>
  <c r="AI377" i="1"/>
  <c r="AJ377" i="1"/>
  <c r="AI378" i="1"/>
  <c r="AJ378" i="1"/>
  <c r="AI379" i="1"/>
  <c r="AJ379" i="1"/>
  <c r="AI380" i="1"/>
  <c r="AJ380" i="1"/>
  <c r="AI381" i="1"/>
  <c r="AJ381" i="1"/>
  <c r="AI382" i="1"/>
  <c r="AJ382" i="1"/>
  <c r="AI383" i="1"/>
  <c r="AJ383" i="1"/>
  <c r="AI384" i="1"/>
  <c r="AJ384" i="1"/>
  <c r="AI385" i="1"/>
  <c r="AJ385" i="1"/>
  <c r="AI386" i="1"/>
  <c r="AJ386" i="1"/>
  <c r="AI387" i="1"/>
  <c r="AJ387" i="1"/>
  <c r="AI388" i="1"/>
  <c r="AJ388" i="1"/>
  <c r="AI389" i="1"/>
  <c r="AJ389" i="1"/>
  <c r="AI390" i="1"/>
  <c r="AJ390" i="1"/>
  <c r="AI391" i="1"/>
  <c r="AJ391" i="1"/>
  <c r="AI392" i="1"/>
  <c r="AJ392" i="1"/>
  <c r="AI393" i="1"/>
  <c r="AJ393" i="1"/>
  <c r="AI394" i="1"/>
  <c r="AJ394" i="1"/>
  <c r="AI395" i="1"/>
  <c r="AJ395" i="1"/>
  <c r="AI396" i="1"/>
  <c r="AJ396" i="1"/>
  <c r="AI397" i="1"/>
  <c r="AJ397" i="1"/>
  <c r="AI398" i="1"/>
  <c r="AJ398" i="1"/>
  <c r="AI399" i="1"/>
  <c r="AJ399" i="1"/>
  <c r="AI400" i="1"/>
  <c r="AJ400" i="1"/>
  <c r="AI401" i="1"/>
  <c r="AJ401" i="1"/>
  <c r="AI402" i="1"/>
  <c r="AJ402" i="1"/>
  <c r="AI403" i="1"/>
  <c r="AJ403" i="1"/>
  <c r="AI404" i="1"/>
  <c r="AJ404" i="1"/>
  <c r="AI405" i="1"/>
  <c r="AJ405" i="1"/>
  <c r="AI406" i="1"/>
  <c r="AJ406" i="1"/>
  <c r="AI407" i="1"/>
  <c r="AJ407" i="1"/>
  <c r="AI408" i="1"/>
  <c r="AJ408" i="1"/>
  <c r="AI409" i="1"/>
  <c r="AJ409" i="1"/>
  <c r="AI410" i="1"/>
  <c r="AJ410" i="1"/>
  <c r="AI411" i="1"/>
  <c r="AJ411" i="1"/>
  <c r="AI412" i="1"/>
  <c r="AJ412" i="1"/>
  <c r="AI413" i="1"/>
  <c r="AJ413" i="1"/>
  <c r="AI414" i="1"/>
  <c r="AJ414" i="1"/>
  <c r="AI415" i="1"/>
  <c r="AJ415" i="1"/>
  <c r="AI416" i="1"/>
  <c r="AJ416" i="1"/>
  <c r="AI417" i="1"/>
  <c r="AJ417" i="1"/>
  <c r="AI418" i="1"/>
  <c r="AJ418" i="1"/>
  <c r="AI419" i="1"/>
  <c r="AJ419" i="1"/>
  <c r="AI420" i="1"/>
  <c r="AJ420" i="1"/>
  <c r="AI421" i="1"/>
  <c r="AJ421" i="1"/>
  <c r="AI422" i="1"/>
  <c r="AJ422" i="1"/>
  <c r="AI423" i="1"/>
  <c r="AJ423" i="1"/>
  <c r="AI424" i="1"/>
  <c r="AJ424" i="1"/>
  <c r="AI425" i="1"/>
  <c r="AJ425" i="1"/>
  <c r="AI426" i="1"/>
  <c r="AJ426" i="1"/>
  <c r="AI427" i="1"/>
  <c r="AJ427" i="1"/>
  <c r="AI428" i="1"/>
  <c r="AJ428" i="1"/>
  <c r="AI429" i="1"/>
  <c r="AJ429" i="1"/>
  <c r="AI430" i="1"/>
  <c r="AJ430" i="1"/>
  <c r="AI431" i="1"/>
  <c r="AJ431" i="1"/>
  <c r="AI432" i="1"/>
  <c r="AJ432" i="1"/>
  <c r="AI433" i="1"/>
  <c r="AJ433" i="1"/>
  <c r="AI434" i="1"/>
  <c r="AJ434" i="1"/>
  <c r="AI435" i="1"/>
  <c r="AJ435" i="1"/>
  <c r="AI436" i="1"/>
  <c r="AJ436" i="1"/>
  <c r="AI437" i="1"/>
  <c r="AJ437" i="1"/>
  <c r="AI438" i="1"/>
  <c r="AJ438" i="1"/>
  <c r="AI439" i="1"/>
  <c r="AJ439" i="1"/>
  <c r="AI440" i="1"/>
  <c r="AJ440" i="1"/>
  <c r="AI441" i="1"/>
  <c r="AJ441" i="1"/>
  <c r="AI442" i="1"/>
  <c r="AJ442" i="1"/>
  <c r="AI443" i="1"/>
  <c r="AJ443" i="1"/>
  <c r="AI444" i="1"/>
  <c r="AJ444" i="1"/>
  <c r="AI445" i="1"/>
  <c r="AJ445" i="1"/>
  <c r="AI446" i="1"/>
  <c r="AJ446" i="1"/>
  <c r="AI447" i="1"/>
  <c r="AJ447" i="1"/>
  <c r="AI448" i="1"/>
  <c r="AJ448" i="1"/>
  <c r="AI449" i="1"/>
  <c r="AJ449" i="1"/>
  <c r="AI450" i="1"/>
  <c r="AJ450" i="1"/>
  <c r="AI451" i="1"/>
  <c r="AJ451" i="1"/>
  <c r="AI452" i="1"/>
  <c r="AJ452" i="1"/>
  <c r="AI453" i="1"/>
  <c r="AJ453" i="1"/>
  <c r="AI454" i="1"/>
  <c r="AJ454" i="1"/>
  <c r="AI455" i="1"/>
  <c r="AJ455" i="1"/>
  <c r="AI456" i="1"/>
  <c r="AJ456" i="1"/>
  <c r="AI457" i="1"/>
  <c r="AJ457" i="1"/>
  <c r="AI458" i="1"/>
  <c r="AJ458" i="1"/>
  <c r="AI459" i="1"/>
  <c r="AJ459" i="1"/>
  <c r="AI460" i="1"/>
  <c r="AJ460" i="1"/>
  <c r="AI461" i="1"/>
  <c r="AJ461" i="1"/>
  <c r="AI462" i="1"/>
  <c r="AJ462" i="1"/>
  <c r="AI463" i="1"/>
  <c r="AJ463" i="1"/>
  <c r="AI464" i="1"/>
  <c r="AJ464" i="1"/>
  <c r="AI465" i="1"/>
  <c r="AJ465" i="1"/>
  <c r="AI466" i="1"/>
  <c r="AJ466" i="1"/>
  <c r="AI467" i="1"/>
  <c r="AJ467" i="1"/>
  <c r="AI468" i="1"/>
  <c r="AJ468" i="1"/>
  <c r="AI469" i="1"/>
  <c r="AJ469" i="1"/>
  <c r="AI470" i="1"/>
  <c r="AJ470" i="1"/>
  <c r="AI471" i="1"/>
  <c r="AJ471" i="1"/>
  <c r="AI472" i="1"/>
  <c r="AJ472" i="1"/>
  <c r="AI473" i="1"/>
  <c r="AJ473" i="1"/>
  <c r="AI474" i="1"/>
  <c r="AJ474" i="1"/>
  <c r="AI475" i="1"/>
  <c r="AJ475" i="1"/>
  <c r="AI476" i="1"/>
  <c r="AJ476" i="1"/>
  <c r="AI477" i="1"/>
  <c r="AJ477" i="1"/>
  <c r="AI478" i="1"/>
  <c r="AJ478" i="1"/>
  <c r="AI479" i="1"/>
  <c r="AJ479" i="1"/>
  <c r="AI480" i="1"/>
  <c r="AJ480" i="1"/>
  <c r="AI481" i="1"/>
  <c r="AJ481" i="1"/>
  <c r="AI482" i="1"/>
  <c r="AJ482" i="1"/>
  <c r="AI483" i="1"/>
  <c r="AJ483" i="1"/>
  <c r="AI484" i="1"/>
  <c r="AJ484" i="1"/>
  <c r="AI485" i="1"/>
  <c r="AJ485" i="1"/>
  <c r="AI486" i="1"/>
  <c r="AJ486" i="1"/>
  <c r="AI487" i="1"/>
  <c r="AJ487" i="1"/>
  <c r="AI488" i="1"/>
  <c r="AJ488" i="1"/>
  <c r="AI489" i="1"/>
  <c r="AJ489" i="1"/>
  <c r="AI490" i="1"/>
  <c r="AJ490" i="1"/>
  <c r="AI491" i="1"/>
  <c r="AJ491" i="1"/>
  <c r="AI492" i="1"/>
  <c r="AJ492" i="1"/>
  <c r="AI493" i="1"/>
  <c r="AJ493" i="1"/>
  <c r="AI494" i="1"/>
  <c r="AJ494" i="1"/>
  <c r="AI495" i="1"/>
  <c r="AJ495" i="1"/>
  <c r="AI496" i="1"/>
  <c r="AJ496" i="1"/>
  <c r="AI497" i="1"/>
  <c r="AJ497" i="1"/>
  <c r="AI498" i="1"/>
  <c r="AJ498" i="1"/>
  <c r="AI499" i="1"/>
  <c r="AJ499" i="1"/>
  <c r="AI500" i="1"/>
  <c r="AJ500" i="1"/>
  <c r="AI501" i="1"/>
  <c r="AJ501" i="1"/>
  <c r="AI502" i="1"/>
  <c r="AJ502" i="1"/>
  <c r="AI503" i="1"/>
  <c r="AJ503" i="1"/>
  <c r="AI504" i="1"/>
  <c r="AJ504" i="1"/>
  <c r="AI505" i="1"/>
  <c r="AJ505" i="1"/>
  <c r="AI506" i="1"/>
  <c r="AJ506" i="1"/>
  <c r="AI507" i="1"/>
  <c r="AJ507" i="1"/>
  <c r="AI508" i="1"/>
  <c r="AJ508" i="1"/>
  <c r="AI509" i="1"/>
  <c r="AJ509" i="1"/>
  <c r="AI510" i="1"/>
  <c r="AJ510" i="1"/>
  <c r="AI511" i="1"/>
  <c r="AJ511" i="1"/>
  <c r="AI512" i="1"/>
  <c r="AJ512" i="1"/>
  <c r="AI513" i="1"/>
  <c r="AJ513" i="1"/>
  <c r="AI514" i="1"/>
  <c r="AJ514" i="1"/>
  <c r="AI515" i="1"/>
  <c r="AJ515" i="1"/>
  <c r="AI516" i="1"/>
  <c r="AJ516" i="1"/>
  <c r="AI517" i="1"/>
  <c r="AJ517" i="1"/>
  <c r="AI518" i="1"/>
  <c r="AJ518" i="1"/>
  <c r="AI519" i="1"/>
  <c r="AJ519" i="1"/>
  <c r="AI520" i="1"/>
  <c r="AJ520" i="1"/>
  <c r="AI521" i="1"/>
  <c r="AJ521" i="1"/>
  <c r="AI522" i="1"/>
  <c r="AJ522" i="1"/>
  <c r="AI523" i="1"/>
  <c r="AJ523" i="1"/>
  <c r="AI524" i="1"/>
  <c r="AJ524" i="1"/>
  <c r="AI525" i="1"/>
  <c r="AJ525" i="1"/>
  <c r="AI526" i="1"/>
  <c r="AJ526" i="1"/>
  <c r="AI527" i="1"/>
  <c r="AJ527" i="1"/>
  <c r="AI528" i="1"/>
  <c r="AJ528" i="1"/>
  <c r="AI529" i="1"/>
  <c r="AJ529" i="1"/>
  <c r="AI530" i="1"/>
  <c r="AJ530" i="1"/>
  <c r="AI531" i="1"/>
  <c r="AJ531" i="1"/>
  <c r="AI532" i="1"/>
  <c r="AJ532" i="1"/>
  <c r="AI533" i="1"/>
  <c r="AJ533" i="1"/>
  <c r="AI534" i="1"/>
  <c r="AJ534" i="1"/>
  <c r="AI535" i="1"/>
  <c r="AJ535" i="1"/>
  <c r="AI536" i="1"/>
  <c r="AJ536" i="1"/>
  <c r="AI537" i="1"/>
  <c r="AJ537" i="1"/>
  <c r="AI538" i="1"/>
  <c r="AJ538" i="1"/>
  <c r="AI539" i="1"/>
  <c r="AJ539" i="1"/>
  <c r="AI540" i="1"/>
  <c r="AJ540" i="1"/>
  <c r="AI541" i="1"/>
  <c r="AJ541" i="1"/>
  <c r="AI542" i="1"/>
  <c r="AJ542" i="1"/>
  <c r="AI543" i="1"/>
  <c r="AJ543" i="1"/>
  <c r="AI544" i="1"/>
  <c r="AJ544" i="1"/>
  <c r="AI545" i="1"/>
  <c r="AJ545" i="1"/>
  <c r="AI546" i="1"/>
  <c r="AJ546" i="1"/>
  <c r="AI547" i="1"/>
  <c r="AJ547" i="1"/>
  <c r="AI548" i="1"/>
  <c r="AJ548" i="1"/>
  <c r="AI549" i="1"/>
  <c r="AJ549" i="1"/>
  <c r="AI550" i="1"/>
  <c r="AJ550" i="1"/>
  <c r="AI551" i="1"/>
  <c r="AJ551" i="1"/>
  <c r="AI552" i="1"/>
  <c r="AJ552" i="1"/>
  <c r="AI553" i="1"/>
  <c r="AJ553" i="1"/>
  <c r="AI554" i="1"/>
  <c r="AJ554" i="1"/>
  <c r="AI555" i="1"/>
  <c r="AJ555" i="1"/>
  <c r="AI556" i="1"/>
  <c r="AJ556" i="1"/>
  <c r="AI557" i="1"/>
  <c r="AJ557" i="1"/>
  <c r="AI558" i="1"/>
  <c r="AJ558" i="1"/>
  <c r="AI559" i="1"/>
  <c r="AJ559" i="1"/>
  <c r="AI560" i="1"/>
  <c r="AJ560" i="1"/>
  <c r="AI561" i="1"/>
  <c r="AJ561" i="1"/>
  <c r="AI562" i="1"/>
  <c r="AJ562" i="1"/>
  <c r="AI563" i="1"/>
  <c r="AJ563" i="1"/>
  <c r="AI564" i="1"/>
  <c r="AJ564" i="1"/>
  <c r="AI565" i="1"/>
  <c r="AJ565" i="1"/>
  <c r="AI566" i="1"/>
  <c r="AJ566" i="1"/>
  <c r="AI567" i="1"/>
  <c r="AJ567" i="1"/>
  <c r="AI568" i="1"/>
  <c r="AJ568" i="1"/>
  <c r="AI569" i="1"/>
  <c r="AJ569" i="1"/>
  <c r="AI570" i="1"/>
  <c r="AJ570" i="1"/>
  <c r="AI571" i="1"/>
  <c r="AJ571" i="1"/>
  <c r="AI572" i="1"/>
  <c r="AJ572" i="1"/>
  <c r="AI573" i="1"/>
  <c r="AJ573" i="1"/>
  <c r="AI574" i="1"/>
  <c r="AJ574" i="1"/>
  <c r="AI575" i="1"/>
  <c r="AJ575" i="1"/>
  <c r="AI576" i="1"/>
  <c r="AJ576" i="1"/>
  <c r="AI577" i="1"/>
  <c r="AJ577" i="1"/>
  <c r="AI578" i="1"/>
  <c r="AJ578" i="1"/>
  <c r="AI579" i="1"/>
  <c r="AJ579" i="1"/>
  <c r="AI580" i="1"/>
  <c r="AJ580" i="1"/>
  <c r="AI581" i="1"/>
  <c r="AJ581" i="1"/>
  <c r="AI582" i="1"/>
  <c r="AJ582" i="1"/>
  <c r="AI583" i="1"/>
  <c r="AJ583" i="1"/>
  <c r="AI584" i="1"/>
  <c r="AJ584" i="1"/>
  <c r="AI585" i="1"/>
  <c r="AJ585" i="1"/>
  <c r="AI586" i="1"/>
  <c r="AJ586" i="1"/>
  <c r="AI587" i="1"/>
  <c r="AJ587" i="1"/>
  <c r="AI588" i="1"/>
  <c r="AJ588" i="1"/>
  <c r="AI589" i="1"/>
  <c r="AJ589" i="1"/>
  <c r="AI590" i="1"/>
  <c r="AJ590" i="1"/>
  <c r="AI591" i="1"/>
  <c r="AJ591" i="1"/>
  <c r="AI592" i="1"/>
  <c r="AJ592" i="1"/>
  <c r="AI593" i="1"/>
  <c r="AJ593" i="1"/>
  <c r="AI594" i="1"/>
  <c r="AJ594" i="1"/>
  <c r="AI595" i="1"/>
  <c r="AJ595" i="1"/>
  <c r="AI596" i="1"/>
  <c r="AJ596" i="1"/>
  <c r="AI597" i="1"/>
  <c r="AJ597" i="1"/>
  <c r="AI598" i="1"/>
  <c r="AJ598" i="1"/>
  <c r="AI599" i="1"/>
  <c r="AJ599" i="1"/>
  <c r="AI600" i="1"/>
  <c r="AJ600" i="1"/>
  <c r="AI601" i="1"/>
  <c r="AJ601" i="1"/>
  <c r="AI602" i="1"/>
  <c r="AJ602" i="1"/>
  <c r="AI603" i="1"/>
  <c r="AJ603" i="1"/>
  <c r="AI604" i="1"/>
  <c r="AJ604" i="1"/>
  <c r="AI605" i="1"/>
  <c r="AJ605" i="1"/>
  <c r="AI606" i="1"/>
  <c r="AJ606" i="1"/>
  <c r="AI607" i="1"/>
  <c r="AJ607" i="1"/>
  <c r="AI608" i="1"/>
  <c r="AJ608" i="1"/>
  <c r="AI609" i="1"/>
  <c r="AJ609" i="1"/>
  <c r="AI610" i="1"/>
  <c r="AJ610" i="1"/>
  <c r="AI611" i="1"/>
  <c r="AJ611" i="1"/>
  <c r="AI612" i="1"/>
  <c r="AJ612" i="1"/>
  <c r="AI613" i="1"/>
  <c r="AJ613" i="1"/>
  <c r="AI614" i="1"/>
  <c r="AJ614" i="1"/>
  <c r="AI615" i="1"/>
  <c r="AJ615" i="1"/>
  <c r="AI616" i="1"/>
  <c r="AJ616" i="1"/>
  <c r="AI617" i="1"/>
  <c r="AJ617" i="1"/>
  <c r="AI618" i="1"/>
  <c r="AJ618" i="1"/>
  <c r="AI619" i="1"/>
  <c r="AJ619" i="1"/>
  <c r="AI620" i="1"/>
  <c r="AJ620" i="1"/>
  <c r="AI621" i="1"/>
  <c r="AJ621" i="1"/>
  <c r="AI622" i="1"/>
  <c r="AJ622" i="1"/>
  <c r="AI623" i="1"/>
  <c r="AJ623" i="1"/>
  <c r="AI624" i="1"/>
  <c r="AJ624" i="1"/>
  <c r="AI625" i="1"/>
  <c r="AJ625" i="1"/>
  <c r="AI626" i="1"/>
  <c r="AJ626" i="1"/>
  <c r="AI627" i="1"/>
  <c r="AJ627" i="1"/>
  <c r="AI628" i="1"/>
  <c r="AJ628" i="1"/>
  <c r="AI629" i="1"/>
  <c r="AJ629" i="1"/>
  <c r="AI630" i="1"/>
  <c r="AJ630" i="1"/>
  <c r="AI631" i="1"/>
  <c r="AJ631" i="1"/>
  <c r="AI632" i="1"/>
  <c r="AJ632" i="1"/>
  <c r="AI633" i="1"/>
  <c r="AJ633" i="1"/>
  <c r="AI634" i="1"/>
  <c r="AJ634" i="1"/>
  <c r="AI635" i="1"/>
  <c r="AJ635" i="1"/>
  <c r="AI636" i="1"/>
  <c r="AJ636" i="1"/>
  <c r="AI637" i="1"/>
  <c r="AJ637" i="1"/>
  <c r="AI638" i="1"/>
  <c r="AJ638" i="1"/>
  <c r="AI639" i="1"/>
  <c r="AJ639" i="1"/>
  <c r="AI640" i="1"/>
  <c r="AJ640" i="1"/>
  <c r="AI641" i="1"/>
  <c r="AJ641" i="1"/>
  <c r="AI642" i="1"/>
  <c r="AJ642" i="1"/>
  <c r="AI643" i="1"/>
  <c r="AJ643" i="1"/>
  <c r="AI644" i="1"/>
  <c r="AJ644" i="1"/>
  <c r="AI645" i="1"/>
  <c r="AJ645" i="1"/>
  <c r="AI646" i="1"/>
  <c r="AJ646" i="1"/>
  <c r="AI647" i="1"/>
  <c r="AJ647" i="1"/>
  <c r="AI648" i="1"/>
  <c r="AJ648" i="1"/>
  <c r="AI649" i="1"/>
  <c r="AJ649" i="1"/>
  <c r="AI650" i="1"/>
  <c r="AJ650" i="1"/>
  <c r="AI651" i="1"/>
  <c r="AJ651" i="1"/>
  <c r="AI652" i="1"/>
  <c r="AJ652" i="1"/>
  <c r="AI653" i="1"/>
  <c r="AJ653" i="1"/>
  <c r="AI654" i="1"/>
  <c r="AJ654" i="1"/>
  <c r="AI655" i="1"/>
  <c r="AJ655" i="1"/>
  <c r="AI656" i="1"/>
  <c r="AJ656" i="1"/>
  <c r="AI657" i="1"/>
  <c r="AJ657" i="1"/>
  <c r="AI658" i="1"/>
  <c r="AJ658" i="1"/>
  <c r="AI659" i="1"/>
  <c r="AJ659" i="1"/>
  <c r="AI660" i="1"/>
  <c r="AJ660" i="1"/>
  <c r="AI661" i="1"/>
  <c r="AJ661" i="1"/>
  <c r="AI662" i="1"/>
  <c r="AJ662" i="1"/>
  <c r="AI663" i="1"/>
  <c r="AJ663" i="1"/>
  <c r="AI664" i="1"/>
  <c r="AJ664" i="1"/>
  <c r="AI665" i="1"/>
  <c r="AJ665" i="1"/>
  <c r="AI666" i="1"/>
  <c r="AJ666" i="1"/>
  <c r="AI667" i="1"/>
  <c r="AJ667" i="1"/>
  <c r="AI668" i="1"/>
  <c r="AJ668" i="1"/>
  <c r="AI669" i="1"/>
  <c r="AJ669" i="1"/>
  <c r="AI670" i="1"/>
  <c r="AJ670" i="1"/>
  <c r="AI671" i="1"/>
  <c r="AJ671" i="1"/>
  <c r="AI672" i="1"/>
  <c r="AJ672" i="1"/>
  <c r="AI673" i="1"/>
  <c r="AJ673" i="1"/>
  <c r="AI674" i="1"/>
  <c r="AJ674" i="1"/>
  <c r="AI675" i="1"/>
  <c r="AJ675" i="1"/>
  <c r="AI676" i="1"/>
  <c r="AJ676" i="1"/>
  <c r="AI677" i="1"/>
  <c r="AJ677" i="1"/>
  <c r="AI678" i="1"/>
  <c r="AJ678" i="1"/>
  <c r="AI679" i="1"/>
  <c r="AJ679" i="1"/>
  <c r="AI680" i="1"/>
  <c r="AJ680" i="1"/>
  <c r="AI681" i="1"/>
  <c r="AJ681" i="1"/>
  <c r="AI682" i="1"/>
  <c r="AJ682" i="1"/>
  <c r="AI683" i="1"/>
  <c r="AJ683" i="1"/>
  <c r="AI684" i="1"/>
  <c r="AJ684" i="1"/>
  <c r="AI685" i="1"/>
  <c r="AJ685" i="1"/>
  <c r="AI686" i="1"/>
  <c r="AJ686" i="1"/>
  <c r="AI687" i="1"/>
  <c r="AJ687" i="1"/>
  <c r="AI688" i="1"/>
  <c r="AJ688" i="1"/>
  <c r="AI689" i="1"/>
  <c r="AJ689" i="1"/>
  <c r="AI690" i="1"/>
  <c r="AJ690" i="1"/>
  <c r="AI691" i="1"/>
  <c r="AJ691" i="1"/>
  <c r="AI692" i="1"/>
  <c r="AJ692" i="1"/>
  <c r="AI693" i="1"/>
  <c r="AJ693" i="1"/>
  <c r="AI694" i="1"/>
  <c r="AJ694" i="1"/>
  <c r="AI695" i="1"/>
  <c r="AJ695" i="1"/>
  <c r="AI696" i="1"/>
  <c r="AJ696" i="1"/>
  <c r="AI697" i="1"/>
  <c r="AJ697" i="1"/>
  <c r="AI698" i="1"/>
  <c r="AJ698" i="1"/>
  <c r="AI699" i="1"/>
  <c r="AJ699" i="1"/>
  <c r="AI700" i="1"/>
  <c r="AJ700" i="1"/>
  <c r="AI701" i="1"/>
  <c r="AJ701" i="1"/>
  <c r="AI702" i="1"/>
  <c r="AJ702" i="1"/>
  <c r="AI703" i="1"/>
  <c r="AJ703" i="1"/>
  <c r="AI704" i="1"/>
  <c r="AJ704" i="1"/>
  <c r="AI705" i="1"/>
  <c r="AJ705" i="1"/>
  <c r="AI706" i="1"/>
  <c r="AJ706" i="1"/>
  <c r="AI707" i="1"/>
  <c r="AJ707" i="1"/>
  <c r="AI708" i="1"/>
  <c r="AJ708" i="1"/>
  <c r="AI709" i="1"/>
  <c r="AJ709" i="1"/>
  <c r="AI710" i="1"/>
  <c r="AJ710" i="1"/>
  <c r="AI711" i="1"/>
  <c r="AJ711" i="1"/>
  <c r="AI712" i="1"/>
  <c r="AJ712" i="1"/>
  <c r="AI713" i="1"/>
  <c r="AJ713" i="1"/>
  <c r="AI714" i="1"/>
  <c r="AJ714" i="1"/>
  <c r="AI715" i="1"/>
  <c r="AJ715" i="1"/>
  <c r="AI716" i="1"/>
  <c r="AJ716" i="1"/>
  <c r="AI717" i="1"/>
  <c r="AJ717" i="1"/>
  <c r="AI718" i="1"/>
  <c r="AJ718" i="1"/>
  <c r="AI719" i="1"/>
  <c r="AJ719" i="1"/>
  <c r="AI720" i="1"/>
  <c r="AJ720" i="1"/>
  <c r="AI721" i="1"/>
  <c r="AJ721" i="1"/>
  <c r="AI722" i="1"/>
  <c r="AJ722" i="1"/>
  <c r="AI723" i="1"/>
  <c r="AJ723" i="1"/>
  <c r="AI724" i="1"/>
  <c r="AJ724" i="1"/>
  <c r="AI725" i="1"/>
  <c r="AJ725" i="1"/>
  <c r="AI726" i="1"/>
  <c r="AJ726" i="1"/>
  <c r="AI727" i="1"/>
  <c r="AJ727" i="1"/>
  <c r="AI728" i="1"/>
  <c r="AJ728" i="1"/>
  <c r="AI729" i="1"/>
  <c r="AJ729" i="1"/>
  <c r="AI730" i="1"/>
  <c r="AJ730" i="1"/>
  <c r="AI731" i="1"/>
  <c r="AJ731" i="1"/>
  <c r="AI732" i="1"/>
  <c r="AJ732" i="1"/>
  <c r="AI733" i="1"/>
  <c r="AJ733" i="1"/>
  <c r="AI734" i="1"/>
  <c r="AJ734" i="1"/>
  <c r="AI735" i="1"/>
  <c r="AJ735" i="1"/>
  <c r="AI736" i="1"/>
  <c r="AJ736" i="1"/>
  <c r="AI737" i="1"/>
  <c r="AJ737" i="1"/>
  <c r="AI738" i="1"/>
  <c r="AJ738" i="1"/>
  <c r="AI739" i="1"/>
  <c r="AJ739" i="1"/>
  <c r="AI740" i="1"/>
  <c r="AJ740" i="1"/>
  <c r="AI741" i="1"/>
  <c r="AJ741" i="1"/>
  <c r="AI742" i="1"/>
  <c r="AJ742" i="1"/>
  <c r="AI743" i="1"/>
  <c r="AJ743" i="1"/>
  <c r="AI744" i="1"/>
  <c r="AJ744" i="1"/>
  <c r="AI745" i="1"/>
  <c r="AJ745" i="1"/>
  <c r="AI746" i="1"/>
  <c r="AJ746" i="1"/>
  <c r="AI747" i="1"/>
  <c r="AJ747" i="1"/>
  <c r="AI748" i="1"/>
  <c r="AJ748" i="1"/>
  <c r="AI749" i="1"/>
  <c r="AJ749" i="1"/>
  <c r="AI750" i="1"/>
  <c r="AJ750" i="1"/>
  <c r="AI751" i="1"/>
  <c r="AJ751" i="1"/>
  <c r="AI752" i="1"/>
  <c r="AJ752" i="1"/>
  <c r="AI753" i="1"/>
  <c r="AJ753" i="1"/>
  <c r="AI754" i="1"/>
  <c r="AJ754" i="1"/>
  <c r="AI755" i="1"/>
  <c r="AJ755" i="1"/>
  <c r="AI756" i="1"/>
  <c r="AJ756" i="1"/>
  <c r="AI757" i="1"/>
  <c r="AJ757" i="1"/>
  <c r="AI758" i="1"/>
  <c r="AJ758" i="1"/>
  <c r="AI759" i="1"/>
  <c r="AJ759" i="1"/>
  <c r="AI760" i="1"/>
  <c r="AJ760" i="1"/>
  <c r="AI761" i="1"/>
  <c r="AJ761" i="1"/>
  <c r="AI762" i="1"/>
  <c r="AJ762" i="1"/>
  <c r="AI763" i="1"/>
  <c r="AJ763" i="1"/>
  <c r="AI764" i="1"/>
  <c r="AJ764" i="1"/>
  <c r="AI765" i="1"/>
  <c r="AJ765" i="1"/>
  <c r="AI766" i="1"/>
  <c r="AJ766" i="1"/>
  <c r="AI767" i="1"/>
  <c r="AJ767" i="1"/>
  <c r="AI768" i="1"/>
  <c r="AJ768" i="1"/>
  <c r="AI769" i="1"/>
  <c r="AJ769" i="1"/>
  <c r="AI770" i="1"/>
  <c r="AJ770" i="1"/>
  <c r="AI771" i="1"/>
  <c r="AJ771" i="1"/>
  <c r="AI772" i="1"/>
  <c r="AJ772" i="1"/>
  <c r="AI773" i="1"/>
  <c r="AJ773" i="1"/>
  <c r="AI774" i="1"/>
  <c r="AJ774" i="1"/>
  <c r="AI775" i="1"/>
  <c r="AJ775" i="1"/>
  <c r="AI776" i="1"/>
  <c r="AJ776" i="1"/>
  <c r="AI777" i="1"/>
  <c r="AJ777" i="1"/>
  <c r="AI778" i="1"/>
  <c r="AJ778" i="1"/>
  <c r="AI779" i="1"/>
  <c r="AJ779" i="1"/>
  <c r="AI780" i="1"/>
  <c r="AJ780" i="1"/>
  <c r="AI781" i="1"/>
  <c r="AJ781" i="1"/>
  <c r="AI782" i="1"/>
  <c r="AJ782" i="1"/>
  <c r="AI783" i="1"/>
  <c r="AJ783" i="1"/>
  <c r="AI784" i="1"/>
  <c r="AJ784" i="1"/>
  <c r="AI785" i="1"/>
  <c r="AJ785" i="1"/>
  <c r="AI786" i="1"/>
  <c r="AJ786" i="1"/>
  <c r="AI787" i="1"/>
  <c r="AJ787" i="1"/>
  <c r="AI788" i="1"/>
  <c r="AJ788" i="1"/>
  <c r="AI789" i="1"/>
  <c r="AJ789" i="1"/>
  <c r="AI790" i="1"/>
  <c r="AJ790" i="1"/>
  <c r="AI791" i="1"/>
  <c r="AJ791" i="1"/>
  <c r="AI792" i="1"/>
  <c r="AJ792" i="1"/>
  <c r="AI793" i="1"/>
  <c r="AJ793" i="1"/>
  <c r="AI794" i="1"/>
  <c r="AJ794" i="1"/>
  <c r="AI795" i="1"/>
  <c r="AJ795" i="1"/>
  <c r="AI796" i="1"/>
  <c r="AJ796" i="1"/>
  <c r="AI797" i="1"/>
  <c r="AJ797" i="1"/>
  <c r="AI798" i="1"/>
  <c r="AJ798" i="1"/>
  <c r="AI799" i="1"/>
  <c r="AJ799" i="1"/>
  <c r="AI800" i="1"/>
  <c r="AJ800" i="1"/>
  <c r="AI801" i="1"/>
  <c r="AJ801" i="1"/>
  <c r="AI802" i="1"/>
  <c r="AJ802" i="1"/>
  <c r="AI803" i="1"/>
  <c r="AJ803" i="1"/>
  <c r="AI804" i="1"/>
  <c r="AJ804" i="1"/>
  <c r="AI805" i="1"/>
  <c r="AJ805" i="1"/>
  <c r="AI806" i="1"/>
  <c r="AJ806" i="1"/>
  <c r="AI807" i="1"/>
  <c r="AJ807" i="1"/>
  <c r="AI808" i="1"/>
  <c r="AJ808" i="1"/>
  <c r="AI809" i="1"/>
  <c r="AJ809" i="1"/>
  <c r="AI810" i="1"/>
  <c r="AJ810" i="1"/>
  <c r="AI811" i="1"/>
  <c r="AJ811" i="1"/>
  <c r="AI812" i="1"/>
  <c r="AJ812" i="1"/>
  <c r="AI813" i="1"/>
  <c r="AJ813" i="1"/>
  <c r="AI814" i="1"/>
  <c r="AJ814" i="1"/>
  <c r="AI815" i="1"/>
  <c r="AJ815" i="1"/>
  <c r="AI816" i="1"/>
  <c r="AJ816" i="1"/>
  <c r="AI817" i="1"/>
  <c r="AJ817" i="1"/>
  <c r="AI818" i="1"/>
  <c r="AJ818" i="1"/>
  <c r="AI819" i="1"/>
  <c r="AJ819" i="1"/>
  <c r="AI820" i="1"/>
  <c r="AJ820" i="1"/>
  <c r="AI821" i="1"/>
  <c r="AJ821" i="1"/>
  <c r="AI822" i="1"/>
  <c r="AJ822" i="1"/>
  <c r="AI823" i="1"/>
  <c r="AJ823" i="1"/>
  <c r="AI824" i="1"/>
  <c r="AJ824" i="1"/>
  <c r="AI825" i="1"/>
  <c r="AJ825" i="1"/>
  <c r="AI826" i="1"/>
  <c r="AJ826" i="1"/>
  <c r="AI827" i="1"/>
  <c r="AJ827" i="1"/>
  <c r="AI828" i="1"/>
  <c r="AJ828" i="1"/>
  <c r="AI829" i="1"/>
  <c r="AJ829" i="1"/>
  <c r="AI830" i="1"/>
  <c r="AJ830" i="1"/>
  <c r="AI831" i="1"/>
  <c r="AJ831" i="1"/>
  <c r="AI832" i="1"/>
  <c r="AJ832" i="1"/>
  <c r="AI833" i="1"/>
  <c r="AJ833" i="1"/>
  <c r="AI834" i="1"/>
  <c r="AJ834" i="1"/>
  <c r="AI835" i="1"/>
  <c r="AJ835" i="1"/>
  <c r="AI836" i="1"/>
  <c r="AJ836" i="1"/>
  <c r="AI837" i="1"/>
  <c r="AJ837" i="1"/>
  <c r="AI838" i="1"/>
  <c r="AJ838" i="1"/>
  <c r="AI839" i="1"/>
  <c r="AJ839" i="1"/>
  <c r="AI840" i="1"/>
  <c r="AJ840" i="1"/>
  <c r="AI841" i="1"/>
  <c r="AJ841" i="1"/>
  <c r="AI842" i="1"/>
  <c r="AJ842" i="1"/>
  <c r="AI843" i="1"/>
  <c r="AJ843" i="1"/>
  <c r="AI844" i="1"/>
  <c r="AJ844" i="1"/>
  <c r="AI845" i="1"/>
  <c r="AJ845" i="1"/>
  <c r="AI846" i="1"/>
  <c r="AJ846" i="1"/>
  <c r="AI847" i="1"/>
  <c r="AJ847" i="1"/>
  <c r="AI848" i="1"/>
  <c r="AJ848" i="1"/>
  <c r="AI849" i="1"/>
  <c r="AJ849" i="1"/>
  <c r="AI850" i="1"/>
  <c r="AJ850" i="1"/>
  <c r="AI851" i="1"/>
  <c r="AJ851" i="1"/>
  <c r="AI852" i="1"/>
  <c r="AJ852" i="1"/>
  <c r="AI853" i="1"/>
  <c r="AJ853" i="1"/>
  <c r="AI854" i="1"/>
  <c r="AJ854" i="1"/>
  <c r="AI855" i="1"/>
  <c r="AJ855" i="1"/>
  <c r="AI856" i="1"/>
  <c r="AJ856" i="1"/>
  <c r="AI857" i="1"/>
  <c r="AJ857" i="1"/>
  <c r="AI858" i="1"/>
  <c r="AJ858" i="1"/>
  <c r="AI859" i="1"/>
  <c r="AJ859" i="1"/>
  <c r="AI860" i="1"/>
  <c r="AJ860" i="1"/>
  <c r="AI861" i="1"/>
  <c r="AJ861" i="1"/>
  <c r="AI862" i="1"/>
  <c r="AJ862" i="1"/>
  <c r="AI863" i="1"/>
  <c r="AJ863" i="1"/>
  <c r="AI864" i="1"/>
  <c r="AJ864" i="1"/>
  <c r="AI865" i="1"/>
  <c r="AJ865" i="1"/>
  <c r="AI866" i="1"/>
  <c r="AJ866" i="1"/>
  <c r="AI867" i="1"/>
  <c r="AJ867" i="1"/>
  <c r="AI868" i="1"/>
  <c r="AJ868" i="1"/>
  <c r="AI869" i="1"/>
  <c r="AJ869" i="1"/>
  <c r="AI870" i="1"/>
  <c r="AJ870" i="1"/>
  <c r="AI871" i="1"/>
  <c r="AJ871" i="1"/>
  <c r="AI872" i="1"/>
  <c r="AJ872" i="1"/>
  <c r="AI873" i="1"/>
  <c r="AJ873" i="1"/>
  <c r="AI874" i="1"/>
  <c r="AJ874" i="1"/>
  <c r="AI875" i="1"/>
  <c r="AJ875" i="1"/>
  <c r="AI876" i="1"/>
  <c r="AJ876" i="1"/>
  <c r="AI877" i="1"/>
  <c r="AJ877" i="1"/>
  <c r="AI878" i="1"/>
  <c r="AJ878" i="1"/>
  <c r="AI879" i="1"/>
  <c r="AJ879" i="1"/>
  <c r="AI880" i="1"/>
  <c r="AJ880" i="1"/>
  <c r="AI881" i="1"/>
  <c r="AJ881" i="1"/>
  <c r="AI882" i="1"/>
  <c r="AJ882" i="1"/>
  <c r="AI883" i="1"/>
  <c r="AJ883" i="1"/>
  <c r="AI884" i="1"/>
  <c r="AJ884" i="1"/>
  <c r="AI885" i="1"/>
  <c r="AJ885" i="1"/>
  <c r="AI886" i="1"/>
  <c r="AJ886" i="1"/>
  <c r="AI887" i="1"/>
  <c r="AJ887" i="1"/>
  <c r="AI888" i="1"/>
  <c r="AJ888" i="1"/>
  <c r="AI889" i="1"/>
  <c r="AJ889" i="1"/>
  <c r="AI890" i="1"/>
  <c r="AJ890" i="1"/>
  <c r="AI891" i="1"/>
  <c r="AJ891" i="1"/>
  <c r="AI892" i="1"/>
  <c r="AJ892" i="1"/>
  <c r="AI893" i="1"/>
  <c r="AJ893" i="1"/>
  <c r="AI894" i="1"/>
  <c r="AJ894" i="1"/>
  <c r="AI895" i="1"/>
  <c r="AJ895" i="1"/>
  <c r="AI896" i="1"/>
  <c r="AJ896" i="1"/>
  <c r="AI897" i="1"/>
  <c r="AJ897" i="1"/>
  <c r="AI898" i="1"/>
  <c r="AJ898" i="1"/>
  <c r="AI899" i="1"/>
  <c r="AJ899" i="1"/>
  <c r="AI900" i="1"/>
  <c r="AJ900" i="1"/>
  <c r="AI901" i="1"/>
  <c r="AJ901" i="1"/>
  <c r="AI902" i="1"/>
  <c r="AJ902" i="1"/>
  <c r="AI903" i="1"/>
  <c r="AJ903" i="1"/>
  <c r="AI904" i="1"/>
  <c r="AJ904" i="1"/>
  <c r="AI905" i="1"/>
  <c r="AJ905" i="1"/>
  <c r="AI906" i="1"/>
  <c r="AJ906" i="1"/>
  <c r="AI907" i="1"/>
  <c r="AJ907" i="1"/>
  <c r="AI908" i="1"/>
  <c r="AJ908" i="1"/>
  <c r="AI909" i="1"/>
  <c r="AJ909" i="1"/>
  <c r="AI910" i="1"/>
  <c r="AJ910" i="1"/>
  <c r="AI911" i="1"/>
  <c r="AJ911" i="1"/>
  <c r="AI912" i="1"/>
  <c r="AJ912" i="1"/>
  <c r="AI913" i="1"/>
  <c r="AJ913" i="1"/>
  <c r="AI914" i="1"/>
  <c r="AJ914" i="1"/>
  <c r="AI915" i="1"/>
  <c r="AJ915" i="1"/>
  <c r="AI916" i="1"/>
  <c r="AJ916" i="1"/>
  <c r="AI917" i="1"/>
  <c r="AJ917" i="1"/>
  <c r="AI918" i="1"/>
  <c r="AJ918" i="1"/>
  <c r="AI919" i="1"/>
  <c r="AJ919" i="1"/>
  <c r="AI920" i="1"/>
  <c r="AJ920" i="1"/>
  <c r="AI921" i="1"/>
  <c r="AJ921" i="1"/>
  <c r="AI922" i="1"/>
  <c r="AJ922" i="1"/>
  <c r="AI923" i="1"/>
  <c r="AJ923" i="1"/>
  <c r="AI924" i="1"/>
  <c r="AJ924" i="1"/>
  <c r="AI925" i="1"/>
  <c r="AJ925" i="1"/>
  <c r="AI926" i="1"/>
  <c r="AJ926" i="1"/>
  <c r="AI927" i="1"/>
  <c r="AJ927" i="1"/>
  <c r="AI928" i="1"/>
  <c r="AJ928" i="1"/>
  <c r="AI929" i="1"/>
  <c r="AJ929" i="1"/>
  <c r="AI930" i="1"/>
  <c r="AJ930" i="1"/>
  <c r="AI931" i="1"/>
  <c r="AJ931" i="1"/>
  <c r="AI932" i="1"/>
  <c r="AJ932" i="1"/>
  <c r="AI933" i="1"/>
  <c r="AJ933" i="1"/>
  <c r="AI934" i="1"/>
  <c r="AJ934" i="1"/>
  <c r="AI935" i="1"/>
  <c r="AJ935" i="1"/>
  <c r="AI936" i="1"/>
  <c r="AJ936" i="1"/>
  <c r="AI937" i="1"/>
  <c r="AJ937" i="1"/>
  <c r="AI938" i="1"/>
  <c r="AJ938" i="1"/>
  <c r="AI939" i="1"/>
  <c r="AJ939" i="1"/>
  <c r="AI940" i="1"/>
  <c r="AJ940" i="1"/>
  <c r="AI941" i="1"/>
  <c r="AJ941" i="1"/>
  <c r="AI942" i="1"/>
  <c r="AJ942" i="1"/>
  <c r="AI943" i="1"/>
  <c r="AJ943" i="1"/>
  <c r="AI944" i="1"/>
  <c r="AJ944" i="1"/>
  <c r="AI945" i="1"/>
  <c r="AJ945" i="1"/>
  <c r="AI946" i="1"/>
  <c r="AJ946" i="1"/>
  <c r="AI947" i="1"/>
  <c r="AJ947" i="1"/>
  <c r="AI948" i="1"/>
  <c r="AJ948" i="1"/>
  <c r="AI949" i="1"/>
  <c r="AJ949" i="1"/>
  <c r="AI950" i="1"/>
  <c r="AJ950" i="1"/>
  <c r="AI951" i="1"/>
  <c r="AJ951" i="1"/>
  <c r="AI952" i="1"/>
  <c r="AJ952" i="1"/>
  <c r="AI953" i="1"/>
  <c r="AJ953" i="1"/>
  <c r="AI954" i="1"/>
  <c r="AJ954" i="1"/>
  <c r="AI955" i="1"/>
  <c r="AJ955" i="1"/>
  <c r="AI956" i="1"/>
  <c r="AJ956" i="1"/>
  <c r="AI957" i="1"/>
  <c r="AJ957" i="1"/>
  <c r="AI958" i="1"/>
  <c r="AJ958" i="1"/>
  <c r="AI959" i="1"/>
  <c r="AJ959" i="1"/>
  <c r="AI960" i="1"/>
  <c r="AJ960" i="1"/>
  <c r="AI961" i="1"/>
  <c r="AJ961" i="1"/>
  <c r="AI962" i="1"/>
  <c r="AJ962" i="1"/>
  <c r="AI963" i="1"/>
  <c r="AJ963" i="1"/>
  <c r="AI964" i="1"/>
  <c r="AJ964" i="1"/>
  <c r="AI965" i="1"/>
  <c r="AJ965" i="1"/>
  <c r="AI966" i="1"/>
  <c r="AJ966" i="1"/>
  <c r="AI967" i="1"/>
  <c r="AJ967" i="1"/>
  <c r="AI968" i="1"/>
  <c r="AJ968" i="1"/>
  <c r="AI969" i="1"/>
  <c r="AJ969" i="1"/>
  <c r="AI970" i="1"/>
  <c r="AJ970" i="1"/>
  <c r="AI971" i="1"/>
  <c r="AJ971" i="1"/>
  <c r="AI972" i="1"/>
  <c r="AJ972" i="1"/>
  <c r="AI973" i="1"/>
  <c r="AJ973" i="1"/>
  <c r="AI974" i="1"/>
  <c r="AJ974" i="1"/>
  <c r="AI975" i="1"/>
  <c r="AJ975" i="1"/>
  <c r="AI976" i="1"/>
  <c r="AJ976" i="1"/>
  <c r="AI977" i="1"/>
  <c r="AJ977" i="1"/>
  <c r="AI978" i="1"/>
  <c r="AJ978" i="1"/>
  <c r="AI979" i="1"/>
  <c r="AJ979" i="1"/>
  <c r="AI980" i="1"/>
  <c r="AJ980" i="1"/>
  <c r="AI981" i="1"/>
  <c r="AJ981" i="1"/>
  <c r="AI982" i="1"/>
  <c r="AJ982" i="1"/>
  <c r="AI983" i="1"/>
  <c r="AJ983" i="1"/>
  <c r="AI984" i="1"/>
  <c r="AJ984" i="1"/>
  <c r="AI985" i="1"/>
  <c r="AJ985" i="1"/>
  <c r="AI986" i="1"/>
  <c r="AJ986" i="1"/>
  <c r="AI987" i="1"/>
  <c r="AJ987" i="1"/>
  <c r="AI988" i="1"/>
  <c r="AJ988" i="1"/>
  <c r="AI989" i="1"/>
  <c r="AJ989" i="1"/>
  <c r="AI990" i="1"/>
  <c r="AJ990" i="1"/>
  <c r="AI991" i="1"/>
  <c r="AJ991" i="1"/>
  <c r="AI992" i="1"/>
  <c r="AJ992" i="1"/>
  <c r="AI993" i="1"/>
  <c r="AJ993" i="1"/>
  <c r="AI994" i="1"/>
  <c r="AJ994" i="1"/>
  <c r="AI995" i="1"/>
  <c r="AJ995" i="1"/>
  <c r="AI996" i="1"/>
  <c r="AJ996" i="1"/>
  <c r="AI997" i="1"/>
  <c r="AJ997" i="1"/>
  <c r="AI998" i="1"/>
  <c r="AJ998" i="1"/>
  <c r="AI999" i="1"/>
  <c r="AJ999" i="1"/>
  <c r="AI1000" i="1"/>
  <c r="AJ1000" i="1"/>
  <c r="AI1001" i="1"/>
  <c r="AJ1001" i="1"/>
  <c r="AI1002" i="1"/>
  <c r="AJ1002" i="1"/>
  <c r="AI1003" i="1"/>
  <c r="AJ1003" i="1"/>
  <c r="AI1004" i="1"/>
  <c r="AJ1004" i="1"/>
  <c r="AI1005" i="1"/>
  <c r="AJ1005" i="1"/>
  <c r="AI1006" i="1"/>
  <c r="AJ1006" i="1"/>
  <c r="AI1007" i="1"/>
  <c r="AJ1007" i="1"/>
  <c r="AI1008" i="1"/>
  <c r="AJ1008" i="1"/>
  <c r="AI1009" i="1"/>
  <c r="AJ1009" i="1"/>
  <c r="AI1010" i="1"/>
  <c r="AJ1010" i="1"/>
  <c r="AI1011" i="1"/>
  <c r="AJ1011" i="1"/>
  <c r="AI1012" i="1"/>
  <c r="AJ1012" i="1"/>
  <c r="AI1013" i="1"/>
  <c r="AJ1013" i="1"/>
  <c r="AI1014" i="1"/>
  <c r="AJ1014" i="1"/>
  <c r="AI1015" i="1"/>
  <c r="AJ1015" i="1"/>
  <c r="AI1016" i="1"/>
  <c r="AJ1016" i="1"/>
  <c r="AI1017" i="1"/>
  <c r="AJ1017" i="1"/>
  <c r="AI1018" i="1"/>
  <c r="AJ1018" i="1"/>
  <c r="AI1019" i="1"/>
  <c r="AJ1019" i="1"/>
  <c r="AI1020" i="1"/>
  <c r="AJ1020" i="1"/>
  <c r="AI1021" i="1"/>
  <c r="AJ1021" i="1"/>
  <c r="AI1022" i="1"/>
  <c r="AJ1022" i="1"/>
  <c r="AI1023" i="1"/>
  <c r="AJ1023" i="1"/>
  <c r="AI1024" i="1"/>
  <c r="AJ1024" i="1"/>
  <c r="AI1025" i="1"/>
  <c r="AJ1025" i="1"/>
  <c r="AI1026" i="1"/>
  <c r="AJ1026" i="1"/>
  <c r="AI1027" i="1"/>
  <c r="AJ1027" i="1"/>
  <c r="AI1028" i="1"/>
  <c r="AJ1028" i="1"/>
  <c r="AI1029" i="1"/>
  <c r="AJ1029" i="1"/>
  <c r="AI1030" i="1"/>
  <c r="AJ1030" i="1"/>
  <c r="AI1031" i="1"/>
  <c r="AJ1031" i="1"/>
  <c r="AI1032" i="1"/>
  <c r="AJ1032" i="1"/>
  <c r="AI1033" i="1"/>
  <c r="AJ1033" i="1"/>
  <c r="AI1034" i="1"/>
  <c r="AJ1034" i="1"/>
  <c r="AI1035" i="1"/>
  <c r="AJ1035" i="1"/>
  <c r="AI1036" i="1"/>
  <c r="AJ1036" i="1"/>
  <c r="AI1037" i="1"/>
  <c r="AJ1037" i="1"/>
  <c r="AI1038" i="1"/>
  <c r="AJ1038" i="1"/>
  <c r="AI1039" i="1"/>
  <c r="AJ1039" i="1"/>
  <c r="AI1040" i="1"/>
  <c r="AJ1040" i="1"/>
  <c r="AI1041" i="1"/>
  <c r="AJ1041" i="1"/>
  <c r="AI1042" i="1"/>
  <c r="AJ1042" i="1"/>
  <c r="AI1043" i="1"/>
  <c r="AJ1043" i="1"/>
  <c r="AI1044" i="1"/>
  <c r="AJ1044" i="1"/>
  <c r="AI1045" i="1"/>
  <c r="AJ1045" i="1"/>
  <c r="AI1046" i="1"/>
  <c r="AJ1046" i="1"/>
  <c r="AI1047" i="1"/>
  <c r="AJ1047" i="1"/>
  <c r="AI1048" i="1"/>
  <c r="AJ1048" i="1"/>
  <c r="AI1049" i="1"/>
  <c r="AJ1049" i="1"/>
  <c r="AI1050" i="1"/>
  <c r="AJ1050" i="1"/>
  <c r="AI1051" i="1"/>
  <c r="AJ1051" i="1"/>
  <c r="AI1052" i="1"/>
  <c r="AJ1052" i="1"/>
  <c r="AI1053" i="1"/>
  <c r="AJ1053" i="1"/>
  <c r="AI1054" i="1"/>
  <c r="AJ1054" i="1"/>
  <c r="AI1055" i="1"/>
  <c r="AJ1055" i="1"/>
  <c r="AI1056" i="1"/>
  <c r="AJ1056" i="1"/>
  <c r="AI1057" i="1"/>
  <c r="AJ1057" i="1"/>
  <c r="AI1058" i="1"/>
  <c r="AJ1058" i="1"/>
  <c r="AI1059" i="1"/>
  <c r="AJ1059" i="1"/>
  <c r="AI1060" i="1"/>
  <c r="AJ1060" i="1"/>
  <c r="AI1061" i="1"/>
  <c r="AJ1061" i="1"/>
  <c r="AI1062" i="1"/>
  <c r="AJ1062" i="1"/>
  <c r="AI1063" i="1"/>
  <c r="AJ1063" i="1"/>
  <c r="AI1064" i="1"/>
  <c r="AJ1064" i="1"/>
  <c r="AI1065" i="1"/>
  <c r="AJ1065" i="1"/>
  <c r="AI1066" i="1"/>
  <c r="AJ1066" i="1"/>
  <c r="AI1067" i="1"/>
  <c r="AJ1067" i="1"/>
  <c r="AI1068" i="1"/>
  <c r="AJ1068" i="1"/>
  <c r="AI1069" i="1"/>
  <c r="AJ1069" i="1"/>
  <c r="AI1070" i="1"/>
  <c r="AJ1070" i="1"/>
  <c r="AI1071" i="1"/>
  <c r="AJ1071" i="1"/>
  <c r="AI1072" i="1"/>
  <c r="AJ1072" i="1"/>
  <c r="AI1073" i="1"/>
  <c r="AJ1073" i="1"/>
  <c r="AI1074" i="1"/>
  <c r="AJ1074" i="1"/>
  <c r="AI1075" i="1"/>
  <c r="AJ1075" i="1"/>
  <c r="AI1076" i="1"/>
  <c r="AJ1076" i="1"/>
  <c r="AI1077" i="1"/>
  <c r="AJ1077" i="1"/>
  <c r="AI1078" i="1"/>
  <c r="AJ1078" i="1"/>
  <c r="AI1079" i="1"/>
  <c r="AJ1079" i="1"/>
  <c r="AI1080" i="1"/>
  <c r="AJ1080" i="1"/>
  <c r="AI1081" i="1"/>
  <c r="AJ1081" i="1"/>
  <c r="AI1082" i="1"/>
  <c r="AJ1082" i="1"/>
  <c r="AI1083" i="1"/>
  <c r="AJ1083" i="1"/>
  <c r="AI1084" i="1"/>
  <c r="AJ1084" i="1"/>
  <c r="AI1085" i="1"/>
  <c r="AJ1085" i="1"/>
  <c r="AI1086" i="1"/>
  <c r="AJ1086" i="1"/>
  <c r="AI1087" i="1"/>
  <c r="AJ1087" i="1"/>
  <c r="AI1088" i="1"/>
  <c r="AJ1088" i="1"/>
  <c r="AI1089" i="1"/>
  <c r="AJ1089" i="1"/>
  <c r="AI1090" i="1"/>
  <c r="AJ1090" i="1"/>
  <c r="AI1091" i="1"/>
  <c r="AJ1091" i="1"/>
  <c r="AI1092" i="1"/>
  <c r="AJ1092" i="1"/>
  <c r="AI1093" i="1"/>
  <c r="AJ1093" i="1"/>
  <c r="AI1094" i="1"/>
  <c r="AJ1094" i="1"/>
  <c r="AI1095" i="1"/>
  <c r="AJ1095" i="1"/>
  <c r="AI1096" i="1"/>
  <c r="AJ1096" i="1"/>
  <c r="AI1097" i="1"/>
  <c r="AJ1097" i="1"/>
  <c r="AI1098" i="1"/>
  <c r="AJ1098" i="1"/>
  <c r="AI1099" i="1"/>
  <c r="AJ1099" i="1"/>
  <c r="AI1100" i="1"/>
  <c r="AJ1100" i="1"/>
  <c r="AI1101" i="1"/>
  <c r="AJ1101" i="1"/>
  <c r="AI1102" i="1"/>
  <c r="AJ1102" i="1"/>
  <c r="AI1103" i="1"/>
  <c r="AJ1103" i="1"/>
  <c r="AI1104" i="1"/>
  <c r="AJ1104" i="1"/>
  <c r="AI1105" i="1"/>
  <c r="AJ1105" i="1"/>
  <c r="AI1106" i="1"/>
  <c r="AJ1106" i="1"/>
  <c r="AI1107" i="1"/>
  <c r="AJ1107" i="1"/>
  <c r="AI1108" i="1"/>
  <c r="AJ1108" i="1"/>
  <c r="AI1109" i="1"/>
  <c r="AJ1109" i="1"/>
  <c r="AI1110" i="1"/>
  <c r="AJ1110" i="1"/>
  <c r="AI1111" i="1"/>
  <c r="AJ1111" i="1"/>
  <c r="AI1112" i="1"/>
  <c r="AJ1112" i="1"/>
  <c r="AI1113" i="1"/>
  <c r="AJ1113" i="1"/>
  <c r="AI1114" i="1"/>
  <c r="AJ1114" i="1"/>
  <c r="AI1115" i="1"/>
  <c r="AJ1115" i="1"/>
  <c r="AI1116" i="1"/>
  <c r="AJ1116" i="1"/>
  <c r="AI1117" i="1"/>
  <c r="AJ1117" i="1"/>
  <c r="AI1118" i="1"/>
  <c r="AJ1118" i="1"/>
  <c r="AI1119" i="1"/>
  <c r="AJ1119" i="1"/>
  <c r="AI1120" i="1"/>
  <c r="AJ1120" i="1"/>
  <c r="AI1121" i="1"/>
  <c r="AJ1121" i="1"/>
  <c r="AI1122" i="1"/>
  <c r="AJ1122" i="1"/>
  <c r="AI1123" i="1"/>
  <c r="AJ1123" i="1"/>
  <c r="AI1124" i="1"/>
  <c r="AJ1124" i="1"/>
  <c r="AI1125" i="1"/>
  <c r="AJ1125" i="1"/>
  <c r="AI1126" i="1"/>
  <c r="AJ1126" i="1"/>
  <c r="AI1127" i="1"/>
  <c r="AJ1127" i="1"/>
  <c r="AI1128" i="1"/>
  <c r="AJ1128" i="1"/>
  <c r="AI1129" i="1"/>
  <c r="AJ1129" i="1"/>
  <c r="AI1130" i="1"/>
  <c r="AJ1130" i="1"/>
  <c r="AI1131" i="1"/>
  <c r="AJ1131" i="1"/>
  <c r="AI1132" i="1"/>
  <c r="AJ1132" i="1"/>
  <c r="AI1133" i="1"/>
  <c r="AJ1133" i="1"/>
  <c r="AI1134" i="1"/>
  <c r="AJ1134" i="1"/>
  <c r="AI1135" i="1"/>
  <c r="AJ1135" i="1"/>
  <c r="AI1136" i="1"/>
  <c r="AJ1136" i="1"/>
  <c r="AI1137" i="1"/>
  <c r="AJ1137" i="1"/>
  <c r="AI1138" i="1"/>
  <c r="AJ1138" i="1"/>
  <c r="AI1139" i="1"/>
  <c r="AJ1139" i="1"/>
  <c r="AI1140" i="1"/>
  <c r="AJ1140" i="1"/>
  <c r="AI1141" i="1"/>
  <c r="AJ1141" i="1"/>
  <c r="AI1142" i="1"/>
  <c r="AJ1142" i="1"/>
  <c r="AI1143" i="1"/>
  <c r="AJ1143" i="1"/>
  <c r="AI1144" i="1"/>
  <c r="AJ1144" i="1"/>
  <c r="AI1145" i="1"/>
  <c r="AJ1145" i="1"/>
  <c r="AI1146" i="1"/>
  <c r="AJ1146" i="1"/>
  <c r="AI1147" i="1"/>
  <c r="AJ1147" i="1"/>
  <c r="AI1148" i="1"/>
  <c r="AJ1148" i="1"/>
  <c r="AI1149" i="1"/>
  <c r="AJ1149" i="1"/>
  <c r="AI1150" i="1"/>
  <c r="AJ1150" i="1"/>
  <c r="AI1151" i="1"/>
  <c r="AJ1151" i="1"/>
  <c r="AI1152" i="1"/>
  <c r="AJ1152" i="1"/>
  <c r="AI1153" i="1"/>
  <c r="AJ1153" i="1"/>
  <c r="AI1154" i="1"/>
  <c r="AJ1154" i="1"/>
  <c r="AI1155" i="1"/>
  <c r="AJ1155" i="1"/>
  <c r="AI1156" i="1"/>
  <c r="AJ1156" i="1"/>
  <c r="AI1157" i="1"/>
  <c r="AJ1157" i="1"/>
  <c r="AI1158" i="1"/>
  <c r="AJ1158" i="1"/>
  <c r="AI1159" i="1"/>
  <c r="AJ1159" i="1"/>
  <c r="AI1160" i="1"/>
  <c r="AJ1160" i="1"/>
  <c r="AI1161" i="1"/>
  <c r="AJ1161" i="1"/>
  <c r="AI1162" i="1"/>
  <c r="AJ1162" i="1"/>
  <c r="AI1163" i="1"/>
  <c r="AJ1163" i="1"/>
  <c r="AI1164" i="1"/>
  <c r="AJ1164" i="1"/>
  <c r="AI1165" i="1"/>
  <c r="AJ1165" i="1"/>
  <c r="AI1166" i="1"/>
  <c r="AJ1166" i="1"/>
  <c r="AI1167" i="1"/>
  <c r="AJ1167" i="1"/>
  <c r="AI1168" i="1"/>
  <c r="AJ1168" i="1"/>
  <c r="AI1169" i="1"/>
  <c r="AJ1169" i="1"/>
  <c r="AI1170" i="1"/>
  <c r="AJ1170" i="1"/>
  <c r="AI1171" i="1"/>
  <c r="AJ1171" i="1"/>
  <c r="AI1172" i="1"/>
  <c r="AJ1172" i="1"/>
  <c r="AI1173" i="1"/>
  <c r="AJ1173" i="1"/>
  <c r="AI1174" i="1"/>
  <c r="AJ1174" i="1"/>
  <c r="AI1175" i="1"/>
  <c r="AJ1175" i="1"/>
  <c r="AI1176" i="1"/>
  <c r="AJ1176" i="1"/>
  <c r="AI1177" i="1"/>
  <c r="AJ1177" i="1"/>
  <c r="AI1178" i="1"/>
  <c r="AJ1178" i="1"/>
  <c r="AI1179" i="1"/>
  <c r="AJ1179" i="1"/>
  <c r="AI1180" i="1"/>
  <c r="AJ1180" i="1"/>
  <c r="AI1181" i="1"/>
  <c r="AJ1181" i="1"/>
  <c r="AI1182" i="1"/>
  <c r="AJ1182" i="1"/>
  <c r="AI1183" i="1"/>
  <c r="AJ1183" i="1"/>
  <c r="AI1184" i="1"/>
  <c r="AJ1184" i="1"/>
  <c r="AI1185" i="1"/>
  <c r="AJ1185" i="1"/>
  <c r="AI1186" i="1"/>
  <c r="AJ1186" i="1"/>
  <c r="AI1187" i="1"/>
  <c r="AJ1187" i="1"/>
  <c r="AI1188" i="1"/>
  <c r="AJ1188" i="1"/>
  <c r="AI1189" i="1"/>
  <c r="AJ1189" i="1"/>
  <c r="AI1190" i="1"/>
  <c r="AJ1190" i="1"/>
  <c r="AI1191" i="1"/>
  <c r="AJ1191" i="1"/>
  <c r="AI1192" i="1"/>
  <c r="AJ1192" i="1"/>
  <c r="AI1193" i="1"/>
  <c r="AJ1193" i="1"/>
  <c r="AI1194" i="1"/>
  <c r="AJ1194" i="1"/>
  <c r="AI1195" i="1"/>
  <c r="AJ1195" i="1"/>
  <c r="AI1196" i="1"/>
  <c r="AJ1196" i="1"/>
  <c r="AI1197" i="1"/>
  <c r="AJ1197" i="1"/>
  <c r="AI1198" i="1"/>
  <c r="AJ1198" i="1"/>
  <c r="AI1199" i="1"/>
  <c r="AJ1199" i="1"/>
  <c r="AI1200" i="1"/>
  <c r="AJ1200" i="1"/>
  <c r="AI1201" i="1"/>
  <c r="AJ1201" i="1"/>
  <c r="AI1202" i="1"/>
  <c r="AJ1202" i="1"/>
  <c r="AI1203" i="1"/>
  <c r="AJ1203" i="1"/>
  <c r="AI1204" i="1"/>
  <c r="AJ1204" i="1"/>
  <c r="AI1205" i="1"/>
  <c r="AJ1205" i="1"/>
  <c r="AI1206" i="1"/>
  <c r="AJ1206" i="1"/>
  <c r="AI1207" i="1"/>
  <c r="AJ1207" i="1"/>
  <c r="AI1208" i="1"/>
  <c r="AJ1208" i="1"/>
  <c r="AI1209" i="1"/>
  <c r="AJ1209" i="1"/>
  <c r="AI1210" i="1"/>
  <c r="AJ1210" i="1"/>
  <c r="AI1211" i="1"/>
  <c r="AJ1211" i="1"/>
  <c r="AI1212" i="1"/>
  <c r="AJ1212" i="1"/>
  <c r="AI1213" i="1"/>
  <c r="AJ1213" i="1"/>
  <c r="AI1214" i="1"/>
  <c r="AJ1214" i="1"/>
  <c r="AI1215" i="1"/>
  <c r="AJ1215" i="1"/>
  <c r="AI1216" i="1"/>
  <c r="AJ1216" i="1"/>
  <c r="AI1217" i="1"/>
  <c r="AJ1217" i="1"/>
  <c r="AI1218" i="1"/>
  <c r="AJ1218" i="1"/>
  <c r="AI1219" i="1"/>
  <c r="AJ1219" i="1"/>
  <c r="AI1220" i="1"/>
  <c r="AJ1220" i="1"/>
  <c r="AI1221" i="1"/>
  <c r="AJ1221" i="1"/>
  <c r="AI1222" i="1"/>
  <c r="AJ1222" i="1"/>
  <c r="AI1223" i="1"/>
  <c r="AJ1223" i="1"/>
  <c r="AI1224" i="1"/>
  <c r="AJ1224" i="1"/>
  <c r="AI1225" i="1"/>
  <c r="AJ1225" i="1"/>
  <c r="AI1226" i="1"/>
  <c r="AJ1226" i="1"/>
  <c r="AI1227" i="1"/>
  <c r="AJ1227" i="1"/>
  <c r="AI1228" i="1"/>
  <c r="AJ1228" i="1"/>
  <c r="AI1229" i="1"/>
  <c r="AJ1229" i="1"/>
  <c r="AI1230" i="1"/>
  <c r="AJ1230" i="1"/>
  <c r="AI1231" i="1"/>
  <c r="AJ1231" i="1"/>
  <c r="AI1232" i="1"/>
  <c r="AJ1232" i="1"/>
  <c r="AI1233" i="1"/>
  <c r="AJ1233" i="1"/>
  <c r="AI1234" i="1"/>
  <c r="AJ1234" i="1"/>
  <c r="AI1235" i="1"/>
  <c r="AJ1235" i="1"/>
  <c r="AI1236" i="1"/>
  <c r="AJ1236" i="1"/>
  <c r="AI1237" i="1"/>
  <c r="AJ1237" i="1"/>
  <c r="AI1238" i="1"/>
  <c r="AJ1238" i="1"/>
  <c r="AI1239" i="1"/>
  <c r="AJ1239" i="1"/>
  <c r="AI1240" i="1"/>
  <c r="AJ1240" i="1"/>
  <c r="AI1241" i="1"/>
  <c r="AJ1241" i="1"/>
  <c r="AI1242" i="1"/>
  <c r="AJ1242" i="1"/>
  <c r="AI1243" i="1"/>
  <c r="AJ1243" i="1"/>
  <c r="AI1244" i="1"/>
  <c r="AJ1244" i="1"/>
  <c r="AI1245" i="1"/>
  <c r="AJ1245" i="1"/>
  <c r="AI1246" i="1"/>
  <c r="AJ1246" i="1"/>
  <c r="AI1247" i="1"/>
  <c r="AJ1247" i="1"/>
  <c r="AI1248" i="1"/>
  <c r="AJ1248" i="1"/>
  <c r="AI1249" i="1"/>
  <c r="AJ1249" i="1"/>
  <c r="AI1250" i="1"/>
  <c r="AJ1250" i="1"/>
  <c r="AI1251" i="1"/>
  <c r="AJ1251" i="1"/>
  <c r="AI1252" i="1"/>
  <c r="AJ1252" i="1"/>
  <c r="AI1253" i="1"/>
  <c r="AJ1253" i="1"/>
  <c r="AI1254" i="1"/>
  <c r="AJ1254" i="1"/>
  <c r="AI1255" i="1"/>
  <c r="AJ1255" i="1"/>
  <c r="AI1256" i="1"/>
  <c r="AJ1256" i="1"/>
  <c r="AI1257" i="1"/>
  <c r="AJ1257" i="1"/>
  <c r="AI1258" i="1"/>
  <c r="AJ1258" i="1"/>
  <c r="AI1259" i="1"/>
  <c r="AJ1259" i="1"/>
  <c r="AI1260" i="1"/>
  <c r="AJ1260" i="1"/>
  <c r="AI1261" i="1"/>
  <c r="AJ1261" i="1"/>
  <c r="AI1262" i="1"/>
  <c r="AJ1262" i="1"/>
  <c r="AI1263" i="1"/>
  <c r="AJ1263" i="1"/>
  <c r="AI1264" i="1"/>
  <c r="AJ1264" i="1"/>
  <c r="AI1265" i="1"/>
  <c r="AJ1265" i="1"/>
  <c r="AI1266" i="1"/>
  <c r="AJ1266" i="1"/>
  <c r="AI1267" i="1"/>
  <c r="AJ1267" i="1"/>
  <c r="AI1268" i="1"/>
  <c r="AJ1268" i="1"/>
  <c r="AI1269" i="1"/>
  <c r="AJ1269" i="1"/>
  <c r="AI1270" i="1"/>
  <c r="AJ1270" i="1"/>
  <c r="AI1271" i="1"/>
  <c r="AJ1271" i="1"/>
  <c r="AI1272" i="1"/>
  <c r="AJ1272" i="1"/>
  <c r="AI1273" i="1"/>
  <c r="AJ1273" i="1"/>
  <c r="AI1274" i="1"/>
  <c r="AJ1274" i="1"/>
  <c r="AI1275" i="1"/>
  <c r="AJ1275" i="1"/>
  <c r="AI1276" i="1"/>
  <c r="AJ1276" i="1"/>
  <c r="AI1277" i="1"/>
  <c r="AJ1277" i="1"/>
  <c r="AI1278" i="1"/>
  <c r="AJ1278" i="1"/>
  <c r="AI1279" i="1"/>
  <c r="AJ1279" i="1"/>
  <c r="AI1280" i="1"/>
  <c r="AJ1280" i="1"/>
  <c r="AI1281" i="1"/>
  <c r="AJ1281" i="1"/>
  <c r="AI1282" i="1"/>
  <c r="AJ1282" i="1"/>
  <c r="AI1283" i="1"/>
  <c r="AJ1283" i="1"/>
  <c r="AI1284" i="1"/>
  <c r="AJ1284" i="1"/>
  <c r="AI1285" i="1"/>
  <c r="AJ1285" i="1"/>
  <c r="AI1286" i="1"/>
  <c r="AJ1286" i="1"/>
  <c r="AI1287" i="1"/>
  <c r="AJ1287" i="1"/>
  <c r="AI1288" i="1"/>
  <c r="AJ1288" i="1"/>
  <c r="AI1289" i="1"/>
  <c r="AJ1289" i="1"/>
  <c r="AI1290" i="1"/>
  <c r="AJ1290" i="1"/>
  <c r="AI1291" i="1"/>
  <c r="AJ1291" i="1"/>
  <c r="AI1292" i="1"/>
  <c r="AJ1292" i="1"/>
  <c r="AI1293" i="1"/>
  <c r="AJ1293" i="1"/>
  <c r="AI1294" i="1"/>
  <c r="AJ1294" i="1"/>
  <c r="AI1295" i="1"/>
  <c r="AJ1295" i="1"/>
  <c r="AI1296" i="1"/>
  <c r="AJ1296" i="1"/>
  <c r="AI1297" i="1"/>
  <c r="AJ1297" i="1"/>
  <c r="AI1298" i="1"/>
  <c r="AJ1298" i="1"/>
  <c r="AI1299" i="1"/>
  <c r="AJ1299" i="1"/>
  <c r="AI1300" i="1"/>
  <c r="AJ1300" i="1"/>
  <c r="AI1301" i="1"/>
  <c r="AJ1301" i="1"/>
  <c r="AI1302" i="1"/>
  <c r="AJ1302" i="1"/>
  <c r="AI1303" i="1"/>
  <c r="AJ1303" i="1"/>
  <c r="AI1304" i="1"/>
  <c r="AJ1304" i="1"/>
  <c r="AI1305" i="1"/>
  <c r="AJ1305" i="1"/>
  <c r="AI1306" i="1"/>
  <c r="AJ1306" i="1"/>
  <c r="AI1307" i="1"/>
  <c r="AJ1307" i="1"/>
  <c r="AI1308" i="1"/>
  <c r="AJ1308" i="1"/>
  <c r="AI1309" i="1"/>
  <c r="AJ1309" i="1"/>
  <c r="AI1310" i="1"/>
  <c r="AJ1310" i="1"/>
  <c r="AI1311" i="1"/>
  <c r="AJ1311" i="1"/>
  <c r="AI1312" i="1"/>
  <c r="AJ1312" i="1"/>
  <c r="AI1313" i="1"/>
  <c r="AJ1313" i="1"/>
  <c r="AI1314" i="1"/>
  <c r="AJ1314" i="1"/>
  <c r="AI1315" i="1"/>
  <c r="AJ1315" i="1"/>
  <c r="AI1316" i="1"/>
  <c r="AJ1316" i="1"/>
  <c r="AI1317" i="1"/>
  <c r="AJ1317" i="1"/>
  <c r="AI1318" i="1"/>
  <c r="AJ1318" i="1"/>
  <c r="AI1319" i="1"/>
  <c r="AJ1319" i="1"/>
  <c r="AI1320" i="1"/>
  <c r="AJ1320" i="1"/>
  <c r="AI1321" i="1"/>
  <c r="AJ1321" i="1"/>
  <c r="AI1322" i="1"/>
  <c r="AJ1322" i="1"/>
  <c r="AI1323" i="1"/>
  <c r="AJ1323" i="1"/>
  <c r="AI1324" i="1"/>
  <c r="AJ1324" i="1"/>
  <c r="AI1325" i="1"/>
  <c r="AJ1325" i="1"/>
  <c r="AI1326" i="1"/>
  <c r="AJ1326" i="1"/>
  <c r="AI1327" i="1"/>
  <c r="AJ1327" i="1"/>
  <c r="AI1328" i="1"/>
  <c r="AJ1328" i="1"/>
  <c r="AI1329" i="1"/>
  <c r="AJ1329" i="1"/>
  <c r="AI1330" i="1"/>
  <c r="AJ1330" i="1"/>
  <c r="AI1331" i="1"/>
  <c r="AJ1331" i="1"/>
  <c r="AI1332" i="1"/>
  <c r="AJ1332" i="1"/>
  <c r="AI1333" i="1"/>
  <c r="AJ1333" i="1"/>
  <c r="AI1334" i="1"/>
  <c r="AJ1334" i="1"/>
  <c r="AI1335" i="1"/>
  <c r="AJ1335" i="1"/>
  <c r="AI1336" i="1"/>
  <c r="AJ1336" i="1"/>
  <c r="AI1337" i="1"/>
  <c r="AJ1337" i="1"/>
  <c r="AI1338" i="1"/>
  <c r="AJ1338" i="1"/>
  <c r="AI1339" i="1"/>
  <c r="AJ1339" i="1"/>
  <c r="AI1340" i="1"/>
  <c r="AJ1340" i="1"/>
  <c r="AI1341" i="1"/>
  <c r="AJ1341" i="1"/>
  <c r="AI1342" i="1"/>
  <c r="AJ1342" i="1"/>
  <c r="AI1343" i="1"/>
  <c r="AJ1343" i="1"/>
  <c r="AI1344" i="1"/>
  <c r="AJ1344" i="1"/>
  <c r="AI1345" i="1"/>
  <c r="AJ1345" i="1"/>
  <c r="AI1346" i="1"/>
  <c r="AJ1346" i="1"/>
  <c r="AI1347" i="1"/>
  <c r="AJ1347" i="1"/>
  <c r="AI1348" i="1"/>
  <c r="AJ1348" i="1"/>
  <c r="AI1349" i="1"/>
  <c r="AJ1349" i="1"/>
  <c r="AI1350" i="1"/>
  <c r="AJ1350" i="1"/>
  <c r="AI1351" i="1"/>
  <c r="AJ1351" i="1"/>
  <c r="AI1352" i="1"/>
  <c r="AJ1352" i="1"/>
  <c r="AI1353" i="1"/>
  <c r="AJ1353" i="1"/>
  <c r="AI1354" i="1"/>
  <c r="AJ1354" i="1"/>
  <c r="AI1355" i="1"/>
  <c r="AJ1355" i="1"/>
  <c r="AI1356" i="1"/>
  <c r="AJ1356" i="1"/>
  <c r="AI1357" i="1"/>
  <c r="AJ1357" i="1"/>
  <c r="AI1358" i="1"/>
  <c r="AJ1358" i="1"/>
  <c r="AI1359" i="1"/>
  <c r="AJ1359" i="1"/>
  <c r="AI1360" i="1"/>
  <c r="AJ1360" i="1"/>
  <c r="AI1361" i="1"/>
  <c r="AJ1361" i="1"/>
  <c r="AI1362" i="1"/>
  <c r="AJ1362" i="1"/>
  <c r="AI1363" i="1"/>
  <c r="AJ1363" i="1"/>
  <c r="AI1364" i="1"/>
  <c r="AJ1364" i="1"/>
  <c r="AI1365" i="1"/>
  <c r="AJ1365" i="1"/>
  <c r="AI1366" i="1"/>
  <c r="AJ1366" i="1"/>
  <c r="AI1367" i="1"/>
  <c r="AJ1367" i="1"/>
  <c r="AI1368" i="1"/>
  <c r="AJ1368" i="1"/>
  <c r="AI1369" i="1"/>
  <c r="AJ1369" i="1"/>
  <c r="AI1370" i="1"/>
  <c r="AJ1370" i="1"/>
  <c r="AI1371" i="1"/>
  <c r="AJ1371" i="1"/>
  <c r="AI1372" i="1"/>
  <c r="AJ1372" i="1"/>
  <c r="AI1373" i="1"/>
  <c r="AJ1373" i="1"/>
  <c r="AI1374" i="1"/>
  <c r="AJ1374" i="1"/>
  <c r="AI1375" i="1"/>
  <c r="AJ1375" i="1"/>
  <c r="AI1376" i="1"/>
  <c r="AJ1376" i="1"/>
  <c r="AI1377" i="1"/>
  <c r="AJ1377" i="1"/>
  <c r="AI1378" i="1"/>
  <c r="AJ1378" i="1"/>
  <c r="AI1379" i="1"/>
  <c r="AJ1379" i="1"/>
  <c r="AI1380" i="1"/>
  <c r="AJ1380" i="1"/>
  <c r="AI1381" i="1"/>
  <c r="AJ1381" i="1"/>
  <c r="AI1382" i="1"/>
  <c r="AJ1382" i="1"/>
  <c r="AI1383" i="1"/>
  <c r="AJ1383" i="1"/>
  <c r="AI1384" i="1"/>
  <c r="AJ1384" i="1"/>
  <c r="AI1385" i="1"/>
  <c r="AJ1385" i="1"/>
  <c r="AI1386" i="1"/>
  <c r="AJ1386" i="1"/>
  <c r="AI1387" i="1"/>
  <c r="AJ1387" i="1"/>
  <c r="AI1388" i="1"/>
  <c r="AJ1388" i="1"/>
  <c r="AI1389" i="1"/>
  <c r="AJ1389" i="1"/>
  <c r="AI1390" i="1"/>
  <c r="AJ1390" i="1"/>
  <c r="AI1391" i="1"/>
  <c r="AJ1391" i="1"/>
  <c r="AI1392" i="1"/>
  <c r="AJ1392" i="1"/>
  <c r="AI1393" i="1"/>
  <c r="AJ1393" i="1"/>
  <c r="AI1394" i="1"/>
  <c r="AJ1394" i="1"/>
  <c r="AI1395" i="1"/>
  <c r="AJ1395" i="1"/>
  <c r="AI1396" i="1"/>
  <c r="AJ1396" i="1"/>
  <c r="AI1397" i="1"/>
  <c r="AJ1397" i="1"/>
  <c r="AI1398" i="1"/>
  <c r="AJ1398" i="1"/>
  <c r="AI1399" i="1"/>
  <c r="AJ1399" i="1"/>
  <c r="AI1400" i="1"/>
  <c r="AJ1400" i="1"/>
  <c r="AI1401" i="1"/>
  <c r="AJ1401" i="1"/>
  <c r="AI1402" i="1"/>
  <c r="AJ1402" i="1"/>
  <c r="AI1403" i="1"/>
  <c r="AJ1403" i="1"/>
  <c r="AI1404" i="1"/>
  <c r="AJ1404" i="1"/>
  <c r="AI1405" i="1"/>
  <c r="AJ1405" i="1"/>
  <c r="AI1406" i="1"/>
  <c r="AJ1406" i="1"/>
  <c r="AI1407" i="1"/>
  <c r="AJ1407" i="1"/>
  <c r="AI1408" i="1"/>
  <c r="AJ1408" i="1"/>
  <c r="AI1409" i="1"/>
  <c r="AJ1409" i="1"/>
  <c r="AI1410" i="1"/>
  <c r="AJ1410" i="1"/>
  <c r="AI1411" i="1"/>
  <c r="AJ1411" i="1"/>
  <c r="AI1412" i="1"/>
  <c r="AJ1412" i="1"/>
  <c r="AI1413" i="1"/>
  <c r="AJ1413" i="1"/>
  <c r="AI1414" i="1"/>
  <c r="AJ1414" i="1"/>
  <c r="AI1415" i="1"/>
  <c r="AJ1415" i="1"/>
  <c r="AI1416" i="1"/>
  <c r="AJ1416" i="1"/>
  <c r="AI1417" i="1"/>
  <c r="AJ1417" i="1"/>
  <c r="AI1418" i="1"/>
  <c r="AJ1418" i="1"/>
  <c r="AI1419" i="1"/>
  <c r="AJ1419" i="1"/>
  <c r="AI1420" i="1"/>
  <c r="AJ1420" i="1"/>
  <c r="AI1421" i="1"/>
  <c r="AJ1421" i="1"/>
  <c r="AI1422" i="1"/>
  <c r="AJ1422" i="1"/>
  <c r="AI1423" i="1"/>
  <c r="AJ1423" i="1"/>
  <c r="AI1424" i="1"/>
  <c r="AJ1424" i="1"/>
  <c r="AI1425" i="1"/>
  <c r="AJ1425" i="1"/>
  <c r="AI1426" i="1"/>
  <c r="AJ1426" i="1"/>
  <c r="AI1427" i="1"/>
  <c r="AJ1427" i="1"/>
  <c r="AI1428" i="1"/>
  <c r="AJ1428" i="1"/>
  <c r="AI1429" i="1"/>
  <c r="AJ1429" i="1"/>
  <c r="AI1430" i="1"/>
  <c r="AJ1430" i="1"/>
  <c r="AI1431" i="1"/>
  <c r="AJ1431" i="1"/>
  <c r="AI1432" i="1"/>
  <c r="AJ1432" i="1"/>
  <c r="AI1433" i="1"/>
  <c r="AJ1433" i="1"/>
  <c r="AI1434" i="1"/>
  <c r="AJ1434" i="1"/>
  <c r="AI1435" i="1"/>
  <c r="AJ1435" i="1"/>
  <c r="AI1436" i="1"/>
  <c r="AJ1436" i="1"/>
  <c r="AI1437" i="1"/>
  <c r="AJ1437" i="1"/>
  <c r="AI1438" i="1"/>
  <c r="AJ1438" i="1"/>
  <c r="AI1439" i="1"/>
  <c r="AJ1439" i="1"/>
  <c r="AI1440" i="1"/>
  <c r="AJ1440" i="1"/>
  <c r="AI1441" i="1"/>
  <c r="AJ1441" i="1"/>
  <c r="AI1442" i="1"/>
  <c r="AJ1442" i="1"/>
  <c r="AI1443" i="1"/>
  <c r="AJ1443" i="1"/>
  <c r="AI1444" i="1"/>
  <c r="AJ1444" i="1"/>
  <c r="AI1445" i="1"/>
  <c r="AJ1445" i="1"/>
  <c r="AI1446" i="1"/>
  <c r="AJ1446" i="1"/>
  <c r="AI1447" i="1"/>
  <c r="AJ1447" i="1"/>
  <c r="AI1448" i="1"/>
  <c r="AJ1448" i="1"/>
  <c r="AI1449" i="1"/>
  <c r="AJ1449" i="1"/>
  <c r="AI1450" i="1"/>
  <c r="AJ1450" i="1"/>
  <c r="AI1451" i="1"/>
  <c r="AJ1451" i="1"/>
  <c r="AI1452" i="1"/>
  <c r="AJ1452" i="1"/>
  <c r="AI1453" i="1"/>
  <c r="AJ1453" i="1"/>
  <c r="AI1454" i="1"/>
  <c r="AJ1454" i="1"/>
  <c r="AI1455" i="1"/>
  <c r="AJ1455" i="1"/>
  <c r="AI1456" i="1"/>
  <c r="AJ1456" i="1"/>
  <c r="AI1457" i="1"/>
  <c r="AJ1457" i="1"/>
  <c r="AI1458" i="1"/>
  <c r="AJ1458" i="1"/>
  <c r="AI1459" i="1"/>
  <c r="AJ1459" i="1"/>
  <c r="AI1460" i="1"/>
  <c r="AJ1460" i="1"/>
  <c r="AI1461" i="1"/>
  <c r="AJ1461" i="1"/>
  <c r="AI1462" i="1"/>
  <c r="AJ1462" i="1"/>
  <c r="AI1463" i="1"/>
  <c r="AJ1463" i="1"/>
  <c r="AI1464" i="1"/>
  <c r="AJ1464" i="1"/>
  <c r="AI1465" i="1"/>
  <c r="AJ1465" i="1"/>
  <c r="AI1466" i="1"/>
  <c r="AJ1466" i="1"/>
  <c r="AI1467" i="1"/>
  <c r="AJ1467" i="1"/>
  <c r="AI1468" i="1"/>
  <c r="AJ1468" i="1"/>
  <c r="AI1469" i="1"/>
  <c r="AJ1469" i="1"/>
  <c r="AI1470" i="1"/>
  <c r="AJ1470" i="1"/>
  <c r="AI1471" i="1"/>
  <c r="AJ1471" i="1"/>
  <c r="AI1472" i="1"/>
  <c r="AJ1472" i="1"/>
  <c r="AI1473" i="1"/>
  <c r="AJ1473" i="1"/>
  <c r="AI1474" i="1"/>
  <c r="AJ1474" i="1"/>
  <c r="AI1475" i="1"/>
  <c r="AJ1475" i="1"/>
  <c r="AI1476" i="1"/>
  <c r="AJ1476" i="1"/>
  <c r="AI1477" i="1"/>
  <c r="AJ1477" i="1"/>
  <c r="AI1478" i="1"/>
  <c r="AJ1478" i="1"/>
  <c r="AI1479" i="1"/>
  <c r="AJ1479" i="1"/>
  <c r="AI1480" i="1"/>
  <c r="AJ1480" i="1"/>
  <c r="AI1481" i="1"/>
  <c r="AJ1481" i="1"/>
  <c r="AI1482" i="1"/>
  <c r="AJ1482" i="1"/>
  <c r="AI1483" i="1"/>
  <c r="AJ1483" i="1"/>
  <c r="AI1484" i="1"/>
  <c r="AJ1484" i="1"/>
  <c r="AI1485" i="1"/>
  <c r="AJ1485" i="1"/>
  <c r="AI1486" i="1"/>
  <c r="AJ1486" i="1"/>
  <c r="AI1487" i="1"/>
  <c r="AJ1487" i="1"/>
  <c r="AI1488" i="1"/>
  <c r="AJ1488" i="1"/>
  <c r="AI1489" i="1"/>
  <c r="AJ1489" i="1"/>
  <c r="AI1490" i="1"/>
  <c r="AJ1490" i="1"/>
  <c r="AI1491" i="1"/>
  <c r="AJ1491" i="1"/>
  <c r="AI1492" i="1"/>
  <c r="AJ1492" i="1"/>
  <c r="AI1493" i="1"/>
  <c r="AJ1493" i="1"/>
  <c r="AI1494" i="1"/>
  <c r="AJ1494" i="1"/>
  <c r="AI1495" i="1"/>
  <c r="AJ1495" i="1"/>
  <c r="AI1496" i="1"/>
  <c r="AJ1496" i="1"/>
  <c r="AI1497" i="1"/>
  <c r="AJ1497" i="1"/>
  <c r="AI1498" i="1"/>
  <c r="AJ1498" i="1"/>
  <c r="AI1499" i="1"/>
  <c r="AJ1499" i="1"/>
  <c r="AI1500" i="1"/>
  <c r="AJ1500" i="1"/>
  <c r="AI1501" i="1"/>
  <c r="AJ1501" i="1"/>
  <c r="AI1502" i="1"/>
  <c r="AJ1502" i="1"/>
  <c r="AI1503" i="1"/>
  <c r="AJ1503" i="1"/>
  <c r="AI1504" i="1"/>
  <c r="AJ1504" i="1"/>
  <c r="AI1505" i="1"/>
  <c r="AJ1505" i="1"/>
  <c r="AI1506" i="1"/>
  <c r="AJ1506" i="1"/>
  <c r="AI1507" i="1"/>
  <c r="AJ1507" i="1"/>
  <c r="AI1508" i="1"/>
  <c r="AJ1508" i="1"/>
  <c r="AI1509" i="1"/>
  <c r="AJ1509" i="1"/>
  <c r="AI1510" i="1"/>
  <c r="AJ1510" i="1"/>
  <c r="AI1511" i="1"/>
  <c r="AJ1511" i="1"/>
  <c r="AI1512" i="1"/>
  <c r="AJ1512" i="1"/>
  <c r="AI1513" i="1"/>
  <c r="AJ1513" i="1"/>
  <c r="AI1514" i="1"/>
  <c r="AJ1514" i="1"/>
  <c r="AI1515" i="1"/>
  <c r="AJ1515" i="1"/>
  <c r="AI1516" i="1"/>
  <c r="AJ1516" i="1"/>
  <c r="AI1517" i="1"/>
  <c r="AJ1517" i="1"/>
  <c r="AI1518" i="1"/>
  <c r="AJ1518" i="1"/>
  <c r="AI1519" i="1"/>
  <c r="AJ1519" i="1"/>
  <c r="AI1520" i="1"/>
  <c r="AJ1520" i="1"/>
  <c r="AI1521" i="1"/>
  <c r="AJ1521" i="1"/>
  <c r="AI1522" i="1"/>
  <c r="AJ1522" i="1"/>
  <c r="AI1523" i="1"/>
  <c r="AJ1523" i="1"/>
  <c r="AI1524" i="1"/>
  <c r="AJ1524" i="1"/>
  <c r="AI1525" i="1"/>
  <c r="AJ1525" i="1"/>
  <c r="AI1526" i="1"/>
  <c r="AJ1526" i="1"/>
  <c r="AI1527" i="1"/>
  <c r="AJ1527" i="1"/>
  <c r="AI1528" i="1"/>
  <c r="AJ1528" i="1"/>
  <c r="AI1529" i="1"/>
  <c r="AJ1529" i="1"/>
  <c r="AI1530" i="1"/>
  <c r="AJ1530" i="1"/>
  <c r="AI1531" i="1"/>
  <c r="AJ1531" i="1"/>
  <c r="AI1532" i="1"/>
  <c r="AJ1532" i="1"/>
  <c r="AI1533" i="1"/>
  <c r="AJ1533" i="1"/>
  <c r="AI1534" i="1"/>
  <c r="AJ1534" i="1"/>
  <c r="AI1535" i="1"/>
  <c r="AJ1535" i="1"/>
  <c r="AI1536" i="1"/>
  <c r="AJ1536" i="1"/>
  <c r="AI1537" i="1"/>
  <c r="AJ1537" i="1"/>
  <c r="AI1538" i="1"/>
  <c r="AJ1538" i="1"/>
  <c r="AI1539" i="1"/>
  <c r="AJ1539" i="1"/>
  <c r="AI1540" i="1"/>
  <c r="AJ1540" i="1"/>
  <c r="AI1541" i="1"/>
  <c r="AJ1541" i="1"/>
  <c r="AI1542" i="1"/>
  <c r="AJ1542" i="1"/>
  <c r="AI1543" i="1"/>
  <c r="AJ1543" i="1"/>
  <c r="AI1544" i="1"/>
  <c r="AJ1544" i="1"/>
  <c r="AI1545" i="1"/>
  <c r="AJ1545" i="1"/>
  <c r="AI1546" i="1"/>
  <c r="AJ1546" i="1"/>
  <c r="AI1547" i="1"/>
  <c r="AJ1547" i="1"/>
  <c r="AI1548" i="1"/>
  <c r="AJ1548" i="1"/>
  <c r="AI1549" i="1"/>
  <c r="AJ1549" i="1"/>
  <c r="AI1550" i="1"/>
  <c r="AJ1550" i="1"/>
  <c r="AI1551" i="1"/>
  <c r="AJ1551" i="1"/>
  <c r="AI1552" i="1"/>
  <c r="AJ1552" i="1"/>
  <c r="AI1553" i="1"/>
  <c r="AJ1553" i="1"/>
  <c r="AI1554" i="1"/>
  <c r="AJ1554" i="1"/>
  <c r="AI1555" i="1"/>
  <c r="AJ1555" i="1"/>
  <c r="AI1556" i="1"/>
  <c r="AJ1556" i="1"/>
  <c r="AI1557" i="1"/>
  <c r="AJ1557" i="1"/>
  <c r="AI1558" i="1"/>
  <c r="AJ1558" i="1"/>
  <c r="AI1559" i="1"/>
  <c r="AJ1559" i="1"/>
  <c r="AI1560" i="1"/>
  <c r="AJ1560" i="1"/>
  <c r="AI1561" i="1"/>
  <c r="AJ1561" i="1"/>
  <c r="AI1562" i="1"/>
  <c r="AJ1562" i="1"/>
  <c r="AI1563" i="1"/>
  <c r="AJ1563" i="1"/>
  <c r="AI1564" i="1"/>
  <c r="AJ1564" i="1"/>
  <c r="AI1565" i="1"/>
  <c r="AJ1565" i="1"/>
  <c r="AI1566" i="1"/>
  <c r="AJ1566" i="1"/>
  <c r="AI1567" i="1"/>
  <c r="AJ1567" i="1"/>
  <c r="AI1568" i="1"/>
  <c r="AJ1568" i="1"/>
  <c r="AI1569" i="1"/>
  <c r="AJ1569" i="1"/>
  <c r="AI1570" i="1"/>
  <c r="AJ1570" i="1"/>
  <c r="AI1571" i="1"/>
  <c r="AJ1571" i="1"/>
  <c r="AI1572" i="1"/>
  <c r="AJ1572" i="1"/>
  <c r="AI1573" i="1"/>
  <c r="AJ1573" i="1"/>
  <c r="AI1574" i="1"/>
  <c r="AJ1574" i="1"/>
  <c r="AI1575" i="1"/>
  <c r="AJ1575" i="1"/>
  <c r="AI1576" i="1"/>
  <c r="AJ1576" i="1"/>
  <c r="AI1577" i="1"/>
  <c r="AJ1577" i="1"/>
  <c r="AI1578" i="1"/>
  <c r="AJ1578" i="1"/>
  <c r="AI1579" i="1"/>
  <c r="AJ1579" i="1"/>
  <c r="AI1580" i="1"/>
  <c r="AJ1580" i="1"/>
  <c r="AI1581" i="1"/>
  <c r="AJ1581" i="1"/>
  <c r="AI1582" i="1"/>
  <c r="AJ1582" i="1"/>
  <c r="AI1583" i="1"/>
  <c r="AJ1583" i="1"/>
  <c r="AI1584" i="1"/>
  <c r="AJ1584" i="1"/>
  <c r="AI1585" i="1"/>
  <c r="AJ1585" i="1"/>
  <c r="AI1586" i="1"/>
  <c r="AJ1586" i="1"/>
  <c r="AI1587" i="1"/>
  <c r="AJ1587" i="1"/>
  <c r="AI1588" i="1"/>
  <c r="AJ1588" i="1"/>
  <c r="AI1589" i="1"/>
  <c r="AJ1589" i="1"/>
  <c r="AI1590" i="1"/>
  <c r="AJ1590" i="1"/>
  <c r="AI1591" i="1"/>
  <c r="AJ1591" i="1"/>
  <c r="AI1592" i="1"/>
  <c r="AJ1592" i="1"/>
  <c r="AI1593" i="1"/>
  <c r="AJ1593" i="1"/>
  <c r="AI1594" i="1"/>
  <c r="AJ1594" i="1"/>
  <c r="AI1595" i="1"/>
  <c r="AJ1595" i="1"/>
  <c r="AI1596" i="1"/>
  <c r="AJ1596" i="1"/>
  <c r="AI1597" i="1"/>
  <c r="AJ1597" i="1"/>
  <c r="AI1598" i="1"/>
  <c r="AJ1598" i="1"/>
  <c r="AI1599" i="1"/>
  <c r="AJ1599" i="1"/>
  <c r="AI1600" i="1"/>
  <c r="AJ1600" i="1"/>
  <c r="AI1601" i="1"/>
  <c r="AJ1601" i="1"/>
  <c r="AI1602" i="1"/>
  <c r="AJ1602" i="1"/>
  <c r="AI1603" i="1"/>
  <c r="AJ1603" i="1"/>
  <c r="AI1604" i="1"/>
  <c r="AJ1604" i="1"/>
  <c r="AI1605" i="1"/>
  <c r="AJ1605" i="1"/>
  <c r="AI1606" i="1"/>
  <c r="AJ1606" i="1"/>
  <c r="AI1607" i="1"/>
  <c r="AJ1607" i="1"/>
  <c r="AI1608" i="1"/>
  <c r="AJ1608" i="1"/>
  <c r="AI1609" i="1"/>
  <c r="AJ1609" i="1"/>
  <c r="AI1610" i="1"/>
  <c r="AJ1610" i="1"/>
  <c r="AI1611" i="1"/>
  <c r="AJ1611" i="1"/>
  <c r="AI1612" i="1"/>
  <c r="AJ1612" i="1"/>
  <c r="AI1613" i="1"/>
  <c r="AJ1613" i="1"/>
  <c r="AI1614" i="1"/>
  <c r="AJ1614" i="1"/>
  <c r="AI1615" i="1"/>
  <c r="AJ1615" i="1"/>
  <c r="AI1616" i="1"/>
  <c r="AJ1616" i="1"/>
  <c r="AI1617" i="1"/>
  <c r="AJ1617" i="1"/>
  <c r="AI1618" i="1"/>
  <c r="AJ1618" i="1"/>
  <c r="AI1619" i="1"/>
  <c r="AJ1619" i="1"/>
  <c r="AI1620" i="1"/>
  <c r="AJ1620" i="1"/>
  <c r="AI1621" i="1"/>
  <c r="AJ1621" i="1"/>
  <c r="AI1622" i="1"/>
  <c r="AJ1622" i="1"/>
  <c r="AI1623" i="1"/>
  <c r="AJ1623" i="1"/>
  <c r="AI1624" i="1"/>
  <c r="AJ1624" i="1"/>
  <c r="AI1625" i="1"/>
  <c r="AJ1625" i="1"/>
  <c r="AI1626" i="1"/>
  <c r="AJ1626" i="1"/>
  <c r="AI1627" i="1"/>
  <c r="AJ1627" i="1"/>
  <c r="AI1628" i="1"/>
  <c r="AJ1628" i="1"/>
  <c r="AI1629" i="1"/>
  <c r="AJ1629" i="1"/>
  <c r="AI1630" i="1"/>
  <c r="AJ1630" i="1"/>
  <c r="AI1631" i="1"/>
  <c r="AJ1631" i="1"/>
  <c r="AI1632" i="1"/>
  <c r="AJ1632" i="1"/>
  <c r="AI1633" i="1"/>
  <c r="AJ1633" i="1"/>
  <c r="AI1634" i="1"/>
  <c r="AJ1634" i="1"/>
  <c r="AI1635" i="1"/>
  <c r="AJ1635" i="1"/>
  <c r="AI1636" i="1"/>
  <c r="AJ1636" i="1"/>
  <c r="AI1637" i="1"/>
  <c r="AJ1637" i="1"/>
  <c r="AI1638" i="1"/>
  <c r="AJ1638" i="1"/>
  <c r="AI1639" i="1"/>
  <c r="AJ1639" i="1"/>
  <c r="AI1640" i="1"/>
  <c r="AJ1640" i="1"/>
  <c r="AI1641" i="1"/>
  <c r="AJ1641" i="1"/>
  <c r="AI1642" i="1"/>
  <c r="AJ1642" i="1"/>
  <c r="AI1643" i="1"/>
  <c r="AJ1643" i="1"/>
  <c r="AI1644" i="1"/>
  <c r="AJ1644" i="1"/>
  <c r="AI1645" i="1"/>
  <c r="AJ1645" i="1"/>
  <c r="AI1646" i="1"/>
  <c r="AJ1646" i="1"/>
  <c r="AI1647" i="1"/>
  <c r="AJ1647" i="1"/>
  <c r="AI1648" i="1"/>
  <c r="AJ1648" i="1"/>
  <c r="AI1649" i="1"/>
  <c r="AJ1649" i="1"/>
  <c r="AI1650" i="1"/>
  <c r="AJ1650" i="1"/>
  <c r="AI1651" i="1"/>
  <c r="AJ1651" i="1"/>
  <c r="AI1652" i="1"/>
  <c r="AJ1652" i="1"/>
  <c r="AI1653" i="1"/>
  <c r="AJ1653" i="1"/>
  <c r="AI1654" i="1"/>
  <c r="AJ1654" i="1"/>
  <c r="AI1655" i="1"/>
  <c r="AJ1655" i="1"/>
  <c r="AI1656" i="1"/>
  <c r="AJ1656" i="1"/>
  <c r="AI1657" i="1"/>
  <c r="AJ1657" i="1"/>
  <c r="AI1658" i="1"/>
  <c r="AJ1658" i="1"/>
  <c r="AI1659" i="1"/>
  <c r="AJ1659" i="1"/>
  <c r="AI1660" i="1"/>
  <c r="AJ1660" i="1"/>
  <c r="AI1661" i="1"/>
  <c r="AJ1661" i="1"/>
  <c r="AI1662" i="1"/>
  <c r="AJ1662" i="1"/>
  <c r="AI1663" i="1"/>
  <c r="AJ1663" i="1"/>
  <c r="AI1664" i="1"/>
  <c r="AJ1664" i="1"/>
  <c r="AI1665" i="1"/>
  <c r="AJ1665" i="1"/>
  <c r="AI1666" i="1"/>
  <c r="AJ1666" i="1"/>
  <c r="AI1667" i="1"/>
  <c r="AJ1667" i="1"/>
  <c r="AI1668" i="1"/>
  <c r="AJ1668" i="1"/>
  <c r="AI1669" i="1"/>
  <c r="AJ1669" i="1"/>
  <c r="AI1670" i="1"/>
  <c r="AJ1670" i="1"/>
  <c r="AI1671" i="1"/>
  <c r="AJ1671" i="1"/>
  <c r="AI1672" i="1"/>
  <c r="AJ1672" i="1"/>
  <c r="AI1673" i="1"/>
  <c r="AJ1673" i="1"/>
  <c r="AI1674" i="1"/>
  <c r="AJ1674" i="1"/>
  <c r="AI1675" i="1"/>
  <c r="AJ1675" i="1"/>
  <c r="AI1676" i="1"/>
  <c r="AJ1676" i="1"/>
  <c r="AI1677" i="1"/>
  <c r="AJ1677" i="1"/>
  <c r="AI1678" i="1"/>
  <c r="AJ1678" i="1"/>
  <c r="AI1679" i="1"/>
  <c r="AJ1679" i="1"/>
  <c r="AI1680" i="1"/>
  <c r="AJ1680" i="1"/>
  <c r="AI1681" i="1"/>
  <c r="AJ1681" i="1"/>
  <c r="AI1682" i="1"/>
  <c r="AJ1682" i="1"/>
  <c r="AI1683" i="1"/>
  <c r="AJ1683" i="1"/>
  <c r="AI1684" i="1"/>
  <c r="AJ1684" i="1"/>
  <c r="AI1685" i="1"/>
  <c r="AJ1685" i="1"/>
  <c r="AI1686" i="1"/>
  <c r="AJ1686" i="1"/>
  <c r="AI1687" i="1"/>
  <c r="AJ1687" i="1"/>
  <c r="AI1688" i="1"/>
  <c r="AJ1688" i="1"/>
  <c r="AI1689" i="1"/>
  <c r="AJ1689" i="1"/>
  <c r="AI1690" i="1"/>
  <c r="AJ1690" i="1"/>
  <c r="AI1691" i="1"/>
  <c r="AJ1691" i="1"/>
  <c r="AI1692" i="1"/>
  <c r="AJ1692" i="1"/>
  <c r="AI1693" i="1"/>
  <c r="AJ1693" i="1"/>
  <c r="AI1694" i="1"/>
  <c r="AJ1694" i="1"/>
  <c r="AI1695" i="1"/>
  <c r="AJ1695" i="1"/>
  <c r="AI1696" i="1"/>
  <c r="AJ1696" i="1"/>
  <c r="AI1697" i="1"/>
  <c r="AJ1697" i="1"/>
  <c r="AI1698" i="1"/>
  <c r="AJ1698" i="1"/>
  <c r="AI1699" i="1"/>
  <c r="AJ1699" i="1"/>
  <c r="AI1700" i="1"/>
  <c r="AJ1700" i="1"/>
  <c r="AI1701" i="1"/>
  <c r="AJ1701" i="1"/>
  <c r="AI1702" i="1"/>
  <c r="AJ1702" i="1"/>
  <c r="AI1703" i="1"/>
  <c r="AJ1703" i="1"/>
  <c r="AI1704" i="1"/>
  <c r="AJ1704" i="1"/>
  <c r="AI1705" i="1"/>
  <c r="AJ1705" i="1"/>
  <c r="AI1706" i="1"/>
  <c r="AJ1706" i="1"/>
  <c r="AI1707" i="1"/>
  <c r="AJ1707" i="1"/>
  <c r="AI1708" i="1"/>
  <c r="AJ1708" i="1"/>
  <c r="AI1709" i="1"/>
  <c r="AJ1709" i="1"/>
  <c r="AI1710" i="1"/>
  <c r="AJ1710" i="1"/>
  <c r="AI1711" i="1"/>
  <c r="AJ1711" i="1"/>
  <c r="AI1712" i="1"/>
  <c r="AJ1712" i="1"/>
  <c r="AI1713" i="1"/>
  <c r="AJ1713" i="1"/>
  <c r="AI1714" i="1"/>
  <c r="AJ1714" i="1"/>
  <c r="AI1715" i="1"/>
  <c r="AJ1715" i="1"/>
  <c r="AI1716" i="1"/>
  <c r="AJ1716" i="1"/>
  <c r="AI1717" i="1"/>
  <c r="AJ1717" i="1"/>
  <c r="AI1718" i="1"/>
  <c r="AJ1718" i="1"/>
  <c r="AI1719" i="1"/>
  <c r="AJ1719" i="1"/>
  <c r="AI1720" i="1"/>
  <c r="AJ1720" i="1"/>
  <c r="AI1721" i="1"/>
  <c r="AJ1721" i="1"/>
  <c r="AI1722" i="1"/>
  <c r="AJ1722" i="1"/>
  <c r="AI1723" i="1"/>
  <c r="AJ1723" i="1"/>
  <c r="AI1724" i="1"/>
  <c r="AJ1724" i="1"/>
  <c r="AI1725" i="1"/>
  <c r="AJ1725" i="1"/>
  <c r="AI1726" i="1"/>
  <c r="AJ1726" i="1"/>
  <c r="AI1727" i="1"/>
  <c r="AJ1727" i="1"/>
  <c r="AI1728" i="1"/>
  <c r="AJ1728" i="1"/>
  <c r="AI1729" i="1"/>
  <c r="AJ1729" i="1"/>
  <c r="AI1730" i="1"/>
  <c r="AJ1730" i="1"/>
  <c r="AI1731" i="1"/>
  <c r="AJ1731" i="1"/>
  <c r="AI1732" i="1"/>
  <c r="AJ1732" i="1"/>
  <c r="AI1733" i="1"/>
  <c r="AJ1733" i="1"/>
  <c r="AI1734" i="1"/>
  <c r="AJ1734" i="1"/>
  <c r="AI1735" i="1"/>
  <c r="AJ1735" i="1"/>
  <c r="AI1736" i="1"/>
  <c r="AJ1736" i="1"/>
  <c r="AI1737" i="1"/>
  <c r="AJ1737" i="1"/>
  <c r="AI1738" i="1"/>
  <c r="AJ1738" i="1"/>
  <c r="AI1739" i="1"/>
  <c r="AJ1739" i="1"/>
  <c r="AI1740" i="1"/>
  <c r="AJ1740" i="1"/>
  <c r="AI1741" i="1"/>
  <c r="AJ1741" i="1"/>
  <c r="AI1742" i="1"/>
  <c r="AJ1742" i="1"/>
  <c r="AI1743" i="1"/>
  <c r="AJ1743" i="1"/>
  <c r="AI1744" i="1"/>
  <c r="AJ1744" i="1"/>
  <c r="AI1745" i="1"/>
  <c r="AJ1745" i="1"/>
  <c r="AI1746" i="1"/>
  <c r="AJ1746" i="1"/>
  <c r="AI1747" i="1"/>
  <c r="AJ1747" i="1"/>
  <c r="AI1748" i="1"/>
  <c r="AJ1748" i="1"/>
  <c r="AI1749" i="1"/>
  <c r="AJ1749" i="1"/>
  <c r="AI1750" i="1"/>
  <c r="AJ1750" i="1"/>
  <c r="AI1751" i="1"/>
  <c r="AJ1751" i="1"/>
  <c r="AI1752" i="1"/>
  <c r="AJ1752" i="1"/>
  <c r="AI1753" i="1"/>
  <c r="AJ1753" i="1"/>
  <c r="AI1754" i="1"/>
  <c r="AJ1754" i="1"/>
  <c r="AI1755" i="1"/>
  <c r="AJ1755" i="1"/>
  <c r="AI1756" i="1"/>
  <c r="AJ1756" i="1"/>
  <c r="AI1757" i="1"/>
  <c r="AJ1757" i="1"/>
  <c r="AI1758" i="1"/>
  <c r="AJ1758" i="1"/>
  <c r="AI1759" i="1"/>
  <c r="AJ1759" i="1"/>
  <c r="AI1760" i="1"/>
  <c r="AJ1760" i="1"/>
  <c r="AI1761" i="1"/>
  <c r="AJ1761" i="1"/>
  <c r="AI1762" i="1"/>
  <c r="AJ1762" i="1"/>
  <c r="AI1763" i="1"/>
  <c r="AJ1763" i="1"/>
  <c r="AI1764" i="1"/>
  <c r="AJ1764" i="1"/>
  <c r="AI1765" i="1"/>
  <c r="AJ1765" i="1"/>
  <c r="AI1766" i="1"/>
  <c r="AJ1766" i="1"/>
  <c r="AI1767" i="1"/>
  <c r="AJ1767" i="1"/>
  <c r="AI1768" i="1"/>
  <c r="AJ1768" i="1"/>
  <c r="AI1769" i="1"/>
  <c r="AJ1769" i="1"/>
  <c r="AI1770" i="1"/>
  <c r="AJ1770" i="1"/>
  <c r="AI1771" i="1"/>
  <c r="AJ1771" i="1"/>
  <c r="AI1772" i="1"/>
  <c r="AJ1772" i="1"/>
  <c r="AI1773" i="1"/>
  <c r="AJ1773" i="1"/>
  <c r="AI1774" i="1"/>
  <c r="AJ1774" i="1"/>
  <c r="AI1775" i="1"/>
  <c r="AJ1775" i="1"/>
  <c r="AI1776" i="1"/>
  <c r="AJ1776" i="1"/>
  <c r="AI1777" i="1"/>
  <c r="AJ1777" i="1"/>
  <c r="AI1778" i="1"/>
  <c r="AJ1778" i="1"/>
  <c r="AI1779" i="1"/>
  <c r="AJ1779" i="1"/>
  <c r="AI1780" i="1"/>
  <c r="AJ1780" i="1"/>
  <c r="AI1781" i="1"/>
  <c r="AJ1781" i="1"/>
  <c r="AI1782" i="1"/>
  <c r="AJ1782" i="1"/>
  <c r="AI1783" i="1"/>
  <c r="AJ1783" i="1"/>
  <c r="AI1784" i="1"/>
  <c r="AJ1784" i="1"/>
  <c r="AI1785" i="1"/>
  <c r="AJ1785" i="1"/>
  <c r="AI1786" i="1"/>
  <c r="AJ1786" i="1"/>
  <c r="AI1787" i="1"/>
  <c r="AJ1787" i="1"/>
  <c r="AI1788" i="1"/>
  <c r="AJ1788" i="1"/>
  <c r="AI1789" i="1"/>
  <c r="AJ1789" i="1"/>
  <c r="AI1790" i="1"/>
  <c r="AJ1790" i="1"/>
  <c r="AI1791" i="1"/>
  <c r="AJ1791" i="1"/>
  <c r="AI1792" i="1"/>
  <c r="AJ1792" i="1"/>
  <c r="AI1793" i="1"/>
  <c r="AJ1793" i="1"/>
  <c r="AI1794" i="1"/>
  <c r="AJ1794" i="1"/>
  <c r="AI1795" i="1"/>
  <c r="AJ1795" i="1"/>
  <c r="AI1796" i="1"/>
  <c r="AJ1796" i="1"/>
  <c r="AI1797" i="1"/>
  <c r="AJ1797" i="1"/>
  <c r="AI1798" i="1"/>
  <c r="AJ1798" i="1"/>
  <c r="AI1799" i="1"/>
  <c r="AJ1799" i="1"/>
  <c r="AI1800" i="1"/>
  <c r="AJ1800" i="1"/>
  <c r="AI1801" i="1"/>
  <c r="AJ1801" i="1"/>
  <c r="AI1802" i="1"/>
  <c r="AJ1802" i="1"/>
  <c r="AI1803" i="1"/>
  <c r="AJ1803" i="1"/>
  <c r="AI1804" i="1"/>
  <c r="AJ1804" i="1"/>
  <c r="AI1805" i="1"/>
  <c r="AJ1805" i="1"/>
  <c r="AI1806" i="1"/>
  <c r="AJ1806" i="1"/>
  <c r="AI1807" i="1"/>
  <c r="AJ1807" i="1"/>
  <c r="AI1808" i="1"/>
  <c r="AJ1808" i="1"/>
  <c r="AI1809" i="1"/>
  <c r="AJ1809" i="1"/>
  <c r="AI1810" i="1"/>
  <c r="AJ1810" i="1"/>
  <c r="AI1811" i="1"/>
  <c r="AJ1811" i="1"/>
  <c r="AI1812" i="1"/>
  <c r="AJ1812" i="1"/>
  <c r="AI1813" i="1"/>
  <c r="AJ1813" i="1"/>
  <c r="AI1814" i="1"/>
  <c r="AJ1814" i="1"/>
  <c r="AI1815" i="1"/>
  <c r="AJ1815" i="1"/>
  <c r="AI1816" i="1"/>
  <c r="AJ1816" i="1"/>
  <c r="AI1817" i="1"/>
  <c r="AJ1817" i="1"/>
  <c r="AI1818" i="1"/>
  <c r="AJ1818" i="1"/>
  <c r="AI1819" i="1"/>
  <c r="AJ1819" i="1"/>
  <c r="AI1820" i="1"/>
  <c r="AJ1820" i="1"/>
  <c r="AI1821" i="1"/>
  <c r="AJ1821" i="1"/>
  <c r="AI1822" i="1"/>
  <c r="AJ1822" i="1"/>
  <c r="AI1823" i="1"/>
  <c r="AJ1823" i="1"/>
  <c r="AI1824" i="1"/>
  <c r="AJ1824" i="1"/>
  <c r="AI1825" i="1"/>
  <c r="AJ1825" i="1"/>
  <c r="AI1826" i="1"/>
  <c r="AJ1826" i="1"/>
  <c r="AI1827" i="1"/>
  <c r="AJ1827" i="1"/>
  <c r="AI1828" i="1"/>
  <c r="AJ1828" i="1"/>
  <c r="AI1829" i="1"/>
  <c r="AJ1829" i="1"/>
  <c r="AI1830" i="1"/>
  <c r="AJ1830" i="1"/>
  <c r="AI1831" i="1"/>
  <c r="AJ1831" i="1"/>
  <c r="AI1832" i="1"/>
  <c r="AJ1832" i="1"/>
  <c r="AI1833" i="1"/>
  <c r="AJ1833" i="1"/>
  <c r="AI1834" i="1"/>
  <c r="AJ1834" i="1"/>
  <c r="AI1835" i="1"/>
  <c r="AJ1835" i="1"/>
  <c r="AI1836" i="1"/>
  <c r="AJ1836" i="1"/>
  <c r="AI1837" i="1"/>
  <c r="AJ1837" i="1"/>
  <c r="AI1838" i="1"/>
  <c r="AJ1838" i="1"/>
  <c r="AI1839" i="1"/>
  <c r="AJ1839" i="1"/>
  <c r="AI1840" i="1"/>
  <c r="AJ1840" i="1"/>
  <c r="AI1841" i="1"/>
  <c r="AJ1841" i="1"/>
  <c r="AI1842" i="1"/>
  <c r="AJ1842" i="1"/>
  <c r="AI1843" i="1"/>
  <c r="AJ1843" i="1"/>
  <c r="AI1844" i="1"/>
  <c r="AJ1844" i="1"/>
  <c r="AI1845" i="1"/>
  <c r="AJ1845" i="1"/>
  <c r="AI1846" i="1"/>
  <c r="AJ1846" i="1"/>
  <c r="AI1847" i="1"/>
  <c r="AJ1847" i="1"/>
  <c r="AI1848" i="1"/>
  <c r="AJ1848" i="1"/>
  <c r="AI1849" i="1"/>
  <c r="AJ1849" i="1"/>
  <c r="AI1850" i="1"/>
  <c r="AJ1850" i="1"/>
  <c r="AI1851" i="1"/>
  <c r="AJ1851" i="1"/>
  <c r="AI1852" i="1"/>
  <c r="AJ1852" i="1"/>
  <c r="AI1853" i="1"/>
  <c r="AJ1853" i="1"/>
  <c r="AI1854" i="1"/>
  <c r="AJ1854" i="1"/>
  <c r="AI1855" i="1"/>
  <c r="AJ1855" i="1"/>
  <c r="AI1856" i="1"/>
  <c r="AJ1856" i="1"/>
  <c r="AI1857" i="1"/>
  <c r="AJ1857" i="1"/>
  <c r="AI1858" i="1"/>
  <c r="AJ1858" i="1"/>
  <c r="AI1859" i="1"/>
  <c r="AJ1859" i="1"/>
  <c r="AI1860" i="1"/>
  <c r="AJ1860" i="1"/>
  <c r="AI1861" i="1"/>
  <c r="AJ1861" i="1"/>
  <c r="AI1862" i="1"/>
  <c r="AJ1862" i="1"/>
  <c r="AI1863" i="1"/>
  <c r="AJ1863" i="1"/>
  <c r="AI1864" i="1"/>
  <c r="AJ1864" i="1"/>
  <c r="AI1865" i="1"/>
  <c r="AJ1865" i="1"/>
  <c r="AI1866" i="1"/>
  <c r="AJ1866" i="1"/>
  <c r="AI1867" i="1"/>
  <c r="AJ1867" i="1"/>
  <c r="AI1868" i="1"/>
  <c r="AJ1868" i="1"/>
  <c r="AI1869" i="1"/>
  <c r="AJ1869" i="1"/>
  <c r="AI1870" i="1"/>
  <c r="AJ1870" i="1"/>
  <c r="AI1871" i="1"/>
  <c r="AJ1871" i="1"/>
  <c r="AI1872" i="1"/>
  <c r="AJ1872" i="1"/>
  <c r="AI1873" i="1"/>
  <c r="AJ1873" i="1"/>
  <c r="AI1874" i="1"/>
  <c r="AJ1874" i="1"/>
  <c r="AI1875" i="1"/>
  <c r="AJ1875" i="1"/>
  <c r="AI1876" i="1"/>
  <c r="AJ1876" i="1"/>
  <c r="AI1877" i="1"/>
  <c r="AJ1877" i="1"/>
  <c r="AI1878" i="1"/>
  <c r="AJ1878" i="1"/>
  <c r="AI1879" i="1"/>
  <c r="AJ1879" i="1"/>
  <c r="AI1880" i="1"/>
  <c r="AJ1880" i="1"/>
  <c r="AI1881" i="1"/>
  <c r="AJ1881" i="1"/>
  <c r="AI1882" i="1"/>
  <c r="AJ1882" i="1"/>
  <c r="AI1883" i="1"/>
  <c r="AJ1883" i="1"/>
  <c r="AI1884" i="1"/>
  <c r="AJ1884" i="1"/>
  <c r="AI1885" i="1"/>
  <c r="AJ1885" i="1"/>
  <c r="AI1886" i="1"/>
  <c r="AJ1886" i="1"/>
  <c r="AI1887" i="1"/>
  <c r="AJ1887" i="1"/>
  <c r="AI1888" i="1"/>
  <c r="AJ1888" i="1"/>
  <c r="AI1889" i="1"/>
  <c r="AJ1889" i="1"/>
  <c r="AI1890" i="1"/>
  <c r="AJ1890" i="1"/>
  <c r="AI1891" i="1"/>
  <c r="AJ1891" i="1"/>
  <c r="AI1892" i="1"/>
  <c r="AJ1892" i="1"/>
  <c r="AI1893" i="1"/>
  <c r="AJ1893" i="1"/>
  <c r="AI1894" i="1"/>
  <c r="AJ1894" i="1"/>
  <c r="AI1895" i="1"/>
  <c r="AJ1895" i="1"/>
  <c r="AI1896" i="1"/>
  <c r="AJ1896" i="1"/>
  <c r="AI1897" i="1"/>
  <c r="AJ1897" i="1"/>
  <c r="AI1898" i="1"/>
  <c r="AJ1898" i="1"/>
  <c r="AI1899" i="1"/>
  <c r="AJ1899" i="1"/>
  <c r="AI1900" i="1"/>
  <c r="AJ1900" i="1"/>
  <c r="AI1901" i="1"/>
  <c r="AJ1901" i="1"/>
  <c r="AI1902" i="1"/>
  <c r="AJ1902" i="1"/>
  <c r="AI1903" i="1"/>
  <c r="AJ1903" i="1"/>
  <c r="AI1904" i="1"/>
  <c r="AJ1904" i="1"/>
  <c r="AI1905" i="1"/>
  <c r="AJ1905" i="1"/>
  <c r="AI1906" i="1"/>
  <c r="AJ1906" i="1"/>
  <c r="AI1907" i="1"/>
  <c r="AJ1907" i="1"/>
  <c r="AI1908" i="1"/>
  <c r="AJ1908" i="1"/>
  <c r="AI1909" i="1"/>
  <c r="AJ1909" i="1"/>
  <c r="AI1910" i="1"/>
  <c r="AJ1910" i="1"/>
  <c r="AI1911" i="1"/>
  <c r="AJ1911" i="1"/>
  <c r="AI1912" i="1"/>
  <c r="AJ1912" i="1"/>
  <c r="AI1913" i="1"/>
  <c r="AJ1913" i="1"/>
  <c r="AI1914" i="1"/>
  <c r="AJ1914" i="1"/>
  <c r="AI1915" i="1"/>
  <c r="AJ1915" i="1"/>
  <c r="AI1916" i="1"/>
  <c r="AJ1916" i="1"/>
  <c r="AI1917" i="1"/>
  <c r="AJ1917" i="1"/>
  <c r="AI1918" i="1"/>
  <c r="AJ1918" i="1"/>
  <c r="AI1919" i="1"/>
  <c r="AJ1919" i="1"/>
  <c r="AI1920" i="1"/>
  <c r="AJ1920" i="1"/>
  <c r="AI1921" i="1"/>
  <c r="AJ1921" i="1"/>
  <c r="AI1922" i="1"/>
  <c r="AJ1922" i="1"/>
  <c r="AI1923" i="1"/>
  <c r="AJ1923" i="1"/>
  <c r="AI1924" i="1"/>
  <c r="AJ1924" i="1"/>
  <c r="AI1925" i="1"/>
  <c r="AJ1925" i="1"/>
  <c r="AI1926" i="1"/>
  <c r="AJ1926" i="1"/>
  <c r="AI1927" i="1"/>
  <c r="AJ1927" i="1"/>
  <c r="AI1928" i="1"/>
  <c r="AJ1928" i="1"/>
  <c r="AI1929" i="1"/>
  <c r="AJ1929" i="1"/>
  <c r="AI1930" i="1"/>
  <c r="AJ1930" i="1"/>
  <c r="AI1931" i="1"/>
  <c r="AJ1931" i="1"/>
  <c r="AI1932" i="1"/>
  <c r="AJ1932" i="1"/>
  <c r="AI1933" i="1"/>
  <c r="AJ1933" i="1"/>
  <c r="AI1934" i="1"/>
  <c r="AJ1934" i="1"/>
  <c r="AI1935" i="1"/>
  <c r="AJ1935" i="1"/>
  <c r="AI1936" i="1"/>
  <c r="AJ1936" i="1"/>
  <c r="AI1937" i="1"/>
  <c r="AJ1937" i="1"/>
  <c r="AI1938" i="1"/>
  <c r="AJ1938" i="1"/>
  <c r="AI1939" i="1"/>
  <c r="AJ1939" i="1"/>
  <c r="AI1940" i="1"/>
  <c r="AJ1940" i="1"/>
  <c r="AI1941" i="1"/>
  <c r="AJ1941" i="1"/>
  <c r="AI1942" i="1"/>
  <c r="AJ1942" i="1"/>
  <c r="AI1943" i="1"/>
  <c r="AJ1943" i="1"/>
  <c r="AI1944" i="1"/>
  <c r="AJ1944" i="1"/>
  <c r="AI1945" i="1"/>
  <c r="AJ1945" i="1"/>
  <c r="AI1946" i="1"/>
  <c r="AJ1946" i="1"/>
  <c r="AI1947" i="1"/>
  <c r="AJ1947" i="1"/>
  <c r="AI1948" i="1"/>
  <c r="AJ1948" i="1"/>
  <c r="AI1949" i="1"/>
  <c r="AJ1949" i="1"/>
  <c r="AI1950" i="1"/>
  <c r="AJ1950" i="1"/>
  <c r="AI1951" i="1"/>
  <c r="AJ1951" i="1"/>
  <c r="AI1952" i="1"/>
  <c r="AJ1952" i="1"/>
  <c r="AI1953" i="1"/>
  <c r="AJ1953" i="1"/>
  <c r="AI1954" i="1"/>
  <c r="AJ1954" i="1"/>
  <c r="AI1955" i="1"/>
  <c r="AJ1955" i="1"/>
  <c r="AI1956" i="1"/>
  <c r="AJ1956" i="1"/>
  <c r="AI1957" i="1"/>
  <c r="AJ1957" i="1"/>
  <c r="AI1958" i="1"/>
  <c r="AJ1958" i="1"/>
  <c r="AI1959" i="1"/>
  <c r="AJ1959" i="1"/>
  <c r="AI1960" i="1"/>
  <c r="AJ1960" i="1"/>
  <c r="AI1961" i="1"/>
  <c r="AJ1961" i="1"/>
  <c r="AI1962" i="1"/>
  <c r="AJ1962" i="1"/>
  <c r="AI1963" i="1"/>
  <c r="AJ1963" i="1"/>
  <c r="AI1964" i="1"/>
  <c r="AJ1964" i="1"/>
  <c r="AI1965" i="1"/>
  <c r="AJ1965" i="1"/>
  <c r="AI1966" i="1"/>
  <c r="AJ1966" i="1"/>
  <c r="AI1967" i="1"/>
  <c r="AJ1967" i="1"/>
  <c r="AI1968" i="1"/>
  <c r="AJ1968" i="1"/>
  <c r="AI1969" i="1"/>
  <c r="AJ1969" i="1"/>
  <c r="AI1970" i="1"/>
  <c r="AJ1970" i="1"/>
  <c r="AI1971" i="1"/>
  <c r="AJ1971" i="1"/>
  <c r="AI1972" i="1"/>
  <c r="AJ1972" i="1"/>
  <c r="AI1973" i="1"/>
  <c r="AJ1973" i="1"/>
  <c r="AI1974" i="1"/>
  <c r="AJ1974" i="1"/>
  <c r="AI1975" i="1"/>
  <c r="AJ1975" i="1"/>
  <c r="AI1976" i="1"/>
  <c r="AJ1976" i="1"/>
  <c r="AI1977" i="1"/>
  <c r="AJ1977" i="1"/>
  <c r="AI1978" i="1"/>
  <c r="AJ1978" i="1"/>
  <c r="AI1979" i="1"/>
  <c r="AJ1979" i="1"/>
  <c r="AI1980" i="1"/>
  <c r="AJ1980" i="1"/>
  <c r="AI1981" i="1"/>
  <c r="AJ1981" i="1"/>
  <c r="AI1982" i="1"/>
  <c r="AJ1982" i="1"/>
  <c r="AI1983" i="1"/>
  <c r="AJ1983" i="1"/>
  <c r="AI1984" i="1"/>
  <c r="AJ1984" i="1"/>
  <c r="AI1985" i="1"/>
  <c r="AJ1985" i="1"/>
  <c r="AI1986" i="1"/>
  <c r="AJ1986" i="1"/>
  <c r="AI1987" i="1"/>
  <c r="AJ1987" i="1"/>
  <c r="AI1988" i="1"/>
  <c r="AJ1988" i="1"/>
  <c r="AI1989" i="1"/>
  <c r="AJ1989" i="1"/>
  <c r="AI1990" i="1"/>
  <c r="AJ1990" i="1"/>
  <c r="AI1991" i="1"/>
  <c r="AJ1991" i="1"/>
  <c r="AI1992" i="1"/>
  <c r="AJ1992" i="1"/>
  <c r="AI1993" i="1"/>
  <c r="AJ1993" i="1"/>
  <c r="AI1994" i="1"/>
  <c r="AJ1994" i="1"/>
  <c r="AI1995" i="1"/>
  <c r="AJ1995" i="1"/>
  <c r="AI1996" i="1"/>
  <c r="AJ1996" i="1"/>
  <c r="AI1997" i="1"/>
  <c r="AJ1997" i="1"/>
  <c r="AI1998" i="1"/>
  <c r="AJ1998" i="1"/>
  <c r="AI1999" i="1"/>
  <c r="AJ1999" i="1"/>
  <c r="AI2000" i="1"/>
  <c r="AJ2000" i="1"/>
  <c r="AI2001" i="1"/>
  <c r="AJ2001" i="1"/>
  <c r="AI2002" i="1"/>
  <c r="AJ2002" i="1"/>
  <c r="AI2003" i="1"/>
  <c r="AJ2003" i="1"/>
  <c r="AI2004" i="1"/>
  <c r="AJ2004" i="1"/>
  <c r="AI2005" i="1"/>
  <c r="AJ2005" i="1"/>
  <c r="AI2006" i="1"/>
  <c r="AJ2006" i="1"/>
  <c r="AI2007" i="1"/>
  <c r="AJ2007" i="1"/>
  <c r="AI2008" i="1"/>
  <c r="AJ2008" i="1"/>
  <c r="AI2009" i="1"/>
  <c r="AJ2009" i="1"/>
  <c r="AI2010" i="1"/>
  <c r="AJ2010" i="1"/>
  <c r="AI2011" i="1"/>
  <c r="AJ2011" i="1"/>
  <c r="AI2012" i="1"/>
  <c r="AJ2012" i="1"/>
  <c r="AI2013" i="1"/>
  <c r="AJ2013" i="1"/>
  <c r="AI2014" i="1"/>
  <c r="AJ2014" i="1"/>
  <c r="AI2015" i="1"/>
  <c r="AJ2015" i="1"/>
  <c r="AI2016" i="1"/>
  <c r="AJ2016" i="1"/>
  <c r="AI2017" i="1"/>
  <c r="AJ2017" i="1"/>
  <c r="AI2018" i="1"/>
  <c r="AJ2018" i="1"/>
  <c r="AI2019" i="1"/>
  <c r="AJ2019" i="1"/>
  <c r="AI2020" i="1"/>
  <c r="AJ2020" i="1"/>
  <c r="AI2021" i="1"/>
  <c r="AJ2021" i="1"/>
  <c r="AI2022" i="1"/>
  <c r="AJ2022" i="1"/>
  <c r="AI2023" i="1"/>
  <c r="AJ2023" i="1"/>
  <c r="AI2024" i="1"/>
  <c r="AJ2024" i="1"/>
  <c r="AI2025" i="1"/>
  <c r="AJ2025" i="1"/>
  <c r="AI2026" i="1"/>
  <c r="AJ2026" i="1"/>
  <c r="AI2027" i="1"/>
  <c r="AJ2027" i="1"/>
  <c r="AI2028" i="1"/>
  <c r="AJ2028" i="1"/>
  <c r="AI2029" i="1"/>
  <c r="AJ2029" i="1"/>
  <c r="AI2030" i="1"/>
  <c r="AJ2030" i="1"/>
  <c r="AI2031" i="1"/>
  <c r="AJ2031" i="1"/>
  <c r="AI2032" i="1"/>
  <c r="AJ2032" i="1"/>
  <c r="AI2033" i="1"/>
  <c r="AJ2033" i="1"/>
  <c r="AI2034" i="1"/>
  <c r="AJ2034" i="1"/>
  <c r="AI2035" i="1"/>
  <c r="AJ2035" i="1"/>
  <c r="AI2036" i="1"/>
  <c r="AJ2036" i="1"/>
  <c r="AI2037" i="1"/>
  <c r="AJ2037" i="1"/>
  <c r="AI2038" i="1"/>
  <c r="AJ2038" i="1"/>
  <c r="AI2039" i="1"/>
  <c r="AJ2039" i="1"/>
  <c r="AI2040" i="1"/>
  <c r="AJ2040" i="1"/>
  <c r="AI2041" i="1"/>
  <c r="AJ2041" i="1"/>
  <c r="AI2042" i="1"/>
  <c r="AJ2042" i="1"/>
  <c r="AI2043" i="1"/>
  <c r="AJ2043" i="1"/>
  <c r="AI2044" i="1"/>
  <c r="AJ2044" i="1"/>
  <c r="AI2045" i="1"/>
  <c r="AJ2045" i="1"/>
  <c r="AI2046" i="1"/>
  <c r="AJ2046" i="1"/>
  <c r="AI2047" i="1"/>
  <c r="AJ2047" i="1"/>
  <c r="AI2048" i="1"/>
  <c r="AJ2048" i="1"/>
  <c r="AI2049" i="1"/>
  <c r="AJ2049" i="1"/>
  <c r="AI2050" i="1"/>
  <c r="AJ2050" i="1"/>
  <c r="AI2051" i="1"/>
  <c r="AJ2051" i="1"/>
  <c r="AI2052" i="1"/>
  <c r="AJ2052" i="1"/>
  <c r="AI2053" i="1"/>
  <c r="AJ2053" i="1"/>
  <c r="AI2054" i="1"/>
  <c r="AJ2054" i="1"/>
  <c r="AI2055" i="1"/>
  <c r="AJ2055" i="1"/>
  <c r="AI2056" i="1"/>
  <c r="AJ2056" i="1"/>
  <c r="AI2057" i="1"/>
  <c r="AJ2057" i="1"/>
  <c r="AI2058" i="1"/>
  <c r="AJ2058" i="1"/>
  <c r="AI2059" i="1"/>
  <c r="AJ2059" i="1"/>
  <c r="AI2060" i="1"/>
  <c r="AJ2060" i="1"/>
  <c r="AI2061" i="1"/>
  <c r="AJ2061" i="1"/>
  <c r="AI2062" i="1"/>
  <c r="AJ2062" i="1"/>
  <c r="AI2063" i="1"/>
  <c r="AJ2063" i="1"/>
  <c r="AI2064" i="1"/>
  <c r="AJ2064" i="1"/>
  <c r="AI2065" i="1"/>
  <c r="AJ2065" i="1"/>
  <c r="AI2066" i="1"/>
  <c r="AJ2066" i="1"/>
  <c r="AI2067" i="1"/>
  <c r="AJ2067" i="1"/>
  <c r="AI2068" i="1"/>
  <c r="AJ2068" i="1"/>
  <c r="AI2069" i="1"/>
  <c r="AJ2069" i="1"/>
  <c r="AI2070" i="1"/>
  <c r="AJ2070" i="1"/>
  <c r="AI2071" i="1"/>
  <c r="AJ2071" i="1"/>
  <c r="AI2072" i="1"/>
  <c r="AJ2072" i="1"/>
  <c r="AI2073" i="1"/>
  <c r="AJ2073" i="1"/>
  <c r="AI2074" i="1"/>
  <c r="AJ2074" i="1"/>
  <c r="AI2075" i="1"/>
  <c r="AJ2075" i="1"/>
  <c r="AI2076" i="1"/>
  <c r="AJ2076" i="1"/>
  <c r="AI2077" i="1"/>
  <c r="AJ2077" i="1"/>
  <c r="AI2078" i="1"/>
  <c r="AJ2078" i="1"/>
  <c r="AI2079" i="1"/>
  <c r="AJ2079" i="1"/>
  <c r="AI2080" i="1"/>
  <c r="AJ2080" i="1"/>
  <c r="AI2081" i="1"/>
  <c r="AJ2081" i="1"/>
  <c r="AI2082" i="1"/>
  <c r="AJ2082" i="1"/>
  <c r="AI2083" i="1"/>
  <c r="AJ2083" i="1"/>
  <c r="AI2084" i="1"/>
  <c r="AJ2084" i="1"/>
  <c r="AI2085" i="1"/>
  <c r="AJ2085" i="1"/>
  <c r="AI2086" i="1"/>
  <c r="AJ2086" i="1"/>
  <c r="AI2087" i="1"/>
  <c r="AJ2087" i="1"/>
  <c r="AI2088" i="1"/>
  <c r="AJ2088" i="1"/>
  <c r="AI2089" i="1"/>
  <c r="AJ2089" i="1"/>
  <c r="AI2090" i="1"/>
  <c r="AJ2090" i="1"/>
  <c r="AI2091" i="1"/>
  <c r="AJ2091" i="1"/>
  <c r="AI2092" i="1"/>
  <c r="AJ2092" i="1"/>
  <c r="AI2093" i="1"/>
  <c r="AJ2093" i="1"/>
  <c r="AI2094" i="1"/>
  <c r="AJ2094" i="1"/>
  <c r="AI2095" i="1"/>
  <c r="AJ2095" i="1"/>
  <c r="AI2096" i="1"/>
  <c r="AJ2096" i="1"/>
  <c r="AI2097" i="1"/>
  <c r="AJ2097" i="1"/>
  <c r="AI2098" i="1"/>
  <c r="AJ2098" i="1"/>
  <c r="AI2099" i="1"/>
  <c r="AJ2099" i="1"/>
  <c r="AI2100" i="1"/>
  <c r="AJ2100" i="1"/>
  <c r="AI2101" i="1"/>
  <c r="AJ2101" i="1"/>
  <c r="AI2102" i="1"/>
  <c r="AJ2102" i="1"/>
  <c r="AI2103" i="1"/>
  <c r="AJ2103" i="1"/>
  <c r="AI2104" i="1"/>
  <c r="AJ2104" i="1"/>
  <c r="AI2105" i="1"/>
  <c r="AJ2105" i="1"/>
  <c r="AI2106" i="1"/>
  <c r="AJ2106" i="1"/>
  <c r="AI2107" i="1"/>
  <c r="AJ2107" i="1"/>
  <c r="AI2108" i="1"/>
  <c r="AJ2108" i="1"/>
  <c r="AI2109" i="1"/>
  <c r="AJ2109" i="1"/>
  <c r="AI2110" i="1"/>
  <c r="AJ2110" i="1"/>
  <c r="AI2111" i="1"/>
  <c r="AJ2111" i="1"/>
  <c r="AI2112" i="1"/>
  <c r="AJ2112" i="1"/>
  <c r="AI2113" i="1"/>
  <c r="AJ2113" i="1"/>
  <c r="AI2114" i="1"/>
  <c r="AJ2114" i="1"/>
  <c r="AI2115" i="1"/>
  <c r="AJ2115" i="1"/>
  <c r="AI2116" i="1"/>
  <c r="AJ2116" i="1"/>
  <c r="AI2117" i="1"/>
  <c r="AJ2117" i="1"/>
  <c r="AI2118" i="1"/>
  <c r="AJ2118" i="1"/>
  <c r="AI2119" i="1"/>
  <c r="AJ2119" i="1"/>
  <c r="AI2120" i="1"/>
  <c r="AJ2120" i="1"/>
  <c r="AI2121" i="1"/>
  <c r="AJ2121" i="1"/>
  <c r="AI2122" i="1"/>
  <c r="AJ2122" i="1"/>
  <c r="AI2123" i="1"/>
  <c r="AJ2123" i="1"/>
  <c r="AI2124" i="1"/>
  <c r="AJ2124" i="1"/>
  <c r="AI2125" i="1"/>
  <c r="AJ2125" i="1"/>
  <c r="AI2126" i="1"/>
  <c r="AJ2126" i="1"/>
  <c r="AI2127" i="1"/>
  <c r="AJ2127" i="1"/>
  <c r="AI2128" i="1"/>
  <c r="AJ2128" i="1"/>
  <c r="AI2129" i="1"/>
  <c r="AJ2129" i="1"/>
  <c r="AI2130" i="1"/>
  <c r="AJ2130" i="1"/>
  <c r="AI2131" i="1"/>
  <c r="AJ2131" i="1"/>
  <c r="AI2132" i="1"/>
  <c r="AJ2132" i="1"/>
  <c r="AI2133" i="1"/>
  <c r="AJ2133" i="1"/>
  <c r="AI2134" i="1"/>
  <c r="AJ2134" i="1"/>
  <c r="AI2135" i="1"/>
  <c r="AJ2135" i="1"/>
  <c r="AI2136" i="1"/>
  <c r="AJ2136" i="1"/>
  <c r="AI2137" i="1"/>
  <c r="AJ2137" i="1"/>
  <c r="AI2138" i="1"/>
  <c r="AJ2138" i="1"/>
  <c r="AI2139" i="1"/>
  <c r="AJ2139" i="1"/>
  <c r="AI2140" i="1"/>
  <c r="AJ2140" i="1"/>
  <c r="AI2141" i="1"/>
  <c r="AJ2141" i="1"/>
  <c r="AI2142" i="1"/>
  <c r="AJ2142" i="1"/>
  <c r="AI2143" i="1"/>
  <c r="AJ2143" i="1"/>
  <c r="AI2144" i="1"/>
  <c r="AJ2144" i="1"/>
  <c r="AI2145" i="1"/>
  <c r="AJ2145" i="1"/>
  <c r="AI2146" i="1"/>
  <c r="AJ2146" i="1"/>
  <c r="AI2147" i="1"/>
  <c r="AJ2147" i="1"/>
  <c r="AI2148" i="1"/>
  <c r="AJ2148" i="1"/>
  <c r="AI2149" i="1"/>
  <c r="AJ2149" i="1"/>
  <c r="AI2150" i="1"/>
  <c r="AJ2150" i="1"/>
  <c r="AI2151" i="1"/>
  <c r="AJ2151" i="1"/>
  <c r="AI2152" i="1"/>
  <c r="AJ2152" i="1"/>
  <c r="AI2153" i="1"/>
  <c r="AJ2153" i="1"/>
  <c r="AI2154" i="1"/>
  <c r="AJ2154" i="1"/>
  <c r="AI2155" i="1"/>
  <c r="AJ2155" i="1"/>
  <c r="AI2156" i="1"/>
  <c r="AJ2156" i="1"/>
  <c r="AI2157" i="1"/>
  <c r="AJ2157" i="1"/>
  <c r="AI2158" i="1"/>
  <c r="AJ2158" i="1"/>
  <c r="AI2159" i="1"/>
  <c r="AJ2159" i="1"/>
  <c r="AI2160" i="1"/>
  <c r="AJ2160" i="1"/>
  <c r="AI2161" i="1"/>
  <c r="AJ2161" i="1"/>
  <c r="AI2162" i="1"/>
  <c r="AJ2162" i="1"/>
  <c r="AI2163" i="1"/>
  <c r="AJ2163" i="1"/>
  <c r="AI2164" i="1"/>
  <c r="AJ2164" i="1"/>
  <c r="AI2165" i="1"/>
  <c r="AJ2165" i="1"/>
  <c r="AI2166" i="1"/>
  <c r="AJ2166" i="1"/>
  <c r="AI2167" i="1"/>
  <c r="AJ2167" i="1"/>
  <c r="AI2168" i="1"/>
  <c r="AJ2168" i="1"/>
  <c r="AI2169" i="1"/>
  <c r="AJ2169" i="1"/>
  <c r="AI2170" i="1"/>
  <c r="AJ2170" i="1"/>
  <c r="AI2171" i="1"/>
  <c r="AJ2171" i="1"/>
  <c r="AI2172" i="1"/>
  <c r="AJ2172" i="1"/>
  <c r="AI2173" i="1"/>
  <c r="AJ2173" i="1"/>
  <c r="AI2174" i="1"/>
  <c r="AJ2174" i="1"/>
  <c r="AI2175" i="1"/>
  <c r="AJ2175" i="1"/>
  <c r="AI2176" i="1"/>
  <c r="AJ2176" i="1"/>
  <c r="AI2177" i="1"/>
  <c r="AJ2177" i="1"/>
  <c r="AI2178" i="1"/>
  <c r="AJ2178" i="1"/>
  <c r="AI2179" i="1"/>
  <c r="AJ2179" i="1"/>
  <c r="AI2180" i="1"/>
  <c r="AJ2180" i="1"/>
  <c r="AI2181" i="1"/>
  <c r="AJ2181" i="1"/>
  <c r="AI2182" i="1"/>
  <c r="AJ2182" i="1"/>
  <c r="AI2183" i="1"/>
  <c r="AJ2183" i="1"/>
  <c r="AI2184" i="1"/>
  <c r="AJ2184" i="1"/>
  <c r="AI2185" i="1"/>
  <c r="AJ2185" i="1"/>
  <c r="AI2186" i="1"/>
  <c r="AJ2186" i="1"/>
  <c r="AI2187" i="1"/>
  <c r="AJ2187" i="1"/>
  <c r="AI2188" i="1"/>
  <c r="AJ2188" i="1"/>
  <c r="AI2189" i="1"/>
  <c r="AJ2189" i="1"/>
  <c r="AI2190" i="1"/>
  <c r="AJ2190" i="1"/>
  <c r="AI2191" i="1"/>
  <c r="AJ2191" i="1"/>
  <c r="AI2192" i="1"/>
  <c r="AJ2192" i="1"/>
  <c r="AI2193" i="1"/>
  <c r="AJ2193" i="1"/>
  <c r="AI2194" i="1"/>
  <c r="AJ2194" i="1"/>
  <c r="AI2195" i="1"/>
  <c r="AJ2195" i="1"/>
  <c r="AI2196" i="1"/>
  <c r="AJ2196" i="1"/>
  <c r="AI2197" i="1"/>
  <c r="AJ2197" i="1"/>
  <c r="AI2198" i="1"/>
  <c r="AJ2198" i="1"/>
  <c r="AI2199" i="1"/>
  <c r="AJ2199" i="1"/>
  <c r="AI2200" i="1"/>
  <c r="AJ2200" i="1"/>
  <c r="AI2201" i="1"/>
  <c r="AJ2201" i="1"/>
  <c r="AI2202" i="1"/>
  <c r="AJ2202" i="1"/>
  <c r="AI2203" i="1"/>
  <c r="AJ2203" i="1"/>
  <c r="AI2204" i="1"/>
  <c r="AJ2204" i="1"/>
  <c r="AI2205" i="1"/>
  <c r="AJ2205" i="1"/>
  <c r="AI2206" i="1"/>
  <c r="AJ2206" i="1"/>
  <c r="AI2207" i="1"/>
  <c r="AJ2207" i="1"/>
  <c r="AI2208" i="1"/>
  <c r="AJ2208" i="1"/>
  <c r="AI2209" i="1"/>
  <c r="AJ2209" i="1"/>
  <c r="AI2210" i="1"/>
  <c r="AJ2210" i="1"/>
  <c r="AI2211" i="1"/>
  <c r="AJ2211" i="1"/>
  <c r="AI2212" i="1"/>
  <c r="AJ2212" i="1"/>
  <c r="AI2213" i="1"/>
  <c r="AJ2213" i="1"/>
  <c r="AI2214" i="1"/>
  <c r="AJ2214" i="1"/>
  <c r="AI2215" i="1"/>
  <c r="AJ2215" i="1"/>
  <c r="AI2216" i="1"/>
  <c r="AJ2216" i="1"/>
  <c r="AI2217" i="1"/>
  <c r="AJ2217" i="1"/>
  <c r="AI2218" i="1"/>
  <c r="AJ2218" i="1"/>
  <c r="AI2219" i="1"/>
  <c r="AJ2219" i="1"/>
  <c r="AI2220" i="1"/>
  <c r="AJ2220" i="1"/>
  <c r="AI2221" i="1"/>
  <c r="AJ2221" i="1"/>
  <c r="AI2222" i="1"/>
  <c r="AJ2222" i="1"/>
  <c r="AI2223" i="1"/>
  <c r="AJ2223" i="1"/>
  <c r="AI2224" i="1"/>
  <c r="AJ2224" i="1"/>
  <c r="AI2225" i="1"/>
  <c r="AJ2225" i="1"/>
  <c r="AI2226" i="1"/>
  <c r="AJ2226" i="1"/>
  <c r="AI2227" i="1"/>
  <c r="AJ2227" i="1"/>
  <c r="AI2228" i="1"/>
  <c r="AJ2228" i="1"/>
  <c r="AI2229" i="1"/>
  <c r="AJ2229" i="1"/>
  <c r="AI2230" i="1"/>
  <c r="AJ2230" i="1"/>
  <c r="AI2231" i="1"/>
  <c r="AJ2231" i="1"/>
  <c r="AI2232" i="1"/>
  <c r="AJ2232" i="1"/>
  <c r="AI2233" i="1"/>
  <c r="AJ2233" i="1"/>
  <c r="AI2234" i="1"/>
  <c r="AJ2234" i="1"/>
  <c r="AI2235" i="1"/>
  <c r="AJ2235" i="1"/>
  <c r="AI2236" i="1"/>
  <c r="AJ2236" i="1"/>
  <c r="AI2237" i="1"/>
  <c r="AJ2237" i="1"/>
  <c r="AI2238" i="1"/>
  <c r="AJ2238" i="1"/>
  <c r="AI2239" i="1"/>
  <c r="AJ2239" i="1"/>
  <c r="AI2240" i="1"/>
  <c r="AJ2240" i="1"/>
  <c r="AI2241" i="1"/>
  <c r="AJ2241" i="1"/>
  <c r="AI2242" i="1"/>
  <c r="AJ2242" i="1"/>
  <c r="AI2243" i="1"/>
  <c r="AJ2243" i="1"/>
  <c r="AI2244" i="1"/>
  <c r="AJ2244" i="1"/>
  <c r="AI2245" i="1"/>
  <c r="AJ2245" i="1"/>
  <c r="AI2246" i="1"/>
  <c r="AJ2246" i="1"/>
  <c r="AI2247" i="1"/>
  <c r="AJ2247" i="1"/>
  <c r="AI2248" i="1"/>
  <c r="AJ2248" i="1"/>
  <c r="AI2249" i="1"/>
  <c r="AJ2249" i="1"/>
  <c r="AI2250" i="1"/>
  <c r="AJ2250" i="1"/>
  <c r="AI2251" i="1"/>
  <c r="AJ2251" i="1"/>
  <c r="AI2252" i="1"/>
  <c r="AJ2252" i="1"/>
  <c r="AI2253" i="1"/>
  <c r="AJ2253" i="1"/>
  <c r="AI2254" i="1"/>
  <c r="AJ2254" i="1"/>
  <c r="AI2255" i="1"/>
  <c r="AJ2255" i="1"/>
  <c r="AI2256" i="1"/>
  <c r="AJ2256" i="1"/>
  <c r="AI2257" i="1"/>
  <c r="AJ2257" i="1"/>
  <c r="AI2258" i="1"/>
  <c r="AJ2258" i="1"/>
  <c r="AI2259" i="1"/>
  <c r="AJ2259" i="1"/>
  <c r="AI2260" i="1"/>
  <c r="AJ2260" i="1"/>
  <c r="AI2261" i="1"/>
  <c r="AJ2261" i="1"/>
  <c r="AI2262" i="1"/>
  <c r="AJ2262" i="1"/>
  <c r="AI2263" i="1"/>
  <c r="AJ2263" i="1"/>
  <c r="AI2264" i="1"/>
  <c r="AJ2264" i="1"/>
  <c r="AI2265" i="1"/>
  <c r="AJ2265" i="1"/>
  <c r="AI2266" i="1"/>
  <c r="AJ2266" i="1"/>
  <c r="AI2267" i="1"/>
  <c r="AJ2267" i="1"/>
  <c r="AI2268" i="1"/>
  <c r="AJ2268" i="1"/>
  <c r="AI2269" i="1"/>
  <c r="AJ2269" i="1"/>
  <c r="AI2270" i="1"/>
  <c r="AJ2270" i="1"/>
  <c r="AI2271" i="1"/>
  <c r="AJ2271" i="1"/>
  <c r="AI2272" i="1"/>
  <c r="AJ2272" i="1"/>
  <c r="AI2273" i="1"/>
  <c r="AJ2273" i="1"/>
  <c r="AI2274" i="1"/>
  <c r="AJ2274" i="1"/>
  <c r="AI2275" i="1"/>
  <c r="AJ2275" i="1"/>
  <c r="AI2276" i="1"/>
  <c r="AJ2276" i="1"/>
  <c r="AI2277" i="1"/>
  <c r="AJ2277" i="1"/>
  <c r="AI2278" i="1"/>
  <c r="AJ2278" i="1"/>
  <c r="AI2279" i="1"/>
  <c r="AJ2279" i="1"/>
  <c r="AI2280" i="1"/>
  <c r="AJ2280" i="1"/>
  <c r="AI2281" i="1"/>
  <c r="AJ2281" i="1"/>
  <c r="AI2282" i="1"/>
  <c r="AJ2282" i="1"/>
  <c r="AI2283" i="1"/>
  <c r="AJ2283" i="1"/>
  <c r="AI2284" i="1"/>
  <c r="AJ2284" i="1"/>
  <c r="AI2285" i="1"/>
  <c r="AJ2285" i="1"/>
  <c r="AI2286" i="1"/>
  <c r="AJ2286" i="1"/>
  <c r="AI2287" i="1"/>
  <c r="AJ2287" i="1"/>
  <c r="AI2288" i="1"/>
  <c r="AJ2288" i="1"/>
  <c r="AI2289" i="1"/>
  <c r="AJ2289" i="1"/>
  <c r="AI2290" i="1"/>
  <c r="AJ2290" i="1"/>
  <c r="AI2291" i="1"/>
  <c r="AJ2291" i="1"/>
  <c r="AI2292" i="1"/>
  <c r="AJ2292" i="1"/>
  <c r="AI2293" i="1"/>
  <c r="AJ2293" i="1"/>
  <c r="AI2294" i="1"/>
  <c r="AJ2294" i="1"/>
  <c r="AI2295" i="1"/>
  <c r="AJ2295" i="1"/>
  <c r="AI2296" i="1"/>
  <c r="AJ2296" i="1"/>
  <c r="AI2297" i="1"/>
  <c r="AJ2297" i="1"/>
  <c r="AI2298" i="1"/>
  <c r="AJ2298" i="1"/>
  <c r="AI2299" i="1"/>
  <c r="AJ2299" i="1"/>
  <c r="AI2300" i="1"/>
  <c r="AJ2300" i="1"/>
  <c r="AI2301" i="1"/>
  <c r="AJ2301" i="1"/>
  <c r="AI2302" i="1"/>
  <c r="AJ2302" i="1"/>
  <c r="AI2303" i="1"/>
  <c r="AJ2303" i="1"/>
  <c r="AI2304" i="1"/>
  <c r="AJ2304" i="1"/>
  <c r="AI2305" i="1"/>
  <c r="AJ2305" i="1"/>
  <c r="AI2306" i="1"/>
  <c r="AJ2306" i="1"/>
  <c r="AI2307" i="1"/>
  <c r="AJ2307" i="1"/>
  <c r="AI2308" i="1"/>
  <c r="AJ2308" i="1"/>
  <c r="AI2309" i="1"/>
  <c r="AJ2309" i="1"/>
  <c r="AI2310" i="1"/>
  <c r="AJ2310" i="1"/>
  <c r="AI2311" i="1"/>
  <c r="AJ2311" i="1"/>
  <c r="AI2312" i="1"/>
  <c r="AJ2312" i="1"/>
  <c r="AI2313" i="1"/>
  <c r="AJ2313" i="1"/>
  <c r="AI2314" i="1"/>
  <c r="AJ2314" i="1"/>
  <c r="AI2315" i="1"/>
  <c r="AJ2315" i="1"/>
  <c r="AI2316" i="1"/>
  <c r="AJ2316" i="1"/>
  <c r="AI2317" i="1"/>
  <c r="AJ2317" i="1"/>
  <c r="AI2318" i="1"/>
  <c r="AJ2318" i="1"/>
  <c r="AI2319" i="1"/>
  <c r="AJ2319" i="1"/>
  <c r="AI2320" i="1"/>
  <c r="AJ2320" i="1"/>
  <c r="AI2321" i="1"/>
  <c r="AJ2321" i="1"/>
  <c r="AI2322" i="1"/>
  <c r="AJ2322" i="1"/>
  <c r="AI2323" i="1"/>
  <c r="AJ2323" i="1"/>
  <c r="AI2324" i="1"/>
  <c r="AJ2324" i="1"/>
  <c r="AI2325" i="1"/>
  <c r="AJ2325" i="1"/>
  <c r="AI2326" i="1"/>
  <c r="AJ2326" i="1"/>
  <c r="AI2327" i="1"/>
  <c r="AJ2327" i="1"/>
  <c r="AI2328" i="1"/>
  <c r="AJ2328" i="1"/>
  <c r="AI2329" i="1"/>
  <c r="AJ2329" i="1"/>
  <c r="AI2330" i="1"/>
  <c r="AJ2330" i="1"/>
  <c r="AI2331" i="1"/>
  <c r="AJ2331" i="1"/>
  <c r="AI2332" i="1"/>
  <c r="AJ2332" i="1"/>
  <c r="AI2333" i="1"/>
  <c r="AJ2333" i="1"/>
  <c r="AI2334" i="1"/>
  <c r="AJ2334" i="1"/>
  <c r="AI2335" i="1"/>
  <c r="AJ2335" i="1"/>
  <c r="AI2336" i="1"/>
  <c r="AJ2336" i="1"/>
  <c r="AI2337" i="1"/>
  <c r="AJ2337" i="1"/>
  <c r="AI2338" i="1"/>
  <c r="AJ2338" i="1"/>
  <c r="AI2339" i="1"/>
  <c r="AJ2339" i="1"/>
  <c r="AI2340" i="1"/>
  <c r="AJ2340" i="1"/>
  <c r="AI2341" i="1"/>
  <c r="AJ2341" i="1"/>
  <c r="AI2342" i="1"/>
  <c r="AJ2342" i="1"/>
  <c r="AI2343" i="1"/>
  <c r="AJ2343" i="1"/>
  <c r="AI2344" i="1"/>
  <c r="AJ2344" i="1"/>
  <c r="AI2345" i="1"/>
  <c r="AJ2345" i="1"/>
  <c r="AI2346" i="1"/>
  <c r="AJ2346" i="1"/>
  <c r="AI2347" i="1"/>
  <c r="AJ2347" i="1"/>
  <c r="AI2348" i="1"/>
  <c r="AJ2348" i="1"/>
  <c r="AI2349" i="1"/>
  <c r="AJ2349" i="1"/>
  <c r="AI2350" i="1"/>
  <c r="AJ2350" i="1"/>
  <c r="AI2351" i="1"/>
  <c r="AJ2351" i="1"/>
  <c r="AI2352" i="1"/>
  <c r="AJ2352" i="1"/>
  <c r="AI2353" i="1"/>
  <c r="AJ2353" i="1"/>
  <c r="AI2354" i="1"/>
  <c r="AJ2354" i="1"/>
  <c r="AI2355" i="1"/>
  <c r="AJ2355" i="1"/>
  <c r="AI2356" i="1"/>
  <c r="AJ2356" i="1"/>
  <c r="AI2357" i="1"/>
  <c r="AJ2357" i="1"/>
  <c r="AI2358" i="1"/>
  <c r="AJ2358" i="1"/>
  <c r="AI2359" i="1"/>
  <c r="AJ2359" i="1"/>
  <c r="AI2360" i="1"/>
  <c r="AJ2360" i="1"/>
  <c r="AI2361" i="1"/>
  <c r="AJ2361" i="1"/>
  <c r="AI2362" i="1"/>
  <c r="AJ2362" i="1"/>
  <c r="AI2363" i="1"/>
  <c r="AJ2363" i="1"/>
  <c r="AI2364" i="1"/>
  <c r="AJ2364" i="1"/>
  <c r="AI2365" i="1"/>
  <c r="AJ2365" i="1"/>
  <c r="AI2366" i="1"/>
  <c r="AJ2366" i="1"/>
  <c r="AI2367" i="1"/>
  <c r="AJ2367" i="1"/>
  <c r="AI2368" i="1"/>
  <c r="AJ2368" i="1"/>
  <c r="AI2369" i="1"/>
  <c r="AJ2369" i="1"/>
  <c r="AI2370" i="1"/>
  <c r="AJ2370" i="1"/>
  <c r="AI2371" i="1"/>
  <c r="AJ2371" i="1"/>
  <c r="AI2372" i="1"/>
  <c r="AJ2372" i="1"/>
  <c r="AI2373" i="1"/>
  <c r="AJ2373" i="1"/>
  <c r="AI2374" i="1"/>
  <c r="AJ2374" i="1"/>
  <c r="AI2375" i="1"/>
  <c r="AJ2375" i="1"/>
  <c r="AI2376" i="1"/>
  <c r="AJ2376" i="1"/>
  <c r="AI2377" i="1"/>
  <c r="AJ2377" i="1"/>
  <c r="AI2378" i="1"/>
  <c r="AJ2378" i="1"/>
  <c r="AI2379" i="1"/>
  <c r="AJ2379" i="1"/>
  <c r="AI2380" i="1"/>
  <c r="AJ2380" i="1"/>
  <c r="AI2381" i="1"/>
  <c r="AJ2381" i="1"/>
  <c r="AI2382" i="1"/>
  <c r="AJ2382" i="1"/>
  <c r="AI2383" i="1"/>
  <c r="AJ2383" i="1"/>
  <c r="AI2384" i="1"/>
  <c r="AJ2384" i="1"/>
  <c r="AI2385" i="1"/>
  <c r="AJ2385" i="1"/>
  <c r="AI2386" i="1"/>
  <c r="AJ2386" i="1"/>
  <c r="AI2387" i="1"/>
  <c r="AJ2387" i="1"/>
  <c r="AI2388" i="1"/>
  <c r="AJ2388" i="1"/>
  <c r="AI2389" i="1"/>
  <c r="AJ2389" i="1"/>
  <c r="AI2390" i="1"/>
  <c r="AJ2390" i="1"/>
  <c r="AI2391" i="1"/>
  <c r="AJ2391" i="1"/>
  <c r="AI2392" i="1"/>
  <c r="AJ2392" i="1"/>
  <c r="AI2393" i="1"/>
  <c r="AJ2393" i="1"/>
  <c r="AI2394" i="1"/>
  <c r="AJ2394" i="1"/>
  <c r="AI2395" i="1"/>
  <c r="AJ2395" i="1"/>
  <c r="AI2396" i="1"/>
  <c r="AJ2396" i="1"/>
  <c r="AI2397" i="1"/>
  <c r="AJ2397" i="1"/>
  <c r="AI2398" i="1"/>
  <c r="AJ2398" i="1"/>
  <c r="AI2399" i="1"/>
  <c r="AJ2399" i="1"/>
  <c r="AI2400" i="1"/>
  <c r="AJ2400" i="1"/>
  <c r="AI2401" i="1"/>
  <c r="AJ2401" i="1"/>
  <c r="AI2402" i="1"/>
  <c r="AJ2402" i="1"/>
  <c r="AI2403" i="1"/>
  <c r="AJ2403" i="1"/>
  <c r="AI2404" i="1"/>
  <c r="AJ2404" i="1"/>
  <c r="AI2405" i="1"/>
  <c r="AJ2405" i="1"/>
  <c r="AI2406" i="1"/>
  <c r="AJ2406" i="1"/>
  <c r="AI2407" i="1"/>
  <c r="AJ2407" i="1"/>
  <c r="AI2408" i="1"/>
  <c r="AJ2408" i="1"/>
  <c r="AI2409" i="1"/>
  <c r="AJ2409" i="1"/>
  <c r="AI2410" i="1"/>
  <c r="AJ2410" i="1"/>
  <c r="AI2411" i="1"/>
  <c r="AJ2411" i="1"/>
  <c r="AI2412" i="1"/>
  <c r="AJ2412" i="1"/>
  <c r="AI2413" i="1"/>
  <c r="AJ2413" i="1"/>
  <c r="AI2414" i="1"/>
  <c r="AJ2414" i="1"/>
  <c r="AI2415" i="1"/>
  <c r="AJ2415" i="1"/>
  <c r="AI2416" i="1"/>
  <c r="AJ2416" i="1"/>
  <c r="AI2417" i="1"/>
  <c r="AJ2417" i="1"/>
  <c r="AI2418" i="1"/>
  <c r="AJ2418" i="1"/>
  <c r="AI2419" i="1"/>
  <c r="AJ2419" i="1"/>
  <c r="AI2420" i="1"/>
  <c r="AJ2420" i="1"/>
  <c r="AI2421" i="1"/>
  <c r="AJ2421" i="1"/>
  <c r="AI2422" i="1"/>
  <c r="AJ2422" i="1"/>
  <c r="AI2423" i="1"/>
  <c r="AJ2423" i="1"/>
  <c r="AI2424" i="1"/>
  <c r="AJ2424" i="1"/>
  <c r="AI2425" i="1"/>
  <c r="AJ2425" i="1"/>
  <c r="AI2426" i="1"/>
  <c r="AJ2426" i="1"/>
  <c r="AI2427" i="1"/>
  <c r="AJ2427" i="1"/>
  <c r="AI2428" i="1"/>
  <c r="AJ2428" i="1"/>
  <c r="AI2429" i="1"/>
  <c r="AJ2429" i="1"/>
  <c r="AI2430" i="1"/>
  <c r="AJ2430" i="1"/>
  <c r="AI2431" i="1"/>
  <c r="AJ2431" i="1"/>
  <c r="AI2432" i="1"/>
  <c r="AJ2432" i="1"/>
  <c r="AI2433" i="1"/>
  <c r="AJ2433" i="1"/>
  <c r="AI2434" i="1"/>
  <c r="AJ2434" i="1"/>
  <c r="AI2435" i="1"/>
  <c r="AJ2435" i="1"/>
  <c r="AI2436" i="1"/>
  <c r="AJ2436" i="1"/>
  <c r="AI2437" i="1"/>
  <c r="AJ2437" i="1"/>
  <c r="AI2438" i="1"/>
  <c r="AJ2438" i="1"/>
  <c r="AI2439" i="1"/>
  <c r="AJ2439" i="1"/>
  <c r="AI2440" i="1"/>
  <c r="AJ2440" i="1"/>
  <c r="AI2441" i="1"/>
  <c r="AJ2441" i="1"/>
  <c r="AI2442" i="1"/>
  <c r="AJ2442" i="1"/>
  <c r="AI2443" i="1"/>
  <c r="AJ2443" i="1"/>
  <c r="AI2444" i="1"/>
  <c r="AJ2444" i="1"/>
  <c r="AI2445" i="1"/>
  <c r="AJ2445" i="1"/>
  <c r="AI2446" i="1"/>
  <c r="AJ2446" i="1"/>
  <c r="AI2447" i="1"/>
  <c r="AJ2447" i="1"/>
  <c r="AI2448" i="1"/>
  <c r="AJ2448" i="1"/>
  <c r="AI2449" i="1"/>
  <c r="AJ2449" i="1"/>
  <c r="AI2450" i="1"/>
  <c r="AJ2450" i="1"/>
  <c r="AI2451" i="1"/>
  <c r="AJ2451" i="1"/>
  <c r="AI2452" i="1"/>
  <c r="AJ2452" i="1"/>
  <c r="AI2453" i="1"/>
  <c r="AJ2453" i="1"/>
  <c r="AI2454" i="1"/>
  <c r="AJ2454" i="1"/>
  <c r="AI2455" i="1"/>
  <c r="AJ2455" i="1"/>
  <c r="AI2456" i="1"/>
  <c r="AJ2456" i="1"/>
  <c r="AI2457" i="1"/>
  <c r="AJ2457" i="1"/>
  <c r="AI2458" i="1"/>
  <c r="AJ2458" i="1"/>
  <c r="AI2459" i="1"/>
  <c r="AJ2459" i="1"/>
  <c r="AI2460" i="1"/>
  <c r="AJ2460" i="1"/>
  <c r="AI2461" i="1"/>
  <c r="AJ2461" i="1"/>
  <c r="AI2462" i="1"/>
  <c r="AJ2462" i="1"/>
  <c r="AI2463" i="1"/>
  <c r="AJ2463" i="1"/>
  <c r="AI2464" i="1"/>
  <c r="AJ2464" i="1"/>
  <c r="AI2465" i="1"/>
  <c r="AJ2465" i="1"/>
  <c r="AI2466" i="1"/>
  <c r="AJ2466" i="1"/>
  <c r="AI2467" i="1"/>
  <c r="AJ2467" i="1"/>
  <c r="AI2468" i="1"/>
  <c r="AJ2468" i="1"/>
  <c r="AI2469" i="1"/>
  <c r="AJ2469" i="1"/>
  <c r="AI2470" i="1"/>
  <c r="AJ2470" i="1"/>
  <c r="AI2471" i="1"/>
  <c r="AJ2471" i="1"/>
  <c r="AI2472" i="1"/>
  <c r="AJ2472" i="1"/>
  <c r="AI2473" i="1"/>
  <c r="AJ2473" i="1"/>
  <c r="AI2474" i="1"/>
  <c r="AJ2474" i="1"/>
  <c r="AI2475" i="1"/>
  <c r="AJ2475" i="1"/>
  <c r="AI2476" i="1"/>
  <c r="AJ2476" i="1"/>
  <c r="AI2477" i="1"/>
  <c r="AJ2477" i="1"/>
  <c r="AI2478" i="1"/>
  <c r="AJ2478" i="1"/>
  <c r="AI2479" i="1"/>
  <c r="AJ2479" i="1"/>
  <c r="AI2480" i="1"/>
  <c r="AJ2480" i="1"/>
  <c r="AI2481" i="1"/>
  <c r="AJ2481" i="1"/>
  <c r="AI2482" i="1"/>
  <c r="AJ2482" i="1"/>
  <c r="AI2483" i="1"/>
  <c r="AJ2483" i="1"/>
  <c r="AI2484" i="1"/>
  <c r="AJ2484" i="1"/>
  <c r="AI2485" i="1"/>
  <c r="AJ2485" i="1"/>
  <c r="AI2486" i="1"/>
  <c r="AJ2486" i="1"/>
  <c r="AI2487" i="1"/>
  <c r="AJ2487" i="1"/>
  <c r="AI2488" i="1"/>
  <c r="AJ2488" i="1"/>
  <c r="AI2489" i="1"/>
  <c r="AJ2489" i="1"/>
  <c r="AI2490" i="1"/>
  <c r="AJ2490" i="1"/>
  <c r="AI2491" i="1"/>
  <c r="AJ2491" i="1"/>
  <c r="AI2492" i="1"/>
  <c r="AJ2492" i="1"/>
  <c r="AI2493" i="1"/>
  <c r="AJ2493" i="1"/>
  <c r="AI2494" i="1"/>
  <c r="AJ2494" i="1"/>
  <c r="AI2495" i="1"/>
  <c r="AJ2495" i="1"/>
  <c r="AI2496" i="1"/>
  <c r="AJ2496" i="1"/>
  <c r="AI2497" i="1"/>
  <c r="AJ2497" i="1"/>
  <c r="AI2498" i="1"/>
  <c r="AJ2498" i="1"/>
  <c r="AI2499" i="1"/>
  <c r="AJ2499" i="1"/>
  <c r="AI2500" i="1"/>
  <c r="AJ2500" i="1"/>
  <c r="AI2501" i="1"/>
  <c r="AJ2501" i="1"/>
  <c r="AI2502" i="1"/>
  <c r="AJ2502" i="1"/>
  <c r="AI2503" i="1"/>
  <c r="AJ2503" i="1"/>
  <c r="AI2504" i="1"/>
  <c r="AJ2504" i="1"/>
  <c r="AI2505" i="1"/>
  <c r="AJ2505" i="1"/>
  <c r="AI2506" i="1"/>
  <c r="AJ2506" i="1"/>
  <c r="AI2507" i="1"/>
  <c r="AJ2507" i="1"/>
  <c r="AI2508" i="1"/>
  <c r="AJ2508" i="1"/>
  <c r="AI2509" i="1"/>
  <c r="AJ2509" i="1"/>
  <c r="AI2510" i="1"/>
  <c r="AJ2510" i="1"/>
  <c r="AI2511" i="1"/>
  <c r="AJ2511" i="1"/>
  <c r="AI2512" i="1"/>
  <c r="AJ2512" i="1"/>
  <c r="AI2513" i="1"/>
  <c r="AJ2513" i="1"/>
  <c r="AI2514" i="1"/>
  <c r="AJ2514" i="1"/>
  <c r="AI2515" i="1"/>
  <c r="AJ2515" i="1"/>
  <c r="AI2516" i="1"/>
  <c r="AJ2516" i="1"/>
  <c r="AI2517" i="1"/>
  <c r="AJ2517" i="1"/>
  <c r="AI2518" i="1"/>
  <c r="AJ2518" i="1"/>
  <c r="AI2519" i="1"/>
  <c r="AJ2519" i="1"/>
  <c r="AI2520" i="1"/>
  <c r="AJ2520" i="1"/>
  <c r="AI2521" i="1"/>
  <c r="AJ2521" i="1"/>
  <c r="AI2522" i="1"/>
  <c r="AJ2522" i="1"/>
  <c r="AI2523" i="1"/>
  <c r="AJ2523" i="1"/>
  <c r="AI2524" i="1"/>
  <c r="AJ2524" i="1"/>
  <c r="AI2525" i="1"/>
  <c r="AJ2525" i="1"/>
  <c r="AI2526" i="1"/>
  <c r="AJ2526" i="1"/>
  <c r="AI2527" i="1"/>
  <c r="AJ2527" i="1"/>
  <c r="AI2528" i="1"/>
  <c r="AJ2528" i="1"/>
  <c r="AI2529" i="1"/>
  <c r="AJ2529" i="1"/>
  <c r="AI2530" i="1"/>
  <c r="AJ2530" i="1"/>
  <c r="AI2531" i="1"/>
  <c r="AJ2531" i="1"/>
  <c r="AI2532" i="1"/>
  <c r="AJ2532" i="1"/>
  <c r="AI2533" i="1"/>
  <c r="AJ2533" i="1"/>
  <c r="AI2534" i="1"/>
  <c r="AJ2534" i="1"/>
  <c r="AI2535" i="1"/>
  <c r="AJ2535" i="1"/>
  <c r="AI2536" i="1"/>
  <c r="AJ2536" i="1"/>
  <c r="AI2537" i="1"/>
  <c r="AJ2537" i="1"/>
  <c r="AI2538" i="1"/>
  <c r="AJ2538" i="1"/>
  <c r="AI2539" i="1"/>
  <c r="AJ2539" i="1"/>
  <c r="AI2540" i="1"/>
  <c r="AJ2540" i="1"/>
  <c r="AI2541" i="1"/>
  <c r="AJ2541" i="1"/>
  <c r="AI2542" i="1"/>
  <c r="AJ2542" i="1"/>
  <c r="AI2543" i="1"/>
  <c r="AJ2543" i="1"/>
  <c r="AI2544" i="1"/>
  <c r="AJ2544" i="1"/>
  <c r="AI2545" i="1"/>
  <c r="AJ2545" i="1"/>
  <c r="AI2546" i="1"/>
  <c r="AJ2546" i="1"/>
  <c r="AI2547" i="1"/>
  <c r="AJ2547" i="1"/>
  <c r="AI2548" i="1"/>
  <c r="AJ2548" i="1"/>
  <c r="AI2549" i="1"/>
  <c r="AJ2549" i="1"/>
  <c r="AI2550" i="1"/>
  <c r="AJ2550" i="1"/>
  <c r="AI2551" i="1"/>
  <c r="AJ2551" i="1"/>
  <c r="AI2552" i="1"/>
  <c r="AJ2552" i="1"/>
  <c r="AI2553" i="1"/>
  <c r="AJ2553" i="1"/>
  <c r="AI2554" i="1"/>
  <c r="AJ2554" i="1"/>
  <c r="AI2555" i="1"/>
  <c r="AJ2555" i="1"/>
  <c r="AI2556" i="1"/>
  <c r="AJ2556" i="1"/>
  <c r="AI2557" i="1"/>
  <c r="AJ2557" i="1"/>
  <c r="AI2558" i="1"/>
  <c r="AJ2558" i="1"/>
  <c r="AI2559" i="1"/>
  <c r="AJ2559" i="1"/>
  <c r="AI2560" i="1"/>
  <c r="AJ2560" i="1"/>
  <c r="AI2561" i="1"/>
  <c r="AJ2561" i="1"/>
  <c r="AI2562" i="1"/>
  <c r="AJ2562" i="1"/>
  <c r="AI2563" i="1"/>
  <c r="AJ2563" i="1"/>
  <c r="AI2564" i="1"/>
  <c r="AJ2564" i="1"/>
  <c r="AI2565" i="1"/>
  <c r="AJ2565" i="1"/>
  <c r="AI2566" i="1"/>
  <c r="AJ2566" i="1"/>
  <c r="AI2567" i="1"/>
  <c r="AJ2567" i="1"/>
  <c r="AI2568" i="1"/>
  <c r="AJ2568" i="1"/>
  <c r="AI2569" i="1"/>
  <c r="AJ2569" i="1"/>
  <c r="AI2570" i="1"/>
  <c r="AJ2570" i="1"/>
  <c r="AI2571" i="1"/>
  <c r="AJ2571" i="1"/>
  <c r="AI2572" i="1"/>
  <c r="AJ2572" i="1"/>
  <c r="AI2573" i="1"/>
  <c r="AJ2573" i="1"/>
  <c r="AI2574" i="1"/>
  <c r="AJ2574" i="1"/>
  <c r="AI2575" i="1"/>
  <c r="AJ2575" i="1"/>
  <c r="AI2576" i="1"/>
  <c r="AJ2576" i="1"/>
  <c r="AI2577" i="1"/>
  <c r="AJ2577" i="1"/>
  <c r="AI2578" i="1"/>
  <c r="AJ2578" i="1"/>
  <c r="AI2579" i="1"/>
  <c r="AJ2579" i="1"/>
  <c r="AI2580" i="1"/>
  <c r="AJ2580" i="1"/>
  <c r="AI2581" i="1"/>
  <c r="AJ2581" i="1"/>
  <c r="AI2582" i="1"/>
  <c r="AJ2582" i="1"/>
  <c r="AI2583" i="1"/>
  <c r="AJ2583" i="1"/>
  <c r="AI2584" i="1"/>
  <c r="AJ2584" i="1"/>
  <c r="AI2585" i="1"/>
  <c r="AJ2585" i="1"/>
  <c r="AI2586" i="1"/>
  <c r="AJ2586" i="1"/>
  <c r="AI2587" i="1"/>
  <c r="AJ2587" i="1"/>
  <c r="AI2588" i="1"/>
  <c r="AJ2588" i="1"/>
  <c r="AI2589" i="1"/>
  <c r="AJ2589" i="1"/>
  <c r="AI2590" i="1"/>
  <c r="AJ2590" i="1"/>
  <c r="AI2591" i="1"/>
  <c r="AJ2591" i="1"/>
  <c r="AI2592" i="1"/>
  <c r="AJ2592" i="1"/>
  <c r="AI2593" i="1"/>
  <c r="AJ2593" i="1"/>
  <c r="AI2594" i="1"/>
  <c r="AJ2594" i="1"/>
  <c r="AI2595" i="1"/>
  <c r="AJ2595" i="1"/>
  <c r="AI2596" i="1"/>
  <c r="AJ2596" i="1"/>
  <c r="AI2597" i="1"/>
  <c r="AJ2597" i="1"/>
  <c r="AI2598" i="1"/>
  <c r="AJ2598" i="1"/>
  <c r="AI2599" i="1"/>
  <c r="AJ2599" i="1"/>
  <c r="AI2600" i="1"/>
  <c r="AJ2600" i="1"/>
  <c r="AI2601" i="1"/>
  <c r="AJ2601" i="1"/>
  <c r="AI2602" i="1"/>
  <c r="AJ2602" i="1"/>
  <c r="AI2603" i="1"/>
  <c r="AJ2603" i="1"/>
  <c r="AI2604" i="1"/>
  <c r="AJ2604" i="1"/>
  <c r="AI2605" i="1"/>
  <c r="AJ2605" i="1"/>
  <c r="AI2606" i="1"/>
  <c r="AJ2606" i="1"/>
  <c r="AI2607" i="1"/>
  <c r="AJ2607" i="1"/>
  <c r="AI2608" i="1"/>
  <c r="AJ2608" i="1"/>
  <c r="AI2609" i="1"/>
  <c r="AJ2609" i="1"/>
  <c r="AI2610" i="1"/>
  <c r="AJ2610" i="1"/>
  <c r="AI2611" i="1"/>
  <c r="AJ2611" i="1"/>
  <c r="AI2612" i="1"/>
  <c r="AJ2612" i="1"/>
  <c r="AI2613" i="1"/>
  <c r="AJ2613" i="1"/>
  <c r="AI2614" i="1"/>
  <c r="AJ2614" i="1"/>
  <c r="AI2615" i="1"/>
  <c r="AJ2615" i="1"/>
  <c r="AI2616" i="1"/>
  <c r="AJ2616" i="1"/>
  <c r="AI2617" i="1"/>
  <c r="AJ2617" i="1"/>
  <c r="AI2618" i="1"/>
  <c r="AJ2618" i="1"/>
  <c r="AI2619" i="1"/>
  <c r="AJ2619" i="1"/>
  <c r="AI2620" i="1"/>
  <c r="AJ2620" i="1"/>
  <c r="AI2621" i="1"/>
  <c r="AJ2621" i="1"/>
  <c r="AI2622" i="1"/>
  <c r="AJ2622" i="1"/>
  <c r="AI2623" i="1"/>
  <c r="AJ2623" i="1"/>
  <c r="AI2624" i="1"/>
  <c r="AJ2624" i="1"/>
  <c r="AI2625" i="1"/>
  <c r="AJ2625" i="1"/>
  <c r="AI2626" i="1"/>
  <c r="AJ2626" i="1"/>
  <c r="AI2627" i="1"/>
  <c r="AJ2627" i="1"/>
  <c r="AI2628" i="1"/>
  <c r="AJ2628" i="1"/>
  <c r="AI2629" i="1"/>
  <c r="AJ2629" i="1"/>
  <c r="AI2630" i="1"/>
  <c r="AJ2630" i="1"/>
  <c r="AI2631" i="1"/>
  <c r="AJ2631" i="1"/>
  <c r="AI2632" i="1"/>
  <c r="AJ2632" i="1"/>
  <c r="AI2633" i="1"/>
  <c r="AJ2633" i="1"/>
  <c r="AI2634" i="1"/>
  <c r="AJ2634" i="1"/>
  <c r="AI2635" i="1"/>
  <c r="AJ2635" i="1"/>
  <c r="AI2636" i="1"/>
  <c r="AJ2636" i="1"/>
  <c r="AI2637" i="1"/>
  <c r="AJ2637" i="1"/>
  <c r="AI2638" i="1"/>
  <c r="AJ2638" i="1"/>
  <c r="AI2639" i="1"/>
  <c r="AJ2639" i="1"/>
  <c r="AI2640" i="1"/>
  <c r="AJ2640" i="1"/>
  <c r="AI2641" i="1"/>
  <c r="AJ2641" i="1"/>
  <c r="AI2642" i="1"/>
  <c r="AJ2642" i="1"/>
  <c r="AI2643" i="1"/>
  <c r="AJ2643" i="1"/>
  <c r="AI2644" i="1"/>
  <c r="AJ2644" i="1"/>
  <c r="AI2645" i="1"/>
  <c r="AJ2645" i="1"/>
  <c r="AI2646" i="1"/>
  <c r="AJ2646" i="1"/>
  <c r="AI2647" i="1"/>
  <c r="AJ2647" i="1"/>
  <c r="AI2648" i="1"/>
  <c r="AJ2648" i="1"/>
  <c r="AI2649" i="1"/>
  <c r="AJ2649" i="1"/>
  <c r="AI2650" i="1"/>
  <c r="AJ2650" i="1"/>
  <c r="AI2651" i="1"/>
  <c r="AJ2651" i="1"/>
  <c r="AI2652" i="1"/>
  <c r="AJ2652" i="1"/>
  <c r="AI2653" i="1"/>
  <c r="AJ2653" i="1"/>
  <c r="AI2654" i="1"/>
  <c r="AJ2654" i="1"/>
  <c r="AI2655" i="1"/>
  <c r="AJ2655" i="1"/>
  <c r="AI2656" i="1"/>
  <c r="AJ2656" i="1"/>
  <c r="AI2657" i="1"/>
  <c r="AJ2657" i="1"/>
  <c r="AI2658" i="1"/>
  <c r="AJ2658" i="1"/>
  <c r="AI2659" i="1"/>
  <c r="AJ2659" i="1"/>
  <c r="AI2660" i="1"/>
  <c r="AJ2660" i="1"/>
  <c r="AI2661" i="1"/>
  <c r="AJ2661" i="1"/>
  <c r="AI2662" i="1"/>
  <c r="AJ2662" i="1"/>
  <c r="AI2663" i="1"/>
  <c r="AJ2663" i="1"/>
  <c r="AI2664" i="1"/>
  <c r="AJ2664" i="1"/>
  <c r="AI2665" i="1"/>
  <c r="AJ2665" i="1"/>
  <c r="AI2666" i="1"/>
  <c r="AJ2666" i="1"/>
  <c r="AI2667" i="1"/>
  <c r="AJ2667" i="1"/>
  <c r="AI2668" i="1"/>
  <c r="AJ2668" i="1"/>
  <c r="AI2669" i="1"/>
  <c r="AJ2669" i="1"/>
  <c r="AI2670" i="1"/>
  <c r="AJ2670" i="1"/>
  <c r="AI2671" i="1"/>
  <c r="AJ2671" i="1"/>
  <c r="AI2672" i="1"/>
  <c r="AJ2672" i="1"/>
  <c r="AI2673" i="1"/>
  <c r="AJ2673" i="1"/>
  <c r="AI2674" i="1"/>
  <c r="AJ2674" i="1"/>
  <c r="AI2675" i="1"/>
  <c r="AJ2675" i="1"/>
  <c r="AI2676" i="1"/>
  <c r="AJ2676" i="1"/>
  <c r="AI2677" i="1"/>
  <c r="AJ2677" i="1"/>
  <c r="AI2678" i="1"/>
  <c r="AJ2678" i="1"/>
  <c r="AI2679" i="1"/>
  <c r="AJ2679" i="1"/>
  <c r="AI2680" i="1"/>
  <c r="AJ2680" i="1"/>
  <c r="AI2681" i="1"/>
  <c r="AJ2681" i="1"/>
  <c r="AI2682" i="1"/>
  <c r="AJ2682" i="1"/>
  <c r="AI2683" i="1"/>
  <c r="AJ2683" i="1"/>
  <c r="AI2684" i="1"/>
  <c r="AJ2684" i="1"/>
  <c r="AI2685" i="1"/>
  <c r="AJ2685" i="1"/>
  <c r="AI2686" i="1"/>
  <c r="AJ2686" i="1"/>
  <c r="AI2687" i="1"/>
  <c r="AJ2687" i="1"/>
  <c r="AI2688" i="1"/>
  <c r="AJ2688" i="1"/>
  <c r="AI2689" i="1"/>
  <c r="AJ2689" i="1"/>
  <c r="AI2690" i="1"/>
  <c r="AJ2690" i="1"/>
  <c r="AI2691" i="1"/>
  <c r="AJ2691" i="1"/>
  <c r="AI2692" i="1"/>
  <c r="AJ2692" i="1"/>
  <c r="AI2693" i="1"/>
  <c r="AJ2693" i="1"/>
  <c r="AI2694" i="1"/>
  <c r="AJ2694" i="1"/>
  <c r="AI2695" i="1"/>
  <c r="AJ2695" i="1"/>
  <c r="AI2696" i="1"/>
  <c r="AJ2696" i="1"/>
  <c r="AI2697" i="1"/>
  <c r="AJ2697" i="1"/>
  <c r="AI2698" i="1"/>
  <c r="AJ2698" i="1"/>
  <c r="AI2699" i="1"/>
  <c r="AJ2699" i="1"/>
  <c r="AI2700" i="1"/>
  <c r="AJ2700" i="1"/>
  <c r="AI2701" i="1"/>
  <c r="AJ2701" i="1"/>
  <c r="AI2702" i="1"/>
  <c r="AJ2702" i="1"/>
  <c r="AI2703" i="1"/>
  <c r="AJ2703" i="1"/>
  <c r="AI2704" i="1"/>
  <c r="AJ2704" i="1"/>
  <c r="AI2705" i="1"/>
  <c r="AJ2705" i="1"/>
  <c r="AI2706" i="1"/>
  <c r="AJ2706" i="1"/>
  <c r="AI2707" i="1"/>
  <c r="AJ2707" i="1"/>
  <c r="AI2708" i="1"/>
  <c r="AJ2708" i="1"/>
  <c r="AI2709" i="1"/>
  <c r="AJ2709" i="1"/>
  <c r="AI2710" i="1"/>
  <c r="AJ2710" i="1"/>
  <c r="AI2711" i="1"/>
  <c r="AJ2711" i="1"/>
  <c r="AI2712" i="1"/>
  <c r="AJ2712" i="1"/>
  <c r="AI2713" i="1"/>
  <c r="AJ2713" i="1"/>
  <c r="AI2714" i="1"/>
  <c r="AJ2714" i="1"/>
  <c r="AI2715" i="1"/>
  <c r="AJ2715" i="1"/>
  <c r="AI2716" i="1"/>
  <c r="AJ2716" i="1"/>
  <c r="AI2717" i="1"/>
  <c r="AJ2717" i="1"/>
  <c r="AI2718" i="1"/>
  <c r="AJ2718" i="1"/>
  <c r="AI2719" i="1"/>
  <c r="AJ2719" i="1"/>
  <c r="AI2720" i="1"/>
  <c r="AJ2720" i="1"/>
  <c r="AI2721" i="1"/>
  <c r="AJ2721" i="1"/>
  <c r="AI2722" i="1"/>
  <c r="AJ2722" i="1"/>
  <c r="AI2723" i="1"/>
  <c r="AJ2723" i="1"/>
  <c r="AI2724" i="1"/>
  <c r="AJ2724" i="1"/>
  <c r="AI2725" i="1"/>
  <c r="AJ2725" i="1"/>
  <c r="AI2726" i="1"/>
  <c r="AJ2726" i="1"/>
  <c r="AI2727" i="1"/>
  <c r="AJ2727" i="1"/>
  <c r="AI2728" i="1"/>
  <c r="AJ2728" i="1"/>
  <c r="AI2729" i="1"/>
  <c r="AJ2729" i="1"/>
  <c r="AI2730" i="1"/>
  <c r="AJ2730" i="1"/>
  <c r="AI2731" i="1"/>
  <c r="AJ2731" i="1"/>
  <c r="AI2732" i="1"/>
  <c r="AJ2732" i="1"/>
  <c r="AI2733" i="1"/>
  <c r="AJ2733" i="1"/>
  <c r="AI2734" i="1"/>
  <c r="AJ2734" i="1"/>
  <c r="AI2735" i="1"/>
  <c r="AJ2735" i="1"/>
  <c r="AI2736" i="1"/>
  <c r="AJ2736" i="1"/>
  <c r="AI2737" i="1"/>
  <c r="AJ2737" i="1"/>
  <c r="AI2738" i="1"/>
  <c r="AJ2738" i="1"/>
  <c r="AI2739" i="1"/>
  <c r="AJ2739" i="1"/>
  <c r="AI2740" i="1"/>
  <c r="AJ2740" i="1"/>
  <c r="AI2741" i="1"/>
  <c r="AJ2741" i="1"/>
  <c r="AI2742" i="1"/>
  <c r="AJ2742" i="1"/>
  <c r="AI2743" i="1"/>
  <c r="AJ2743" i="1"/>
  <c r="AI2744" i="1"/>
  <c r="AJ2744" i="1"/>
  <c r="AI2745" i="1"/>
  <c r="AJ2745" i="1"/>
  <c r="AI2746" i="1"/>
  <c r="AJ2746" i="1"/>
  <c r="AI2747" i="1"/>
  <c r="AJ2747" i="1"/>
  <c r="AI2748" i="1"/>
  <c r="AJ2748" i="1"/>
  <c r="AI2749" i="1"/>
  <c r="AJ2749" i="1"/>
  <c r="AI2750" i="1"/>
  <c r="AJ2750" i="1"/>
  <c r="AI2751" i="1"/>
  <c r="AJ2751" i="1"/>
  <c r="AI2752" i="1"/>
  <c r="AJ2752" i="1"/>
  <c r="AI2753" i="1"/>
  <c r="AJ2753" i="1"/>
  <c r="AI2754" i="1"/>
  <c r="AJ2754" i="1"/>
  <c r="AI2755" i="1"/>
  <c r="AJ2755" i="1"/>
  <c r="AI2756" i="1"/>
  <c r="AJ2756" i="1"/>
  <c r="AI2757" i="1"/>
  <c r="AJ2757" i="1"/>
  <c r="AI2758" i="1"/>
  <c r="AJ2758" i="1"/>
  <c r="AI2759" i="1"/>
  <c r="AJ2759" i="1"/>
  <c r="AI2760" i="1"/>
  <c r="AJ2760" i="1"/>
  <c r="AI2761" i="1"/>
  <c r="AJ2761" i="1"/>
  <c r="AI2762" i="1"/>
  <c r="AJ2762" i="1"/>
  <c r="AI2763" i="1"/>
  <c r="AJ2763" i="1"/>
  <c r="AI2764" i="1"/>
  <c r="AJ2764" i="1"/>
  <c r="AI2765" i="1"/>
  <c r="AJ2765" i="1"/>
  <c r="AI2766" i="1"/>
  <c r="AJ2766" i="1"/>
  <c r="AI2767" i="1"/>
  <c r="AJ2767" i="1"/>
  <c r="AI2768" i="1"/>
  <c r="AJ2768" i="1"/>
  <c r="AI2769" i="1"/>
  <c r="AJ2769" i="1"/>
  <c r="AI2770" i="1"/>
  <c r="AJ2770" i="1"/>
  <c r="AI2771" i="1"/>
  <c r="AJ2771" i="1"/>
  <c r="AI2772" i="1"/>
  <c r="AJ2772" i="1"/>
  <c r="AI2773" i="1"/>
  <c r="AJ2773" i="1"/>
  <c r="AI2774" i="1"/>
  <c r="AJ2774" i="1"/>
  <c r="AI2775" i="1"/>
  <c r="AJ2775" i="1"/>
  <c r="AI2776" i="1"/>
  <c r="AJ2776" i="1"/>
  <c r="AI2777" i="1"/>
  <c r="AJ2777" i="1"/>
  <c r="AI2778" i="1"/>
  <c r="AJ2778" i="1"/>
  <c r="AI2779" i="1"/>
  <c r="AJ2779" i="1"/>
  <c r="AI2780" i="1"/>
  <c r="AJ2780" i="1"/>
  <c r="AI2781" i="1"/>
  <c r="AJ2781" i="1"/>
  <c r="AI2782" i="1"/>
  <c r="AJ2782" i="1"/>
  <c r="AI2783" i="1"/>
  <c r="AJ2783" i="1"/>
  <c r="AI2784" i="1"/>
  <c r="AJ2784" i="1"/>
  <c r="AI2785" i="1"/>
  <c r="AJ2785" i="1"/>
  <c r="AI2786" i="1"/>
  <c r="AJ2786" i="1"/>
  <c r="AI2787" i="1"/>
  <c r="AJ2787" i="1"/>
  <c r="AI2788" i="1"/>
  <c r="AJ2788" i="1"/>
  <c r="AI2789" i="1"/>
  <c r="AJ2789" i="1"/>
  <c r="AI2790" i="1"/>
  <c r="AJ2790" i="1"/>
  <c r="AI2791" i="1"/>
  <c r="AJ2791" i="1"/>
  <c r="AI2792" i="1"/>
  <c r="AJ2792" i="1"/>
  <c r="AI2793" i="1"/>
  <c r="AJ2793" i="1"/>
  <c r="AI2794" i="1"/>
  <c r="AJ2794" i="1"/>
  <c r="AI2795" i="1"/>
  <c r="AJ2795" i="1"/>
  <c r="AI2796" i="1"/>
  <c r="AJ2796" i="1"/>
  <c r="AI2797" i="1"/>
  <c r="AJ2797" i="1"/>
  <c r="AI2798" i="1"/>
  <c r="AJ2798" i="1"/>
  <c r="AI2799" i="1"/>
  <c r="AJ2799" i="1"/>
  <c r="AI2800" i="1"/>
  <c r="AJ2800" i="1"/>
  <c r="AI2801" i="1"/>
  <c r="AJ2801" i="1"/>
  <c r="AI2802" i="1"/>
  <c r="AJ2802" i="1"/>
  <c r="AI2803" i="1"/>
  <c r="AJ2803" i="1"/>
  <c r="AI2804" i="1"/>
  <c r="AJ2804" i="1"/>
  <c r="AI2805" i="1"/>
  <c r="AJ2805" i="1"/>
  <c r="AI2806" i="1"/>
  <c r="AJ2806" i="1"/>
  <c r="AI2807" i="1"/>
  <c r="AJ2807" i="1"/>
  <c r="AI2808" i="1"/>
  <c r="AJ2808" i="1"/>
  <c r="AI2809" i="1"/>
  <c r="AJ2809" i="1"/>
  <c r="AI2810" i="1"/>
  <c r="AJ2810" i="1"/>
  <c r="AI2811" i="1"/>
  <c r="AJ2811" i="1"/>
  <c r="AI2812" i="1"/>
  <c r="AJ2812" i="1"/>
  <c r="AI2813" i="1"/>
  <c r="AJ2813" i="1"/>
  <c r="AI2814" i="1"/>
  <c r="AJ2814" i="1"/>
  <c r="AI2815" i="1"/>
  <c r="AJ2815" i="1"/>
  <c r="AI2816" i="1"/>
  <c r="AJ2816" i="1"/>
  <c r="AI2817" i="1"/>
  <c r="AJ2817" i="1"/>
  <c r="AI2818" i="1"/>
  <c r="AJ2818" i="1"/>
  <c r="AI2819" i="1"/>
  <c r="AJ2819" i="1"/>
  <c r="AI2820" i="1"/>
  <c r="AJ2820" i="1"/>
  <c r="AI2821" i="1"/>
  <c r="AJ2821" i="1"/>
  <c r="AI2822" i="1"/>
  <c r="AJ2822" i="1"/>
  <c r="AI2823" i="1"/>
  <c r="AJ2823" i="1"/>
  <c r="AI2824" i="1"/>
  <c r="AJ2824" i="1"/>
  <c r="AI2825" i="1"/>
  <c r="AJ2825" i="1"/>
  <c r="AI2826" i="1"/>
  <c r="AJ2826" i="1"/>
  <c r="AI2827" i="1"/>
  <c r="AJ2827" i="1"/>
  <c r="AI2828" i="1"/>
  <c r="AJ2828" i="1"/>
  <c r="AI2829" i="1"/>
  <c r="AJ2829" i="1"/>
  <c r="AI2830" i="1"/>
  <c r="AJ2830" i="1"/>
  <c r="AI2831" i="1"/>
  <c r="AJ2831" i="1"/>
  <c r="AI2832" i="1"/>
  <c r="AJ2832" i="1"/>
  <c r="AI2833" i="1"/>
  <c r="AJ2833" i="1"/>
  <c r="AI2834" i="1"/>
  <c r="AJ2834" i="1"/>
  <c r="AI2835" i="1"/>
  <c r="AJ2835" i="1"/>
  <c r="AI2836" i="1"/>
  <c r="AJ2836" i="1"/>
  <c r="AI2837" i="1"/>
  <c r="AJ2837" i="1"/>
  <c r="AI2838" i="1"/>
  <c r="AJ2838" i="1"/>
  <c r="AI2839" i="1"/>
  <c r="AJ2839" i="1"/>
  <c r="AI2840" i="1"/>
  <c r="AJ2840" i="1"/>
  <c r="AI2841" i="1"/>
  <c r="AJ2841" i="1"/>
  <c r="AI2842" i="1"/>
  <c r="AJ2842" i="1"/>
  <c r="AI2843" i="1"/>
  <c r="AJ2843" i="1"/>
  <c r="AI2844" i="1"/>
  <c r="AJ2844" i="1"/>
  <c r="AI2845" i="1"/>
  <c r="AJ2845" i="1"/>
  <c r="AI2846" i="1"/>
  <c r="AJ2846" i="1"/>
  <c r="AI2847" i="1"/>
  <c r="AJ2847" i="1"/>
  <c r="AI2848" i="1"/>
  <c r="AJ2848" i="1"/>
  <c r="AI2849" i="1"/>
  <c r="AJ2849" i="1"/>
  <c r="AI2850" i="1"/>
  <c r="AJ2850" i="1"/>
  <c r="AI2851" i="1"/>
  <c r="AJ2851" i="1"/>
  <c r="AI2852" i="1"/>
  <c r="AJ2852" i="1"/>
  <c r="AI2853" i="1"/>
  <c r="AJ2853" i="1"/>
  <c r="AI2854" i="1"/>
  <c r="AJ2854" i="1"/>
  <c r="AI2855" i="1"/>
  <c r="AJ2855" i="1"/>
  <c r="AI2856" i="1"/>
  <c r="AJ2856" i="1"/>
  <c r="AI2857" i="1"/>
  <c r="AJ2857" i="1"/>
  <c r="AI2858" i="1"/>
  <c r="AJ2858" i="1"/>
  <c r="AI2859" i="1"/>
  <c r="AJ2859" i="1"/>
  <c r="AI2860" i="1"/>
  <c r="AJ2860" i="1"/>
  <c r="AI2861" i="1"/>
  <c r="AJ2861" i="1"/>
  <c r="AI2862" i="1"/>
  <c r="AJ2862" i="1"/>
  <c r="AI2863" i="1"/>
  <c r="AJ2863" i="1"/>
  <c r="AI2864" i="1"/>
  <c r="AJ2864" i="1"/>
  <c r="AI2865" i="1"/>
  <c r="AJ2865" i="1"/>
  <c r="AI2866" i="1"/>
  <c r="AJ2866" i="1"/>
  <c r="AI2867" i="1"/>
  <c r="AJ2867" i="1"/>
  <c r="AI2868" i="1"/>
  <c r="AJ2868" i="1"/>
  <c r="AI2869" i="1"/>
  <c r="AJ2869" i="1"/>
  <c r="AI2870" i="1"/>
  <c r="AJ2870" i="1"/>
  <c r="AI2871" i="1"/>
  <c r="AJ2871" i="1"/>
  <c r="AI2872" i="1"/>
  <c r="AJ2872" i="1"/>
  <c r="AI2873" i="1"/>
  <c r="AJ2873" i="1"/>
  <c r="AI2874" i="1"/>
  <c r="AJ2874" i="1"/>
  <c r="AI2875" i="1"/>
  <c r="AJ2875" i="1"/>
  <c r="AI2876" i="1"/>
  <c r="AJ2876" i="1"/>
  <c r="AI2877" i="1"/>
  <c r="AJ2877" i="1"/>
  <c r="AI2878" i="1"/>
  <c r="AJ2878" i="1"/>
  <c r="AI2879" i="1"/>
  <c r="AJ2879" i="1"/>
  <c r="AI2880" i="1"/>
  <c r="AJ2880" i="1"/>
  <c r="AI2881" i="1"/>
  <c r="AJ2881" i="1"/>
  <c r="AI2882" i="1"/>
  <c r="AJ2882" i="1"/>
  <c r="AI2883" i="1"/>
  <c r="AJ2883" i="1"/>
  <c r="AI2884" i="1"/>
  <c r="AJ2884" i="1"/>
  <c r="AI2885" i="1"/>
  <c r="AJ2885" i="1"/>
  <c r="AI2886" i="1"/>
  <c r="AJ2886" i="1"/>
  <c r="AI2887" i="1"/>
  <c r="AJ2887" i="1"/>
  <c r="AI2888" i="1"/>
  <c r="AJ2888" i="1"/>
  <c r="AI2889" i="1"/>
  <c r="AJ2889" i="1"/>
  <c r="AI2890" i="1"/>
  <c r="AJ2890" i="1"/>
  <c r="AI2891" i="1"/>
  <c r="AJ2891" i="1"/>
  <c r="AI2892" i="1"/>
  <c r="AJ2892" i="1"/>
  <c r="AI2893" i="1"/>
  <c r="AJ2893" i="1"/>
  <c r="AI2894" i="1"/>
  <c r="AJ2894" i="1"/>
  <c r="AI2895" i="1"/>
  <c r="AJ2895" i="1"/>
  <c r="AI2896" i="1"/>
  <c r="AJ2896" i="1"/>
  <c r="AI2897" i="1"/>
  <c r="AJ2897" i="1"/>
  <c r="AI2898" i="1"/>
  <c r="AJ2898" i="1"/>
  <c r="AI2899" i="1"/>
  <c r="AJ2899" i="1"/>
  <c r="AI2900" i="1"/>
  <c r="AJ2900" i="1"/>
  <c r="AI2901" i="1"/>
  <c r="AJ2901" i="1"/>
  <c r="AI2902" i="1"/>
  <c r="AJ2902" i="1"/>
  <c r="AI2903" i="1"/>
  <c r="AJ2903" i="1"/>
  <c r="AI2904" i="1"/>
  <c r="AJ2904" i="1"/>
  <c r="AI2905" i="1"/>
  <c r="AJ2905" i="1"/>
  <c r="AI2906" i="1"/>
  <c r="AJ2906" i="1"/>
  <c r="AI2907" i="1"/>
  <c r="AJ2907" i="1"/>
  <c r="AI2908" i="1"/>
  <c r="AJ2908" i="1"/>
  <c r="AI2909" i="1"/>
  <c r="AJ2909" i="1"/>
  <c r="AI2910" i="1"/>
  <c r="AJ2910" i="1"/>
  <c r="AI2911" i="1"/>
  <c r="AJ2911" i="1"/>
  <c r="AI2912" i="1"/>
  <c r="AJ2912" i="1"/>
  <c r="AI2913" i="1"/>
  <c r="AJ2913" i="1"/>
  <c r="AI2914" i="1"/>
  <c r="AJ2914" i="1"/>
  <c r="AI2915" i="1"/>
  <c r="AJ2915" i="1"/>
  <c r="AI2916" i="1"/>
  <c r="AJ2916" i="1"/>
  <c r="AI2917" i="1"/>
  <c r="AJ2917" i="1"/>
  <c r="AI2918" i="1"/>
  <c r="AJ2918" i="1"/>
  <c r="AI2919" i="1"/>
  <c r="AJ2919" i="1"/>
  <c r="AI2920" i="1"/>
  <c r="AJ2920" i="1"/>
  <c r="AI2921" i="1"/>
  <c r="AJ2921" i="1"/>
  <c r="AI2922" i="1"/>
  <c r="AJ2922" i="1"/>
  <c r="AI2923" i="1"/>
  <c r="AJ2923" i="1"/>
  <c r="AI2924" i="1"/>
  <c r="AJ2924" i="1"/>
  <c r="AI2925" i="1"/>
  <c r="AJ2925" i="1"/>
  <c r="AI2926" i="1"/>
  <c r="AJ2926" i="1"/>
  <c r="AI2927" i="1"/>
  <c r="AJ2927" i="1"/>
  <c r="AI2928" i="1"/>
  <c r="AJ2928" i="1"/>
  <c r="AI2929" i="1"/>
  <c r="AJ2929" i="1"/>
  <c r="AI2930" i="1"/>
  <c r="AJ2930" i="1"/>
  <c r="AI2931" i="1"/>
  <c r="AJ2931" i="1"/>
  <c r="AI2932" i="1"/>
  <c r="AJ2932" i="1"/>
  <c r="AI2933" i="1"/>
  <c r="AJ2933" i="1"/>
  <c r="AI2934" i="1"/>
  <c r="AJ2934" i="1"/>
  <c r="AI2935" i="1"/>
  <c r="AJ2935" i="1"/>
  <c r="AI2936" i="1"/>
  <c r="AJ2936" i="1"/>
  <c r="AI2937" i="1"/>
  <c r="AJ2937" i="1"/>
  <c r="AI2938" i="1"/>
  <c r="AJ2938" i="1"/>
  <c r="AI2939" i="1"/>
  <c r="AJ2939" i="1"/>
  <c r="AI2940" i="1"/>
  <c r="AJ2940" i="1"/>
  <c r="AI2941" i="1"/>
  <c r="AJ2941" i="1"/>
  <c r="AI2942" i="1"/>
  <c r="AJ2942" i="1"/>
  <c r="AI2943" i="1"/>
  <c r="AJ2943" i="1"/>
  <c r="AI2944" i="1"/>
  <c r="AJ2944" i="1"/>
  <c r="AI2945" i="1"/>
  <c r="AJ2945" i="1"/>
  <c r="AI2946" i="1"/>
  <c r="AJ2946" i="1"/>
  <c r="AI2947" i="1"/>
  <c r="AJ2947" i="1"/>
  <c r="AI2948" i="1"/>
  <c r="AJ2948" i="1"/>
  <c r="AI2949" i="1"/>
  <c r="AJ2949" i="1"/>
  <c r="AI2950" i="1"/>
  <c r="AJ2950" i="1"/>
  <c r="AI2951" i="1"/>
  <c r="AJ2951" i="1"/>
  <c r="AI2952" i="1"/>
  <c r="AJ2952" i="1"/>
  <c r="AI2953" i="1"/>
  <c r="AJ2953" i="1"/>
  <c r="AI2954" i="1"/>
  <c r="AJ2954" i="1"/>
  <c r="AI2955" i="1"/>
  <c r="AJ2955" i="1"/>
  <c r="AI2956" i="1"/>
  <c r="AJ2956" i="1"/>
  <c r="AI2957" i="1"/>
  <c r="AJ2957" i="1"/>
  <c r="AI2958" i="1"/>
  <c r="AJ2958" i="1"/>
  <c r="AI2959" i="1"/>
  <c r="AJ2959" i="1"/>
  <c r="AI2960" i="1"/>
  <c r="AJ2960" i="1"/>
  <c r="AI2961" i="1"/>
  <c r="AJ2961" i="1"/>
  <c r="AI2962" i="1"/>
  <c r="AJ2962" i="1"/>
  <c r="AI2963" i="1"/>
  <c r="AJ2963" i="1"/>
  <c r="AI2964" i="1"/>
  <c r="AJ2964" i="1"/>
  <c r="AI2965" i="1"/>
  <c r="AJ2965" i="1"/>
  <c r="AI2966" i="1"/>
  <c r="AJ2966" i="1"/>
  <c r="AI2967" i="1"/>
  <c r="AJ2967" i="1"/>
  <c r="AI2968" i="1"/>
  <c r="AJ2968" i="1"/>
  <c r="AI2969" i="1"/>
  <c r="AJ2969" i="1"/>
  <c r="AI2970" i="1"/>
  <c r="AJ2970" i="1"/>
  <c r="AI2971" i="1"/>
  <c r="AJ2971" i="1"/>
  <c r="AI2972" i="1"/>
  <c r="AJ2972" i="1"/>
  <c r="AI2973" i="1"/>
  <c r="AJ2973" i="1"/>
  <c r="AI2974" i="1"/>
  <c r="AJ2974" i="1"/>
  <c r="AI2975" i="1"/>
  <c r="AJ2975" i="1"/>
  <c r="AI2976" i="1"/>
  <c r="AJ2976" i="1"/>
  <c r="AI2977" i="1"/>
  <c r="AJ2977" i="1"/>
  <c r="AI2978" i="1"/>
  <c r="AJ2978" i="1"/>
  <c r="AI2979" i="1"/>
  <c r="AJ2979" i="1"/>
  <c r="AI2980" i="1"/>
  <c r="AJ2980" i="1"/>
  <c r="AI2981" i="1"/>
  <c r="AJ2981" i="1"/>
  <c r="AI2982" i="1"/>
  <c r="AJ2982" i="1"/>
  <c r="AI2983" i="1"/>
  <c r="AJ2983" i="1"/>
  <c r="AI2984" i="1"/>
  <c r="AJ2984" i="1"/>
  <c r="AI2985" i="1"/>
  <c r="AJ2985" i="1"/>
  <c r="AI2986" i="1"/>
  <c r="AJ2986" i="1"/>
  <c r="AI2987" i="1"/>
  <c r="AJ2987" i="1"/>
  <c r="AI2988" i="1"/>
  <c r="AJ2988" i="1"/>
  <c r="AI2989" i="1"/>
  <c r="AJ2989" i="1"/>
  <c r="AI2990" i="1"/>
  <c r="AJ2990" i="1"/>
  <c r="AI2991" i="1"/>
  <c r="AJ2991" i="1"/>
  <c r="AI2992" i="1"/>
  <c r="AJ2992" i="1"/>
  <c r="AI2993" i="1"/>
  <c r="AJ2993" i="1"/>
  <c r="AI2994" i="1"/>
  <c r="AJ2994" i="1"/>
  <c r="AI2995" i="1"/>
  <c r="AJ2995" i="1"/>
  <c r="AI2996" i="1"/>
  <c r="AJ2996" i="1"/>
  <c r="AI2997" i="1"/>
  <c r="AJ2997" i="1"/>
  <c r="AI2998" i="1"/>
  <c r="AJ2998" i="1"/>
  <c r="AI2999" i="1"/>
  <c r="AJ2999" i="1"/>
  <c r="AI3000" i="1"/>
  <c r="AJ3000" i="1"/>
  <c r="AI3001" i="1"/>
  <c r="AJ3001" i="1"/>
  <c r="AI3002" i="1"/>
  <c r="AJ3002" i="1"/>
  <c r="AI3003" i="1"/>
  <c r="AJ3003" i="1"/>
  <c r="AI3004" i="1"/>
  <c r="AJ3004" i="1"/>
  <c r="AI3005" i="1"/>
  <c r="AJ3005" i="1"/>
  <c r="AI3006" i="1"/>
  <c r="AJ3006" i="1"/>
  <c r="AI3007" i="1"/>
  <c r="AJ3007" i="1"/>
  <c r="AI3008" i="1"/>
  <c r="AJ3008" i="1"/>
  <c r="AI3009" i="1"/>
  <c r="AJ3009" i="1"/>
  <c r="AI3010" i="1"/>
  <c r="AJ3010" i="1"/>
  <c r="AI3011" i="1"/>
  <c r="AJ3011" i="1"/>
  <c r="AI3012" i="1"/>
  <c r="AJ3012" i="1"/>
  <c r="AI3013" i="1"/>
  <c r="AJ3013" i="1"/>
  <c r="AI3014" i="1"/>
  <c r="AJ3014" i="1"/>
  <c r="AI3015" i="1"/>
  <c r="AJ3015" i="1"/>
  <c r="AI3016" i="1"/>
  <c r="AJ3016" i="1"/>
  <c r="AI3017" i="1"/>
  <c r="AJ3017" i="1"/>
  <c r="AI3018" i="1"/>
  <c r="AJ3018" i="1"/>
  <c r="AI3019" i="1"/>
  <c r="AJ3019" i="1"/>
  <c r="AI3020" i="1"/>
  <c r="AJ3020" i="1"/>
  <c r="AI3021" i="1"/>
  <c r="AJ3021" i="1"/>
  <c r="AI3022" i="1"/>
  <c r="AJ3022" i="1"/>
  <c r="AI3023" i="1"/>
  <c r="AJ3023" i="1"/>
  <c r="AI3024" i="1"/>
  <c r="AJ3024" i="1"/>
  <c r="AI3025" i="1"/>
  <c r="AJ3025" i="1"/>
  <c r="AI3026" i="1"/>
  <c r="AJ3026" i="1"/>
  <c r="AI3027" i="1"/>
  <c r="AJ3027" i="1"/>
  <c r="AI3028" i="1"/>
  <c r="AJ3028" i="1"/>
  <c r="AI3029" i="1"/>
  <c r="AJ3029" i="1"/>
  <c r="AI3030" i="1"/>
  <c r="AJ3030" i="1"/>
  <c r="AI3031" i="1"/>
  <c r="AJ3031" i="1"/>
  <c r="AI3032" i="1"/>
  <c r="AJ3032" i="1"/>
  <c r="AI3033" i="1"/>
  <c r="AJ3033" i="1"/>
  <c r="AI3034" i="1"/>
  <c r="AJ3034" i="1"/>
  <c r="AI3035" i="1"/>
  <c r="AJ3035" i="1"/>
  <c r="AI3036" i="1"/>
  <c r="AJ3036" i="1"/>
  <c r="AI3037" i="1"/>
  <c r="AJ3037" i="1"/>
  <c r="AI3038" i="1"/>
  <c r="AJ3038" i="1"/>
  <c r="AI3039" i="1"/>
  <c r="AJ3039" i="1"/>
  <c r="AI3040" i="1"/>
  <c r="AJ3040" i="1"/>
  <c r="AI3041" i="1"/>
  <c r="AJ3041" i="1"/>
  <c r="AI3042" i="1"/>
  <c r="AJ3042" i="1"/>
  <c r="AI3043" i="1"/>
  <c r="AJ3043" i="1"/>
  <c r="AI3044" i="1"/>
  <c r="AJ3044" i="1"/>
  <c r="AI3045" i="1"/>
  <c r="AJ3045" i="1"/>
  <c r="AI3046" i="1"/>
  <c r="AJ3046" i="1"/>
  <c r="AI3047" i="1"/>
  <c r="AJ3047" i="1"/>
  <c r="AI3048" i="1"/>
  <c r="AJ3048" i="1"/>
  <c r="AI3049" i="1"/>
  <c r="AJ3049" i="1"/>
  <c r="AI3050" i="1"/>
  <c r="AJ3050" i="1"/>
  <c r="AI3051" i="1"/>
  <c r="AJ3051" i="1"/>
  <c r="AI3052" i="1"/>
  <c r="AJ3052" i="1"/>
  <c r="AI3053" i="1"/>
  <c r="AJ3053" i="1"/>
  <c r="AI3054" i="1"/>
  <c r="AJ3054" i="1"/>
  <c r="AI3055" i="1"/>
  <c r="AJ3055" i="1"/>
  <c r="AI3056" i="1"/>
  <c r="AJ3056" i="1"/>
  <c r="AI3057" i="1"/>
  <c r="AJ3057" i="1"/>
  <c r="AI3058" i="1"/>
  <c r="AJ3058" i="1"/>
  <c r="AI3059" i="1"/>
  <c r="AJ3059" i="1"/>
  <c r="AI3060" i="1"/>
  <c r="AJ3060" i="1"/>
  <c r="AI3061" i="1"/>
  <c r="AJ3061" i="1"/>
  <c r="AI3062" i="1"/>
  <c r="AJ3062" i="1"/>
  <c r="AI3063" i="1"/>
  <c r="AJ3063" i="1"/>
  <c r="AI3064" i="1"/>
  <c r="AJ3064" i="1"/>
  <c r="AI3065" i="1"/>
  <c r="AJ3065" i="1"/>
  <c r="AI3066" i="1"/>
  <c r="AJ3066" i="1"/>
  <c r="AI3067" i="1"/>
  <c r="AJ3067" i="1"/>
  <c r="AI3068" i="1"/>
  <c r="AJ3068" i="1"/>
  <c r="AI3069" i="1"/>
  <c r="AJ3069" i="1"/>
  <c r="AI3070" i="1"/>
  <c r="AJ3070" i="1"/>
  <c r="AI3071" i="1"/>
  <c r="AJ3071" i="1"/>
  <c r="AI3072" i="1"/>
  <c r="AJ3072" i="1"/>
  <c r="AI3073" i="1"/>
  <c r="AJ3073" i="1"/>
  <c r="AI3074" i="1"/>
  <c r="AJ3074" i="1"/>
  <c r="AI3075" i="1"/>
  <c r="AJ3075" i="1"/>
  <c r="AI3076" i="1"/>
  <c r="AJ3076" i="1"/>
  <c r="AI3077" i="1"/>
  <c r="AJ3077" i="1"/>
  <c r="AI3078" i="1"/>
  <c r="AJ3078" i="1"/>
  <c r="AI3079" i="1"/>
  <c r="AJ3079" i="1"/>
  <c r="AI3080" i="1"/>
  <c r="AJ3080" i="1"/>
  <c r="AI3081" i="1"/>
  <c r="AJ3081" i="1"/>
  <c r="AI3082" i="1"/>
  <c r="AJ3082" i="1"/>
  <c r="AI3083" i="1"/>
  <c r="AJ3083" i="1"/>
  <c r="AI3084" i="1"/>
  <c r="AJ3084" i="1"/>
  <c r="AI3085" i="1"/>
  <c r="AJ3085" i="1"/>
  <c r="AI3086" i="1"/>
  <c r="AJ3086" i="1"/>
  <c r="AI3087" i="1"/>
  <c r="AJ3087" i="1"/>
  <c r="AI3088" i="1"/>
  <c r="AJ3088" i="1"/>
  <c r="AI3089" i="1"/>
  <c r="AJ3089" i="1"/>
  <c r="AI3090" i="1"/>
  <c r="AJ3090" i="1"/>
  <c r="AI3091" i="1"/>
  <c r="AJ3091" i="1"/>
  <c r="AI3092" i="1"/>
  <c r="AJ3092" i="1"/>
  <c r="AI3093" i="1"/>
  <c r="AJ3093" i="1"/>
  <c r="AI3094" i="1"/>
  <c r="AJ3094" i="1"/>
  <c r="AI3095" i="1"/>
  <c r="AJ3095" i="1"/>
  <c r="AI3096" i="1"/>
  <c r="AJ3096" i="1"/>
  <c r="AI3097" i="1"/>
  <c r="AJ3097" i="1"/>
  <c r="AI3098" i="1"/>
  <c r="AJ3098" i="1"/>
  <c r="AI3099" i="1"/>
  <c r="AJ3099" i="1"/>
  <c r="AI3100" i="1"/>
  <c r="AJ3100" i="1"/>
  <c r="AI3101" i="1"/>
  <c r="AJ3101" i="1"/>
  <c r="AI3102" i="1"/>
  <c r="AJ3102" i="1"/>
  <c r="AI3103" i="1"/>
  <c r="AJ3103" i="1"/>
  <c r="AI3104" i="1"/>
  <c r="AJ3104" i="1"/>
  <c r="AI3105" i="1"/>
  <c r="AJ3105" i="1"/>
  <c r="AI3106" i="1"/>
  <c r="AJ3106" i="1"/>
  <c r="AI3107" i="1"/>
  <c r="AJ3107" i="1"/>
  <c r="AI3108" i="1"/>
  <c r="AJ3108" i="1"/>
  <c r="AI3109" i="1"/>
  <c r="AJ3109" i="1"/>
  <c r="AI3110" i="1"/>
  <c r="AJ3110" i="1"/>
  <c r="AI3111" i="1"/>
  <c r="AJ3111" i="1"/>
  <c r="AI3112" i="1"/>
  <c r="AJ3112" i="1"/>
  <c r="AI3113" i="1"/>
  <c r="AJ3113" i="1"/>
  <c r="AI3114" i="1"/>
  <c r="AJ3114" i="1"/>
  <c r="AI3115" i="1"/>
  <c r="AJ3115" i="1"/>
  <c r="AI3116" i="1"/>
  <c r="AJ3116" i="1"/>
  <c r="AI3117" i="1"/>
  <c r="AJ3117" i="1"/>
  <c r="AI3118" i="1"/>
  <c r="AJ3118" i="1"/>
  <c r="AI3119" i="1"/>
  <c r="AJ3119" i="1"/>
  <c r="AI3120" i="1"/>
  <c r="AJ3120" i="1"/>
  <c r="AI3121" i="1"/>
  <c r="AJ3121" i="1"/>
  <c r="AI3122" i="1"/>
  <c r="AJ3122" i="1"/>
  <c r="AI3123" i="1"/>
  <c r="AJ3123" i="1"/>
  <c r="AI3124" i="1"/>
  <c r="AJ3124" i="1"/>
  <c r="AI3125" i="1"/>
  <c r="AJ3125" i="1"/>
  <c r="AI3126" i="1"/>
  <c r="AJ3126" i="1"/>
  <c r="AI3127" i="1"/>
  <c r="AJ3127" i="1"/>
  <c r="AI3128" i="1"/>
  <c r="AJ3128" i="1"/>
  <c r="AI3129" i="1"/>
  <c r="AJ3129" i="1"/>
  <c r="AI3130" i="1"/>
  <c r="AJ3130" i="1"/>
  <c r="AI3131" i="1"/>
  <c r="AJ3131" i="1"/>
  <c r="AI3132" i="1"/>
  <c r="AJ3132" i="1"/>
  <c r="AI3133" i="1"/>
  <c r="AJ3133" i="1"/>
  <c r="AI3134" i="1"/>
  <c r="AJ3134" i="1"/>
  <c r="AI3135" i="1"/>
  <c r="AJ3135" i="1"/>
  <c r="AI3136" i="1"/>
  <c r="AJ3136" i="1"/>
  <c r="AI3137" i="1"/>
  <c r="AJ3137" i="1"/>
  <c r="AI3138" i="1"/>
  <c r="AJ3138" i="1"/>
  <c r="AI3139" i="1"/>
  <c r="AJ3139" i="1"/>
  <c r="AI3140" i="1"/>
  <c r="AJ3140" i="1"/>
  <c r="AI3141" i="1"/>
  <c r="AJ3141" i="1"/>
  <c r="AI3142" i="1"/>
  <c r="AJ3142" i="1"/>
  <c r="AI3143" i="1"/>
  <c r="AJ3143" i="1"/>
  <c r="AI3144" i="1"/>
  <c r="AJ3144" i="1"/>
  <c r="AI3145" i="1"/>
  <c r="AJ3145" i="1"/>
  <c r="AI3146" i="1"/>
  <c r="AJ3146" i="1"/>
  <c r="AI3147" i="1"/>
  <c r="AJ3147" i="1"/>
  <c r="AI3148" i="1"/>
  <c r="AJ3148" i="1"/>
  <c r="AI3149" i="1"/>
  <c r="AJ3149" i="1"/>
  <c r="AI3150" i="1"/>
  <c r="AJ3150" i="1"/>
  <c r="AI3151" i="1"/>
  <c r="AJ3151" i="1"/>
  <c r="AI3152" i="1"/>
  <c r="AJ3152" i="1"/>
  <c r="AI3153" i="1"/>
  <c r="AJ3153" i="1"/>
  <c r="AI3154" i="1"/>
  <c r="AJ3154" i="1"/>
  <c r="AI3155" i="1"/>
  <c r="AJ3155" i="1"/>
  <c r="AI3156" i="1"/>
  <c r="AJ3156" i="1"/>
  <c r="AI3157" i="1"/>
  <c r="AJ3157" i="1"/>
  <c r="AI3158" i="1"/>
  <c r="AJ3158" i="1"/>
  <c r="AI3159" i="1"/>
  <c r="AJ3159" i="1"/>
  <c r="AI3160" i="1"/>
  <c r="AJ3160" i="1"/>
  <c r="AI3161" i="1"/>
  <c r="AJ3161" i="1"/>
  <c r="AI3162" i="1"/>
  <c r="AJ3162" i="1"/>
  <c r="AI3163" i="1"/>
  <c r="AJ3163" i="1"/>
  <c r="AI3164" i="1"/>
  <c r="AJ3164" i="1"/>
  <c r="AI3165" i="1"/>
  <c r="AJ3165" i="1"/>
  <c r="AI3166" i="1"/>
  <c r="AJ3166" i="1"/>
  <c r="AI3167" i="1"/>
  <c r="AJ3167" i="1"/>
  <c r="AI3168" i="1"/>
  <c r="AJ3168" i="1"/>
  <c r="AI3169" i="1"/>
  <c r="AJ3169" i="1"/>
  <c r="AI3170" i="1"/>
  <c r="AJ3170" i="1"/>
  <c r="AI3171" i="1"/>
  <c r="AJ3171" i="1"/>
  <c r="AI3172" i="1"/>
  <c r="AJ3172" i="1"/>
  <c r="AI3173" i="1"/>
  <c r="AJ3173" i="1"/>
  <c r="AI3174" i="1"/>
  <c r="AJ3174" i="1"/>
  <c r="AI3175" i="1"/>
  <c r="AJ3175" i="1"/>
  <c r="AI3176" i="1"/>
  <c r="AJ3176" i="1"/>
  <c r="AI3177" i="1"/>
  <c r="AJ3177" i="1"/>
  <c r="AI3178" i="1"/>
  <c r="AJ3178" i="1"/>
  <c r="AI3179" i="1"/>
  <c r="AJ3179" i="1"/>
  <c r="AI3180" i="1"/>
  <c r="AJ3180" i="1"/>
  <c r="AI3181" i="1"/>
  <c r="AJ3181" i="1"/>
  <c r="AI3182" i="1"/>
  <c r="AJ3182" i="1"/>
  <c r="AI3183" i="1"/>
  <c r="AJ3183" i="1"/>
  <c r="AI3184" i="1"/>
  <c r="AJ3184" i="1"/>
  <c r="AI3185" i="1"/>
  <c r="AJ3185" i="1"/>
  <c r="AI3186" i="1"/>
  <c r="AJ3186" i="1"/>
  <c r="AI3187" i="1"/>
  <c r="AJ3187" i="1"/>
  <c r="AI3188" i="1"/>
  <c r="AJ3188" i="1"/>
  <c r="AI3189" i="1"/>
  <c r="AJ3189" i="1"/>
  <c r="AI3190" i="1"/>
  <c r="AJ3190" i="1"/>
  <c r="AI3191" i="1"/>
  <c r="AJ3191" i="1"/>
  <c r="AI3192" i="1"/>
  <c r="AJ3192" i="1"/>
  <c r="AI3193" i="1"/>
  <c r="AJ3193" i="1"/>
  <c r="AI3194" i="1"/>
  <c r="AJ3194" i="1"/>
  <c r="AI3195" i="1"/>
  <c r="AJ3195" i="1"/>
  <c r="AI3196" i="1"/>
  <c r="AJ3196" i="1"/>
  <c r="AI3197" i="1"/>
  <c r="AJ3197" i="1"/>
  <c r="AI3198" i="1"/>
  <c r="AJ3198" i="1"/>
  <c r="AI3199" i="1"/>
  <c r="AJ3199" i="1"/>
  <c r="AI3200" i="1"/>
  <c r="AJ3200" i="1"/>
  <c r="AI3201" i="1"/>
  <c r="AJ3201" i="1"/>
  <c r="AI3202" i="1"/>
  <c r="AJ3202" i="1"/>
  <c r="AI3203" i="1"/>
  <c r="AJ3203" i="1"/>
  <c r="AI3204" i="1"/>
  <c r="AJ3204" i="1"/>
  <c r="AI3205" i="1"/>
  <c r="AJ3205" i="1"/>
  <c r="AI3206" i="1"/>
  <c r="AJ3206" i="1"/>
  <c r="AI3207" i="1"/>
  <c r="AJ3207" i="1"/>
  <c r="AI3208" i="1"/>
  <c r="AJ3208" i="1"/>
  <c r="AI3209" i="1"/>
  <c r="AJ3209" i="1"/>
  <c r="AI3210" i="1"/>
  <c r="AJ3210" i="1"/>
  <c r="AI3211" i="1"/>
  <c r="AJ3211" i="1"/>
  <c r="AI3212" i="1"/>
  <c r="AJ3212" i="1"/>
  <c r="AI3213" i="1"/>
  <c r="AJ3213" i="1"/>
  <c r="AI3214" i="1"/>
  <c r="AJ3214" i="1"/>
  <c r="AI3215" i="1"/>
  <c r="AJ3215" i="1"/>
  <c r="AI3216" i="1"/>
  <c r="AJ3216" i="1"/>
  <c r="AI3217" i="1"/>
  <c r="AJ3217" i="1"/>
  <c r="AI3218" i="1"/>
  <c r="AJ3218" i="1"/>
  <c r="AI3219" i="1"/>
  <c r="AJ3219" i="1"/>
  <c r="AI3220" i="1"/>
  <c r="AJ3220" i="1"/>
  <c r="AI3221" i="1"/>
  <c r="AJ3221" i="1"/>
  <c r="AI3222" i="1"/>
  <c r="AJ3222" i="1"/>
  <c r="AI3223" i="1"/>
  <c r="AJ3223" i="1"/>
  <c r="AI3224" i="1"/>
  <c r="AJ3224" i="1"/>
  <c r="AI3225" i="1"/>
  <c r="AJ3225" i="1"/>
  <c r="AI3226" i="1"/>
  <c r="AJ3226" i="1"/>
  <c r="AI3227" i="1"/>
  <c r="AJ3227" i="1"/>
  <c r="AI3228" i="1"/>
  <c r="AJ3228" i="1"/>
  <c r="AI3229" i="1"/>
  <c r="AJ3229" i="1"/>
  <c r="AI3230" i="1"/>
  <c r="AJ3230" i="1"/>
  <c r="AI3231" i="1"/>
  <c r="AJ3231" i="1"/>
  <c r="AI3232" i="1"/>
  <c r="AJ3232" i="1"/>
  <c r="AI3233" i="1"/>
  <c r="AJ3233" i="1"/>
  <c r="AI3234" i="1"/>
  <c r="AJ3234" i="1"/>
  <c r="AI3235" i="1"/>
  <c r="AJ3235" i="1"/>
  <c r="AI3236" i="1"/>
  <c r="AJ3236" i="1"/>
  <c r="AI3237" i="1"/>
  <c r="AJ3237" i="1"/>
  <c r="AI3238" i="1"/>
  <c r="AJ3238" i="1"/>
  <c r="AI3239" i="1"/>
  <c r="AJ3239" i="1"/>
  <c r="AI3240" i="1"/>
  <c r="AJ3240" i="1"/>
  <c r="AI3241" i="1"/>
  <c r="AJ3241" i="1"/>
  <c r="AI3242" i="1"/>
  <c r="AJ3242" i="1"/>
  <c r="AI3243" i="1"/>
  <c r="AJ3243" i="1"/>
  <c r="AI3244" i="1"/>
  <c r="AJ3244" i="1"/>
  <c r="AI3245" i="1"/>
  <c r="AJ3245" i="1"/>
  <c r="AI3246" i="1"/>
  <c r="AJ3246" i="1"/>
  <c r="AI3247" i="1"/>
  <c r="AJ3247" i="1"/>
  <c r="AI3248" i="1"/>
  <c r="AJ3248" i="1"/>
  <c r="AI3249" i="1"/>
  <c r="AJ3249" i="1"/>
  <c r="AI3250" i="1"/>
  <c r="AJ3250" i="1"/>
  <c r="AI3251" i="1"/>
  <c r="AJ3251" i="1"/>
  <c r="AI3252" i="1"/>
  <c r="AJ3252" i="1"/>
  <c r="AI3253" i="1"/>
  <c r="AJ3253" i="1"/>
  <c r="AI3254" i="1"/>
  <c r="AJ3254" i="1"/>
  <c r="AI3255" i="1"/>
  <c r="AJ3255" i="1"/>
  <c r="AI3256" i="1"/>
  <c r="AJ3256" i="1"/>
  <c r="AI3257" i="1"/>
  <c r="AJ3257" i="1"/>
  <c r="AI3258" i="1"/>
  <c r="AJ3258" i="1"/>
  <c r="AI3259" i="1"/>
  <c r="AJ3259" i="1"/>
  <c r="AI3260" i="1"/>
  <c r="AJ3260" i="1"/>
  <c r="AI3261" i="1"/>
  <c r="AJ3261" i="1"/>
  <c r="AI3262" i="1"/>
  <c r="AJ3262" i="1"/>
  <c r="AI3263" i="1"/>
  <c r="AJ3263" i="1"/>
  <c r="AI3264" i="1"/>
  <c r="AJ3264" i="1"/>
  <c r="AI3265" i="1"/>
  <c r="AJ3265" i="1"/>
  <c r="AI3266" i="1"/>
  <c r="AJ3266" i="1"/>
  <c r="AI3267" i="1"/>
  <c r="AJ3267" i="1"/>
  <c r="AI3268" i="1"/>
  <c r="AJ3268" i="1"/>
  <c r="AI3269" i="1"/>
  <c r="AJ3269" i="1"/>
  <c r="AI3270" i="1"/>
  <c r="AJ3270" i="1"/>
  <c r="AI3271" i="1"/>
  <c r="AJ3271" i="1"/>
  <c r="AI3272" i="1"/>
  <c r="AJ3272" i="1"/>
  <c r="AI3273" i="1"/>
  <c r="AJ3273" i="1"/>
  <c r="AI3274" i="1"/>
  <c r="AJ3274" i="1"/>
  <c r="AI3275" i="1"/>
  <c r="AJ3275" i="1"/>
  <c r="AI3276" i="1"/>
  <c r="AJ3276" i="1"/>
  <c r="AI3277" i="1"/>
  <c r="AJ3277" i="1"/>
  <c r="AI3278" i="1"/>
  <c r="AJ3278" i="1"/>
  <c r="AI3279" i="1"/>
  <c r="AJ3279" i="1"/>
  <c r="AI3280" i="1"/>
  <c r="AJ3280" i="1"/>
  <c r="AI3281" i="1"/>
  <c r="AJ3281" i="1"/>
  <c r="AI3282" i="1"/>
  <c r="AJ3282" i="1"/>
  <c r="AI3283" i="1"/>
  <c r="AJ3283" i="1"/>
  <c r="AI3284" i="1"/>
  <c r="AJ3284" i="1"/>
  <c r="AI3285" i="1"/>
  <c r="AJ3285" i="1"/>
  <c r="AI3286" i="1"/>
  <c r="AJ3286" i="1"/>
  <c r="AI3287" i="1"/>
  <c r="AJ3287" i="1"/>
  <c r="AI3288" i="1"/>
  <c r="AJ3288" i="1"/>
  <c r="AI3289" i="1"/>
  <c r="AJ3289" i="1"/>
  <c r="AI3290" i="1"/>
  <c r="AJ3290" i="1"/>
  <c r="AI3291" i="1"/>
  <c r="AJ3291" i="1"/>
  <c r="AI3292" i="1"/>
  <c r="AJ3292" i="1"/>
  <c r="AI3293" i="1"/>
  <c r="AJ3293" i="1"/>
  <c r="AI3294" i="1"/>
  <c r="AJ3294" i="1"/>
  <c r="AI3295" i="1"/>
  <c r="AJ3295" i="1"/>
  <c r="AI3296" i="1"/>
  <c r="AJ3296" i="1"/>
  <c r="AI3297" i="1"/>
  <c r="AJ3297" i="1"/>
  <c r="AI3298" i="1"/>
  <c r="AJ3298" i="1"/>
  <c r="AI3299" i="1"/>
  <c r="AJ3299" i="1"/>
  <c r="AI3300" i="1"/>
  <c r="AJ3300" i="1"/>
  <c r="AI3301" i="1"/>
  <c r="AJ3301" i="1"/>
  <c r="AI3302" i="1"/>
  <c r="AJ3302" i="1"/>
  <c r="AI3303" i="1"/>
  <c r="AJ3303" i="1"/>
  <c r="AI3304" i="1"/>
  <c r="AJ3304" i="1"/>
  <c r="AI3305" i="1"/>
  <c r="AJ3305" i="1"/>
  <c r="AI3306" i="1"/>
  <c r="AJ3306" i="1"/>
  <c r="AI3307" i="1"/>
  <c r="AJ3307" i="1"/>
  <c r="AI3308" i="1"/>
  <c r="AJ3308" i="1"/>
  <c r="AI3309" i="1"/>
  <c r="AJ3309" i="1"/>
  <c r="AI3310" i="1"/>
  <c r="AJ3310" i="1"/>
  <c r="AI3311" i="1"/>
  <c r="AJ3311" i="1"/>
  <c r="AI3312" i="1"/>
  <c r="AJ3312" i="1"/>
  <c r="AI3313" i="1"/>
  <c r="AJ3313" i="1"/>
  <c r="AI3314" i="1"/>
  <c r="AJ3314" i="1"/>
  <c r="AI3315" i="1"/>
  <c r="AJ3315" i="1"/>
  <c r="AI3316" i="1"/>
  <c r="AJ3316" i="1"/>
  <c r="AI3317" i="1"/>
  <c r="AJ3317" i="1"/>
  <c r="AI3318" i="1"/>
  <c r="AJ3318" i="1"/>
  <c r="AI3319" i="1"/>
  <c r="AJ3319" i="1"/>
  <c r="AI3320" i="1"/>
  <c r="AJ3320" i="1"/>
  <c r="AI3321" i="1"/>
  <c r="AJ3321" i="1"/>
  <c r="AI3322" i="1"/>
  <c r="AJ3322" i="1"/>
  <c r="AI3323" i="1"/>
  <c r="AJ3323" i="1"/>
  <c r="AI3324" i="1"/>
  <c r="AJ3324" i="1"/>
  <c r="AI3325" i="1"/>
  <c r="AJ3325" i="1"/>
  <c r="AI3326" i="1"/>
  <c r="AJ3326" i="1"/>
  <c r="AI3327" i="1"/>
  <c r="AJ3327" i="1"/>
  <c r="AI3328" i="1"/>
  <c r="AJ3328" i="1"/>
  <c r="AI3329" i="1"/>
  <c r="AJ3329" i="1"/>
  <c r="AI3330" i="1"/>
  <c r="AJ3330" i="1"/>
  <c r="AI3331" i="1"/>
  <c r="AJ3331" i="1"/>
  <c r="AI3332" i="1"/>
  <c r="AJ3332" i="1"/>
  <c r="AI3333" i="1"/>
  <c r="AJ3333" i="1"/>
  <c r="AI3334" i="1"/>
  <c r="AJ3334" i="1"/>
  <c r="AI3335" i="1"/>
  <c r="AJ3335" i="1"/>
  <c r="AI3336" i="1"/>
  <c r="AJ3336" i="1"/>
  <c r="AI3337" i="1"/>
  <c r="AJ3337" i="1"/>
  <c r="AI3338" i="1"/>
  <c r="AJ3338" i="1"/>
  <c r="AI3339" i="1"/>
  <c r="AJ3339" i="1"/>
  <c r="AI3340" i="1"/>
  <c r="AJ3340" i="1"/>
  <c r="AI3341" i="1"/>
  <c r="AJ3341" i="1"/>
  <c r="AI3342" i="1"/>
  <c r="AJ3342" i="1"/>
  <c r="AI3343" i="1"/>
  <c r="AJ3343" i="1"/>
  <c r="AI3344" i="1"/>
  <c r="AJ3344" i="1"/>
  <c r="AI3345" i="1"/>
  <c r="AJ3345" i="1"/>
  <c r="AI3346" i="1"/>
  <c r="AJ3346" i="1"/>
  <c r="AI3347" i="1"/>
  <c r="AJ3347" i="1"/>
  <c r="AI3348" i="1"/>
  <c r="AJ3348" i="1"/>
  <c r="AI3349" i="1"/>
  <c r="AJ3349" i="1"/>
  <c r="AI3350" i="1"/>
  <c r="AJ3350" i="1"/>
  <c r="AI3351" i="1"/>
  <c r="AJ3351" i="1"/>
  <c r="AI3352" i="1"/>
  <c r="AJ3352" i="1"/>
  <c r="AI3353" i="1"/>
  <c r="AJ3353" i="1"/>
  <c r="AI3354" i="1"/>
  <c r="AJ3354" i="1"/>
  <c r="AI3355" i="1"/>
  <c r="AJ3355" i="1"/>
  <c r="AI3356" i="1"/>
  <c r="AJ3356" i="1"/>
  <c r="AI3357" i="1"/>
  <c r="AJ3357" i="1"/>
  <c r="AI3358" i="1"/>
  <c r="AJ3358" i="1"/>
  <c r="AI3359" i="1"/>
  <c r="AJ3359" i="1"/>
  <c r="AI3360" i="1"/>
  <c r="AJ3360" i="1"/>
  <c r="AI3361" i="1"/>
  <c r="AJ3361" i="1"/>
  <c r="AI3362" i="1"/>
  <c r="AJ3362" i="1"/>
  <c r="AI3363" i="1"/>
  <c r="AJ3363" i="1"/>
  <c r="AI3364" i="1"/>
  <c r="AJ3364" i="1"/>
  <c r="AI3365" i="1"/>
  <c r="AJ3365" i="1"/>
  <c r="AI3366" i="1"/>
  <c r="AJ3366" i="1"/>
  <c r="AI3367" i="1"/>
  <c r="AJ3367" i="1"/>
  <c r="AI3368" i="1"/>
  <c r="AJ3368" i="1"/>
  <c r="AI3369" i="1"/>
  <c r="AJ3369" i="1"/>
  <c r="AI3370" i="1"/>
  <c r="AJ3370" i="1"/>
  <c r="AI3371" i="1"/>
  <c r="AJ3371" i="1"/>
  <c r="AI3372" i="1"/>
  <c r="AJ3372" i="1"/>
  <c r="AI3373" i="1"/>
  <c r="AJ3373" i="1"/>
  <c r="AI3374" i="1"/>
  <c r="AJ3374" i="1"/>
  <c r="AI3375" i="1"/>
  <c r="AJ3375" i="1"/>
  <c r="AI3376" i="1"/>
  <c r="AJ3376" i="1"/>
  <c r="AI3377" i="1"/>
  <c r="AJ3377" i="1"/>
  <c r="AI3378" i="1"/>
  <c r="AJ3378" i="1"/>
  <c r="AI3379" i="1"/>
  <c r="AJ3379" i="1"/>
  <c r="AI3380" i="1"/>
  <c r="AJ3380" i="1"/>
  <c r="AI3381" i="1"/>
  <c r="AJ3381" i="1"/>
  <c r="AI3382" i="1"/>
  <c r="AJ3382" i="1"/>
  <c r="AI3383" i="1"/>
  <c r="AJ3383" i="1"/>
  <c r="AI3384" i="1"/>
  <c r="AJ3384" i="1"/>
  <c r="AI3385" i="1"/>
  <c r="AJ3385" i="1"/>
  <c r="AI3386" i="1"/>
  <c r="AJ3386" i="1"/>
  <c r="AI3387" i="1"/>
  <c r="AJ3387" i="1"/>
  <c r="AI3388" i="1"/>
  <c r="AJ3388" i="1"/>
  <c r="AI3389" i="1"/>
  <c r="AJ3389" i="1"/>
  <c r="AI3390" i="1"/>
  <c r="AJ3390" i="1"/>
  <c r="AI3391" i="1"/>
  <c r="AJ3391" i="1"/>
  <c r="AI3392" i="1"/>
  <c r="AJ3392" i="1"/>
  <c r="AI3393" i="1"/>
  <c r="AJ3393" i="1"/>
  <c r="AI3394" i="1"/>
  <c r="AJ3394" i="1"/>
  <c r="AI3395" i="1"/>
  <c r="AJ3395" i="1"/>
  <c r="AI3396" i="1"/>
  <c r="AJ3396" i="1"/>
  <c r="AI3397" i="1"/>
  <c r="AJ3397" i="1"/>
  <c r="AI3398" i="1"/>
  <c r="AJ3398" i="1"/>
  <c r="AI3399" i="1"/>
  <c r="AJ3399" i="1"/>
  <c r="AI3400" i="1"/>
  <c r="AJ3400" i="1"/>
  <c r="AI3401" i="1"/>
  <c r="AJ3401" i="1"/>
  <c r="AI3402" i="1"/>
  <c r="AJ3402" i="1"/>
  <c r="AI3403" i="1"/>
  <c r="AJ3403" i="1"/>
  <c r="AI3404" i="1"/>
  <c r="AJ3404" i="1"/>
  <c r="AI3405" i="1"/>
  <c r="AJ3405" i="1"/>
  <c r="AI3406" i="1"/>
  <c r="AJ3406" i="1"/>
  <c r="AI3407" i="1"/>
  <c r="AJ3407" i="1"/>
  <c r="AI3408" i="1"/>
  <c r="AJ3408" i="1"/>
  <c r="AI3409" i="1"/>
  <c r="AJ3409" i="1"/>
  <c r="AI3410" i="1"/>
  <c r="AJ3410" i="1"/>
  <c r="AI3411" i="1"/>
  <c r="AJ3411" i="1"/>
  <c r="AI3412" i="1"/>
  <c r="AJ3412" i="1"/>
  <c r="AI3413" i="1"/>
  <c r="AJ3413" i="1"/>
  <c r="AI3414" i="1"/>
  <c r="AJ3414" i="1"/>
  <c r="AI3415" i="1"/>
  <c r="AJ3415" i="1"/>
  <c r="AI3416" i="1"/>
  <c r="AJ3416" i="1"/>
  <c r="AI3417" i="1"/>
  <c r="AJ3417" i="1"/>
  <c r="AI3418" i="1"/>
  <c r="AJ3418" i="1"/>
  <c r="AI3419" i="1"/>
  <c r="AJ3419" i="1"/>
  <c r="AI3420" i="1"/>
  <c r="AJ3420" i="1"/>
  <c r="AI3421" i="1"/>
  <c r="AJ3421" i="1"/>
  <c r="AI3422" i="1"/>
  <c r="AJ3422" i="1"/>
  <c r="AI3423" i="1"/>
  <c r="AJ3423" i="1"/>
  <c r="AI3424" i="1"/>
  <c r="AJ3424" i="1"/>
  <c r="AI3425" i="1"/>
  <c r="AJ3425" i="1"/>
  <c r="AI3426" i="1"/>
  <c r="AJ3426" i="1"/>
  <c r="AI3427" i="1"/>
  <c r="AJ3427" i="1"/>
  <c r="AI3428" i="1"/>
  <c r="AJ3428" i="1"/>
  <c r="AI3429" i="1"/>
  <c r="AJ3429" i="1"/>
  <c r="AI3430" i="1"/>
  <c r="AJ3430" i="1"/>
  <c r="AI3431" i="1"/>
  <c r="AJ3431" i="1"/>
  <c r="AI3432" i="1"/>
  <c r="AJ3432" i="1"/>
  <c r="AI3433" i="1"/>
  <c r="AJ3433" i="1"/>
  <c r="AI3434" i="1"/>
  <c r="AJ3434" i="1"/>
  <c r="AI3435" i="1"/>
  <c r="AJ3435" i="1"/>
  <c r="AI3436" i="1"/>
  <c r="AJ3436" i="1"/>
  <c r="AI3437" i="1"/>
  <c r="AJ3437" i="1"/>
  <c r="AI3438" i="1"/>
  <c r="AJ3438" i="1"/>
  <c r="AI3439" i="1"/>
  <c r="AJ3439" i="1"/>
  <c r="AI3440" i="1"/>
  <c r="AJ3440" i="1"/>
  <c r="AI3441" i="1"/>
  <c r="AJ3441" i="1"/>
  <c r="AI3442" i="1"/>
  <c r="AJ3442" i="1"/>
  <c r="AI3443" i="1"/>
  <c r="AJ3443" i="1"/>
  <c r="AI3444" i="1"/>
  <c r="AJ3444" i="1"/>
  <c r="AI3445" i="1"/>
  <c r="AJ3445" i="1"/>
  <c r="AI3446" i="1"/>
  <c r="AJ3446" i="1"/>
  <c r="AI3447" i="1"/>
  <c r="AJ3447" i="1"/>
  <c r="AI3448" i="1"/>
  <c r="AJ3448" i="1"/>
  <c r="AI3449" i="1"/>
  <c r="AJ3449" i="1"/>
  <c r="AI3450" i="1"/>
  <c r="AJ3450" i="1"/>
  <c r="AI3451" i="1"/>
  <c r="AJ3451" i="1"/>
  <c r="AI3452" i="1"/>
  <c r="AJ3452" i="1"/>
  <c r="AI3453" i="1"/>
  <c r="AJ3453" i="1"/>
  <c r="AI3454" i="1"/>
  <c r="AJ3454" i="1"/>
  <c r="AI3455" i="1"/>
  <c r="AJ3455" i="1"/>
  <c r="AI3456" i="1"/>
  <c r="AJ3456" i="1"/>
  <c r="AI3457" i="1"/>
  <c r="AJ3457" i="1"/>
  <c r="AI3458" i="1"/>
  <c r="AJ3458" i="1"/>
  <c r="AI3459" i="1"/>
  <c r="AJ3459" i="1"/>
  <c r="AI3460" i="1"/>
  <c r="AJ3460" i="1"/>
  <c r="AI3461" i="1"/>
  <c r="AJ3461" i="1"/>
  <c r="AI3462" i="1"/>
  <c r="AJ3462" i="1"/>
  <c r="AI3463" i="1"/>
  <c r="AJ3463" i="1"/>
  <c r="AI3464" i="1"/>
  <c r="AJ3464" i="1"/>
  <c r="AI3465" i="1"/>
  <c r="AJ3465" i="1"/>
  <c r="AI3466" i="1"/>
  <c r="AJ3466" i="1"/>
  <c r="AI3467" i="1"/>
  <c r="AJ3467" i="1"/>
  <c r="AI3468" i="1"/>
  <c r="AJ3468" i="1"/>
  <c r="AI3469" i="1"/>
  <c r="AJ3469" i="1"/>
  <c r="AI3470" i="1"/>
  <c r="AJ3470" i="1"/>
  <c r="AI3471" i="1"/>
  <c r="AJ3471" i="1"/>
  <c r="AI3472" i="1"/>
  <c r="AJ3472" i="1"/>
  <c r="AI3473" i="1"/>
  <c r="AJ3473" i="1"/>
  <c r="AI3474" i="1"/>
  <c r="AJ3474" i="1"/>
  <c r="AI3475" i="1"/>
  <c r="AJ3475" i="1"/>
  <c r="AI3476" i="1"/>
  <c r="AJ3476" i="1"/>
  <c r="AI3477" i="1"/>
  <c r="AJ3477" i="1"/>
  <c r="AI3478" i="1"/>
  <c r="AJ3478" i="1"/>
  <c r="AI3479" i="1"/>
  <c r="AJ3479" i="1"/>
  <c r="AI3480" i="1"/>
  <c r="AJ3480" i="1"/>
  <c r="AI3481" i="1"/>
  <c r="AJ3481" i="1"/>
  <c r="AI3482" i="1"/>
  <c r="AJ3482" i="1"/>
  <c r="AI3483" i="1"/>
  <c r="AJ3483" i="1"/>
  <c r="AI3484" i="1"/>
  <c r="AJ3484" i="1"/>
  <c r="AI3485" i="1"/>
  <c r="AJ3485" i="1"/>
  <c r="AI3486" i="1"/>
  <c r="AJ3486" i="1"/>
  <c r="AI3487" i="1"/>
  <c r="AJ3487" i="1"/>
  <c r="AI3488" i="1"/>
  <c r="AJ3488" i="1"/>
  <c r="AI3489" i="1"/>
  <c r="AJ3489" i="1"/>
  <c r="AI3490" i="1"/>
  <c r="AJ3490" i="1"/>
  <c r="AI3491" i="1"/>
  <c r="AJ3491" i="1"/>
  <c r="AI3492" i="1"/>
  <c r="AJ3492" i="1"/>
  <c r="AI3493" i="1"/>
  <c r="AJ3493" i="1"/>
  <c r="AI3494" i="1"/>
  <c r="AJ3494" i="1"/>
  <c r="AI3495" i="1"/>
  <c r="AJ3495" i="1"/>
  <c r="AI3496" i="1"/>
  <c r="AJ3496" i="1"/>
  <c r="AI3497" i="1"/>
  <c r="AJ3497" i="1"/>
  <c r="AI3498" i="1"/>
  <c r="AJ3498" i="1"/>
  <c r="AI3499" i="1"/>
  <c r="AJ3499" i="1"/>
  <c r="AI3500" i="1"/>
  <c r="AJ3500" i="1"/>
  <c r="AI3501" i="1"/>
  <c r="AJ3501" i="1"/>
  <c r="AI3502" i="1"/>
  <c r="AJ3502" i="1"/>
  <c r="AI3503" i="1"/>
  <c r="AJ3503" i="1"/>
  <c r="AI3504" i="1"/>
  <c r="AJ3504" i="1"/>
  <c r="AI3505" i="1"/>
  <c r="AJ3505" i="1"/>
  <c r="AI3506" i="1"/>
  <c r="AJ3506" i="1"/>
  <c r="AI3507" i="1"/>
  <c r="AJ3507" i="1"/>
  <c r="AI3508" i="1"/>
  <c r="AJ3508" i="1"/>
  <c r="AI3509" i="1"/>
  <c r="AJ3509" i="1"/>
  <c r="AI3510" i="1"/>
  <c r="AJ3510" i="1"/>
  <c r="AI3511" i="1"/>
  <c r="AJ3511" i="1"/>
  <c r="AI3512" i="1"/>
  <c r="AJ3512" i="1"/>
  <c r="AI3513" i="1"/>
  <c r="AJ3513" i="1"/>
  <c r="AI3514" i="1"/>
  <c r="AJ3514" i="1"/>
  <c r="AI3515" i="1"/>
  <c r="AJ3515" i="1"/>
  <c r="AI3516" i="1"/>
  <c r="AJ3516" i="1"/>
  <c r="AI3517" i="1"/>
  <c r="AJ3517" i="1"/>
  <c r="AI3518" i="1"/>
  <c r="AJ3518" i="1"/>
  <c r="AI3519" i="1"/>
  <c r="AJ3519" i="1"/>
  <c r="AI3520" i="1"/>
  <c r="AJ3520" i="1"/>
  <c r="AI3521" i="1"/>
  <c r="AJ3521" i="1"/>
  <c r="AI3522" i="1"/>
  <c r="AJ3522" i="1"/>
  <c r="AI3523" i="1"/>
  <c r="AJ3523" i="1"/>
  <c r="AI3524" i="1"/>
  <c r="AJ3524" i="1"/>
  <c r="AI3525" i="1"/>
  <c r="AJ3525" i="1"/>
  <c r="AI3526" i="1"/>
  <c r="AJ3526" i="1"/>
  <c r="AI3527" i="1"/>
  <c r="AJ3527" i="1"/>
  <c r="AI3528" i="1"/>
  <c r="AJ3528" i="1"/>
  <c r="AI3529" i="1"/>
  <c r="AJ3529" i="1"/>
  <c r="AI3530" i="1"/>
  <c r="AJ3530" i="1"/>
  <c r="AI3531" i="1"/>
  <c r="AJ3531" i="1"/>
  <c r="AI3532" i="1"/>
  <c r="AJ3532" i="1"/>
  <c r="AI3533" i="1"/>
  <c r="AJ3533" i="1"/>
  <c r="AI3534" i="1"/>
  <c r="AJ3534" i="1"/>
  <c r="AI3535" i="1"/>
  <c r="AJ3535" i="1"/>
  <c r="AI3536" i="1"/>
  <c r="AJ3536" i="1"/>
  <c r="AI3537" i="1"/>
  <c r="AJ3537" i="1"/>
  <c r="AI3538" i="1"/>
  <c r="AJ3538" i="1"/>
  <c r="AI3539" i="1"/>
  <c r="AJ3539" i="1"/>
  <c r="AI3540" i="1"/>
  <c r="AJ3540" i="1"/>
  <c r="AI3541" i="1"/>
  <c r="AJ3541" i="1"/>
  <c r="AI3542" i="1"/>
  <c r="AJ3542" i="1"/>
  <c r="AI3543" i="1"/>
  <c r="AJ3543" i="1"/>
  <c r="AI3544" i="1"/>
  <c r="AJ3544" i="1"/>
  <c r="AI3545" i="1"/>
  <c r="AJ3545" i="1"/>
  <c r="AI3546" i="1"/>
  <c r="AJ3546" i="1"/>
  <c r="AI3547" i="1"/>
  <c r="AJ3547" i="1"/>
  <c r="AI3548" i="1"/>
  <c r="AJ3548" i="1"/>
  <c r="AI3549" i="1"/>
  <c r="AJ3549" i="1"/>
  <c r="AI3550" i="1"/>
  <c r="AJ3550" i="1"/>
  <c r="AI3551" i="1"/>
  <c r="AJ3551" i="1"/>
  <c r="AI3552" i="1"/>
  <c r="AJ3552" i="1"/>
  <c r="AI3553" i="1"/>
  <c r="AJ3553" i="1"/>
  <c r="AI3554" i="1"/>
  <c r="AJ3554" i="1"/>
  <c r="AI3555" i="1"/>
  <c r="AJ3555" i="1"/>
  <c r="AI3556" i="1"/>
  <c r="AJ3556" i="1"/>
  <c r="AI3557" i="1"/>
  <c r="AJ3557" i="1"/>
  <c r="AI3558" i="1"/>
  <c r="AJ3558" i="1"/>
  <c r="AI3559" i="1"/>
  <c r="AJ3559" i="1"/>
  <c r="AI3560" i="1"/>
  <c r="AJ3560" i="1"/>
  <c r="AI3561" i="1"/>
  <c r="AJ3561" i="1"/>
  <c r="AI3562" i="1"/>
  <c r="AJ3562" i="1"/>
  <c r="AI3563" i="1"/>
  <c r="AJ3563" i="1"/>
  <c r="AI3564" i="1"/>
  <c r="AJ3564" i="1"/>
  <c r="AI3565" i="1"/>
  <c r="AJ3565" i="1"/>
  <c r="AI3566" i="1"/>
  <c r="AJ3566" i="1"/>
  <c r="AI3567" i="1"/>
  <c r="AJ3567" i="1"/>
  <c r="AI3568" i="1"/>
  <c r="AJ3568" i="1"/>
  <c r="AI3569" i="1"/>
  <c r="AJ3569" i="1"/>
  <c r="AI3570" i="1"/>
  <c r="AJ3570" i="1"/>
  <c r="AI3571" i="1"/>
  <c r="AJ3571" i="1"/>
  <c r="AI3572" i="1"/>
  <c r="AJ3572" i="1"/>
  <c r="AI3573" i="1"/>
  <c r="AJ3573" i="1"/>
  <c r="AI3574" i="1"/>
  <c r="AJ3574" i="1"/>
  <c r="AI3575" i="1"/>
  <c r="AJ3575" i="1"/>
  <c r="AI3576" i="1"/>
  <c r="AJ3576" i="1"/>
  <c r="AI3577" i="1"/>
  <c r="AJ3577" i="1"/>
  <c r="AI3578" i="1"/>
  <c r="AJ3578" i="1"/>
  <c r="AI3579" i="1"/>
  <c r="AJ3579" i="1"/>
  <c r="AI3580" i="1"/>
  <c r="AJ3580" i="1"/>
  <c r="AI3581" i="1"/>
  <c r="AJ3581" i="1"/>
  <c r="AI3582" i="1"/>
  <c r="AJ3582" i="1"/>
  <c r="AI3583" i="1"/>
  <c r="AJ3583" i="1"/>
  <c r="AI3584" i="1"/>
  <c r="AJ3584" i="1"/>
  <c r="AI3585" i="1"/>
  <c r="AJ3585" i="1"/>
  <c r="AI3586" i="1"/>
  <c r="AJ3586" i="1"/>
  <c r="AI3587" i="1"/>
  <c r="AJ3587" i="1"/>
  <c r="AI3588" i="1"/>
  <c r="AJ3588" i="1"/>
  <c r="AI3589" i="1"/>
  <c r="AJ3589" i="1"/>
  <c r="AI3590" i="1"/>
  <c r="AJ3590" i="1"/>
  <c r="AI3591" i="1"/>
  <c r="AJ3591" i="1"/>
  <c r="AI3592" i="1"/>
  <c r="AJ3592" i="1"/>
  <c r="AI3593" i="1"/>
  <c r="AJ3593" i="1"/>
  <c r="AI3594" i="1"/>
  <c r="AJ3594" i="1"/>
  <c r="AI3595" i="1"/>
  <c r="AJ3595" i="1"/>
  <c r="AI3596" i="1"/>
  <c r="AJ3596" i="1"/>
  <c r="AI3597" i="1"/>
  <c r="AJ3597" i="1"/>
  <c r="AI3598" i="1"/>
  <c r="AJ3598" i="1"/>
  <c r="AI3599" i="1"/>
  <c r="AJ3599" i="1"/>
  <c r="AI3600" i="1"/>
  <c r="AJ3600" i="1"/>
  <c r="AI3601" i="1"/>
  <c r="AJ3601" i="1"/>
  <c r="AI3602" i="1"/>
  <c r="AJ3602" i="1"/>
  <c r="AI3603" i="1"/>
  <c r="AJ3603" i="1"/>
  <c r="AI3604" i="1"/>
  <c r="AJ3604" i="1"/>
  <c r="AI3605" i="1"/>
  <c r="AJ3605" i="1"/>
  <c r="AI3606" i="1"/>
  <c r="AJ3606" i="1"/>
  <c r="AI3607" i="1"/>
  <c r="AJ3607" i="1"/>
  <c r="AI3608" i="1"/>
  <c r="AJ3608" i="1"/>
  <c r="AI3609" i="1"/>
  <c r="AJ3609" i="1"/>
  <c r="AI3610" i="1"/>
  <c r="AJ3610" i="1"/>
  <c r="AI3611" i="1"/>
  <c r="AJ3611" i="1"/>
  <c r="AI3612" i="1"/>
  <c r="AJ3612" i="1"/>
  <c r="AI3613" i="1"/>
  <c r="AJ3613" i="1"/>
  <c r="AI3614" i="1"/>
  <c r="AJ3614" i="1"/>
  <c r="AI3615" i="1"/>
  <c r="AJ3615" i="1"/>
  <c r="AI3616" i="1"/>
  <c r="AJ3616" i="1"/>
  <c r="AI3617" i="1"/>
  <c r="AJ3617" i="1"/>
  <c r="AI3618" i="1"/>
  <c r="AJ3618" i="1"/>
  <c r="AI3619" i="1"/>
  <c r="AJ3619" i="1"/>
  <c r="AI3620" i="1"/>
  <c r="AJ3620" i="1"/>
  <c r="AI3621" i="1"/>
  <c r="AJ3621" i="1"/>
  <c r="AI3622" i="1"/>
  <c r="AJ3622" i="1"/>
  <c r="AI3623" i="1"/>
  <c r="AJ3623" i="1"/>
  <c r="AI3624" i="1"/>
  <c r="AJ3624" i="1"/>
  <c r="AI3625" i="1"/>
  <c r="AJ3625" i="1"/>
  <c r="AI3626" i="1"/>
  <c r="AJ3626" i="1"/>
  <c r="AI3627" i="1"/>
  <c r="AJ3627" i="1"/>
  <c r="AI3628" i="1"/>
  <c r="AJ3628" i="1"/>
  <c r="AI3629" i="1"/>
  <c r="AJ3629" i="1"/>
  <c r="AI3630" i="1"/>
  <c r="AJ3630" i="1"/>
  <c r="AI3631" i="1"/>
  <c r="AJ3631" i="1"/>
  <c r="AI3632" i="1"/>
  <c r="AJ3632" i="1"/>
  <c r="AI3633" i="1"/>
  <c r="AJ3633" i="1"/>
  <c r="AI3634" i="1"/>
  <c r="AJ3634" i="1"/>
  <c r="AI3635" i="1"/>
  <c r="AJ3635" i="1"/>
  <c r="AI3636" i="1"/>
  <c r="AJ3636" i="1"/>
  <c r="AI3637" i="1"/>
  <c r="AJ3637" i="1"/>
  <c r="AI3638" i="1"/>
  <c r="AJ3638" i="1"/>
  <c r="AI3639" i="1"/>
  <c r="AJ3639" i="1"/>
  <c r="AI3640" i="1"/>
  <c r="AJ3640" i="1"/>
  <c r="AI3641" i="1"/>
  <c r="AJ3641" i="1"/>
  <c r="AI3642" i="1"/>
  <c r="AJ3642" i="1"/>
  <c r="AI3643" i="1"/>
  <c r="AJ3643" i="1"/>
  <c r="AI3644" i="1"/>
  <c r="AJ3644" i="1"/>
  <c r="AI3645" i="1"/>
  <c r="AJ3645" i="1"/>
  <c r="AI3646" i="1"/>
  <c r="AJ3646" i="1"/>
  <c r="AI3647" i="1"/>
  <c r="AJ3647" i="1"/>
  <c r="AI3648" i="1"/>
  <c r="AJ3648" i="1"/>
  <c r="AI3649" i="1"/>
  <c r="AJ3649" i="1"/>
  <c r="AI3650" i="1"/>
  <c r="AJ3650" i="1"/>
  <c r="AI3651" i="1"/>
  <c r="AJ3651" i="1"/>
  <c r="AI3652" i="1"/>
  <c r="AJ3652" i="1"/>
  <c r="AI3653" i="1"/>
  <c r="AJ3653" i="1"/>
  <c r="AI3654" i="1"/>
  <c r="AJ3654" i="1"/>
  <c r="AI3655" i="1"/>
  <c r="AJ3655" i="1"/>
  <c r="AI3656" i="1"/>
  <c r="AJ3656" i="1"/>
  <c r="AI3657" i="1"/>
  <c r="AJ3657" i="1"/>
  <c r="AI3658" i="1"/>
  <c r="AJ3658" i="1"/>
  <c r="AI3659" i="1"/>
  <c r="AJ3659" i="1"/>
  <c r="AI3660" i="1"/>
  <c r="AJ3660" i="1"/>
  <c r="AI3661" i="1"/>
  <c r="AJ3661" i="1"/>
  <c r="AI3662" i="1"/>
  <c r="AJ3662" i="1"/>
  <c r="AI3663" i="1"/>
  <c r="AJ3663" i="1"/>
  <c r="AI3664" i="1"/>
  <c r="AJ3664" i="1"/>
  <c r="AI3665" i="1"/>
  <c r="AJ3665" i="1"/>
  <c r="AI3666" i="1"/>
  <c r="AJ3666" i="1"/>
  <c r="AI3667" i="1"/>
  <c r="AJ3667" i="1"/>
  <c r="AI3668" i="1"/>
  <c r="AJ3668" i="1"/>
  <c r="AI3669" i="1"/>
  <c r="AJ3669" i="1"/>
  <c r="AI3670" i="1"/>
  <c r="AJ3670" i="1"/>
  <c r="AI3671" i="1"/>
  <c r="AJ3671" i="1"/>
  <c r="AI3672" i="1"/>
  <c r="AJ3672" i="1"/>
  <c r="AI3673" i="1"/>
  <c r="AJ3673" i="1"/>
  <c r="AI3674" i="1"/>
  <c r="AJ3674" i="1"/>
  <c r="AI3675" i="1"/>
  <c r="AJ3675" i="1"/>
  <c r="AI3676" i="1"/>
  <c r="AJ3676" i="1"/>
  <c r="AI3677" i="1"/>
  <c r="AJ3677" i="1"/>
  <c r="AI3678" i="1"/>
  <c r="AJ3678" i="1"/>
  <c r="AI3679" i="1"/>
  <c r="AJ3679" i="1"/>
  <c r="AI3680" i="1"/>
  <c r="AJ3680" i="1"/>
  <c r="AI3681" i="1"/>
  <c r="AJ3681" i="1"/>
  <c r="AI3682" i="1"/>
  <c r="AJ3682" i="1"/>
  <c r="AI3683" i="1"/>
  <c r="AJ3683" i="1"/>
  <c r="AI3684" i="1"/>
  <c r="AJ3684" i="1"/>
  <c r="AI3685" i="1"/>
  <c r="AJ3685" i="1"/>
  <c r="AI3686" i="1"/>
  <c r="AJ3686" i="1"/>
  <c r="AI3687" i="1"/>
  <c r="AJ3687" i="1"/>
  <c r="AI3688" i="1"/>
  <c r="AJ3688" i="1"/>
  <c r="AI3689" i="1"/>
  <c r="AJ3689" i="1"/>
  <c r="AI3690" i="1"/>
  <c r="AJ3690" i="1"/>
  <c r="AI3691" i="1"/>
  <c r="AJ3691" i="1"/>
  <c r="AI3692" i="1"/>
  <c r="AJ3692" i="1"/>
  <c r="AI3693" i="1"/>
  <c r="AJ3693" i="1"/>
  <c r="AI3694" i="1"/>
  <c r="AJ3694" i="1"/>
  <c r="AI3695" i="1"/>
  <c r="AJ3695" i="1"/>
  <c r="AI3696" i="1"/>
  <c r="AJ3696" i="1"/>
  <c r="AI3697" i="1"/>
  <c r="AJ3697" i="1"/>
  <c r="AI3698" i="1"/>
  <c r="AJ3698" i="1"/>
  <c r="AI3699" i="1"/>
  <c r="AJ3699" i="1"/>
  <c r="AI3700" i="1"/>
  <c r="AJ3700" i="1"/>
  <c r="AI3701" i="1"/>
  <c r="AJ3701" i="1"/>
  <c r="AI3702" i="1"/>
  <c r="AJ3702" i="1"/>
  <c r="AI3703" i="1"/>
  <c r="AJ3703" i="1"/>
  <c r="AI3704" i="1"/>
  <c r="AJ3704" i="1"/>
  <c r="AI3705" i="1"/>
  <c r="AJ3705" i="1"/>
  <c r="AI3706" i="1"/>
  <c r="AJ3706" i="1"/>
  <c r="AI3707" i="1"/>
  <c r="AJ3707" i="1"/>
  <c r="AI3708" i="1"/>
  <c r="AJ3708" i="1"/>
  <c r="AI3709" i="1"/>
  <c r="AJ3709" i="1"/>
  <c r="AI3710" i="1"/>
  <c r="AJ3710" i="1"/>
  <c r="AI3711" i="1"/>
  <c r="AJ3711" i="1"/>
  <c r="AI3712" i="1"/>
  <c r="AJ3712" i="1"/>
  <c r="AI3713" i="1"/>
  <c r="AJ3713" i="1"/>
  <c r="AI3714" i="1"/>
  <c r="AJ3714" i="1"/>
  <c r="AI3715" i="1"/>
  <c r="AJ3715" i="1"/>
  <c r="AI3716" i="1"/>
  <c r="AJ3716" i="1"/>
  <c r="AI3717" i="1"/>
  <c r="AJ3717" i="1"/>
  <c r="AI3718" i="1"/>
  <c r="AJ3718" i="1"/>
  <c r="AI3719" i="1"/>
  <c r="AJ3719" i="1"/>
  <c r="AI3720" i="1"/>
  <c r="AJ3720" i="1"/>
  <c r="AI3721" i="1"/>
  <c r="AJ3721" i="1"/>
  <c r="AI3722" i="1"/>
  <c r="AJ3722" i="1"/>
  <c r="AI3723" i="1"/>
  <c r="AJ3723" i="1"/>
  <c r="AI3724" i="1"/>
  <c r="AJ3724" i="1"/>
  <c r="AI3725" i="1"/>
  <c r="AJ3725" i="1"/>
  <c r="AI3726" i="1"/>
  <c r="AJ3726" i="1"/>
  <c r="AI3727" i="1"/>
  <c r="AJ3727" i="1"/>
  <c r="AI3728" i="1"/>
  <c r="AJ3728" i="1"/>
  <c r="AI3729" i="1"/>
  <c r="AJ3729" i="1"/>
  <c r="AI3730" i="1"/>
  <c r="AJ3730" i="1"/>
  <c r="AI3731" i="1"/>
  <c r="AJ3731" i="1"/>
  <c r="AI3732" i="1"/>
  <c r="AJ3732" i="1"/>
  <c r="AI3733" i="1"/>
  <c r="AJ3733" i="1"/>
  <c r="AI3734" i="1"/>
  <c r="AJ3734" i="1"/>
  <c r="AI3735" i="1"/>
  <c r="AJ3735" i="1"/>
  <c r="AI3736" i="1"/>
  <c r="AJ3736" i="1"/>
  <c r="AI3737" i="1"/>
  <c r="AJ3737" i="1"/>
  <c r="AI3738" i="1"/>
  <c r="AJ3738" i="1"/>
  <c r="AI3739" i="1"/>
  <c r="AJ3739" i="1"/>
  <c r="AI3740" i="1"/>
  <c r="AJ3740" i="1"/>
  <c r="AI3741" i="1"/>
  <c r="AJ3741" i="1"/>
  <c r="AI3742" i="1"/>
  <c r="AJ3742" i="1"/>
  <c r="AI3743" i="1"/>
  <c r="AJ3743" i="1"/>
  <c r="AI3744" i="1"/>
  <c r="AJ3744" i="1"/>
  <c r="AI3745" i="1"/>
  <c r="AJ3745" i="1"/>
  <c r="AI3746" i="1"/>
  <c r="AJ3746" i="1"/>
  <c r="AI3747" i="1"/>
  <c r="AJ3747" i="1"/>
  <c r="AI3748" i="1"/>
  <c r="AJ3748" i="1"/>
  <c r="AI3749" i="1"/>
  <c r="AJ3749" i="1"/>
  <c r="AI3750" i="1"/>
  <c r="AJ3750" i="1"/>
  <c r="AI3751" i="1"/>
  <c r="AJ3751" i="1"/>
  <c r="AI3752" i="1"/>
  <c r="AJ3752" i="1"/>
  <c r="AI3753" i="1"/>
  <c r="AJ3753" i="1"/>
  <c r="AI3754" i="1"/>
  <c r="AJ3754" i="1"/>
  <c r="AI3755" i="1"/>
  <c r="AJ3755" i="1"/>
  <c r="AI3756" i="1"/>
  <c r="AJ3756" i="1"/>
  <c r="AI3757" i="1"/>
  <c r="AJ3757" i="1"/>
  <c r="AI3758" i="1"/>
  <c r="AJ3758" i="1"/>
  <c r="AI3759" i="1"/>
  <c r="AJ3759" i="1"/>
  <c r="AI3760" i="1"/>
  <c r="AJ3760" i="1"/>
  <c r="AI3761" i="1"/>
  <c r="AJ3761" i="1"/>
  <c r="AI3762" i="1"/>
  <c r="AJ3762" i="1"/>
  <c r="AI3763" i="1"/>
  <c r="AJ3763" i="1"/>
  <c r="AI3764" i="1"/>
  <c r="AJ3764" i="1"/>
  <c r="AI3765" i="1"/>
  <c r="AJ3765" i="1"/>
  <c r="AI3766" i="1"/>
  <c r="AJ3766" i="1"/>
  <c r="AI3767" i="1"/>
  <c r="AJ3767" i="1"/>
  <c r="AI3768" i="1"/>
  <c r="AJ3768" i="1"/>
  <c r="AI3769" i="1"/>
  <c r="AJ3769" i="1"/>
  <c r="AI3770" i="1"/>
  <c r="AJ3770" i="1"/>
  <c r="AI3771" i="1"/>
  <c r="AJ3771" i="1"/>
  <c r="AI3772" i="1"/>
  <c r="AJ3772" i="1"/>
  <c r="AI3773" i="1"/>
  <c r="AJ3773" i="1"/>
  <c r="AI3774" i="1"/>
  <c r="AJ3774" i="1"/>
  <c r="AI3775" i="1"/>
  <c r="AJ3775" i="1"/>
  <c r="AI3776" i="1"/>
  <c r="AJ3776" i="1"/>
  <c r="AI3777" i="1"/>
  <c r="AJ3777" i="1"/>
  <c r="AI3778" i="1"/>
  <c r="AJ3778" i="1"/>
  <c r="AI3779" i="1"/>
  <c r="AJ3779" i="1"/>
  <c r="AI3780" i="1"/>
  <c r="AJ3780" i="1"/>
  <c r="AI3781" i="1"/>
  <c r="AJ3781" i="1"/>
  <c r="AI3782" i="1"/>
  <c r="AJ3782" i="1"/>
  <c r="AI3783" i="1"/>
  <c r="AJ3783" i="1"/>
  <c r="AI3784" i="1"/>
  <c r="AJ3784" i="1"/>
  <c r="AI3785" i="1"/>
  <c r="AJ3785" i="1"/>
  <c r="AI3786" i="1"/>
  <c r="AJ3786" i="1"/>
  <c r="AI3787" i="1"/>
  <c r="AJ3787" i="1"/>
  <c r="AI3788" i="1"/>
  <c r="AJ3788" i="1"/>
  <c r="AI3789" i="1"/>
  <c r="AJ3789" i="1"/>
  <c r="AI3790" i="1"/>
  <c r="AJ3790" i="1"/>
  <c r="AI3791" i="1"/>
  <c r="AJ3791" i="1"/>
  <c r="AI3792" i="1"/>
  <c r="AJ3792" i="1"/>
  <c r="AI3793" i="1"/>
  <c r="AJ3793" i="1"/>
  <c r="AI3794" i="1"/>
  <c r="AJ3794" i="1"/>
  <c r="AI3795" i="1"/>
  <c r="AJ3795" i="1"/>
  <c r="AI3796" i="1"/>
  <c r="AJ3796" i="1"/>
  <c r="AI3797" i="1"/>
  <c r="AJ3797" i="1"/>
  <c r="AI3798" i="1"/>
  <c r="AJ3798" i="1"/>
  <c r="AI3799" i="1"/>
  <c r="AJ3799" i="1"/>
  <c r="AI3800" i="1"/>
  <c r="AJ3800" i="1"/>
  <c r="AI3801" i="1"/>
  <c r="AJ3801" i="1"/>
  <c r="AI3802" i="1"/>
  <c r="AJ3802" i="1"/>
  <c r="AI3803" i="1"/>
  <c r="AJ3803" i="1"/>
  <c r="AI3804" i="1"/>
  <c r="AJ3804" i="1"/>
  <c r="AI3805" i="1"/>
  <c r="AJ3805" i="1"/>
  <c r="AI3806" i="1"/>
  <c r="AJ3806" i="1"/>
  <c r="AI3807" i="1"/>
  <c r="AJ3807" i="1"/>
  <c r="AI3808" i="1"/>
  <c r="AJ3808" i="1"/>
  <c r="AI3809" i="1"/>
  <c r="AJ3809" i="1"/>
  <c r="AI3810" i="1"/>
  <c r="AJ3810" i="1"/>
  <c r="AI3811" i="1"/>
  <c r="AJ3811" i="1"/>
  <c r="AI3812" i="1"/>
  <c r="AJ3812" i="1"/>
  <c r="AI3813" i="1"/>
  <c r="AJ3813" i="1"/>
  <c r="AI3814" i="1"/>
  <c r="AJ3814" i="1"/>
  <c r="AI3815" i="1"/>
  <c r="AJ3815" i="1"/>
  <c r="AI3816" i="1"/>
  <c r="AJ3816" i="1"/>
  <c r="AI3817" i="1"/>
  <c r="AJ3817" i="1"/>
  <c r="AI3818" i="1"/>
  <c r="AJ3818" i="1"/>
  <c r="AI3819" i="1"/>
  <c r="AJ3819" i="1"/>
  <c r="AI3820" i="1"/>
  <c r="AJ3820" i="1"/>
  <c r="AI3821" i="1"/>
  <c r="AJ3821" i="1"/>
  <c r="AI3822" i="1"/>
  <c r="AJ3822" i="1"/>
  <c r="AI3823" i="1"/>
  <c r="AJ3823" i="1"/>
  <c r="AI3824" i="1"/>
  <c r="AJ3824" i="1"/>
  <c r="AI3825" i="1"/>
  <c r="AJ3825" i="1"/>
  <c r="AI3826" i="1"/>
  <c r="AJ3826" i="1"/>
  <c r="AI3827" i="1"/>
  <c r="AJ3827" i="1"/>
  <c r="AI3828" i="1"/>
  <c r="AJ3828" i="1"/>
  <c r="AI3829" i="1"/>
  <c r="AJ3829" i="1"/>
  <c r="AI3830" i="1"/>
  <c r="AJ3830" i="1"/>
  <c r="AI3831" i="1"/>
  <c r="AJ3831" i="1"/>
  <c r="AI3832" i="1"/>
  <c r="AJ3832" i="1"/>
  <c r="AI3833" i="1"/>
  <c r="AJ3833" i="1"/>
  <c r="AI3834" i="1"/>
  <c r="AJ3834" i="1"/>
  <c r="AI3835" i="1"/>
  <c r="AJ3835" i="1"/>
  <c r="AI3836" i="1"/>
  <c r="AJ3836" i="1"/>
  <c r="AI3837" i="1"/>
  <c r="AJ3837" i="1"/>
  <c r="AI3838" i="1"/>
  <c r="AJ3838" i="1"/>
  <c r="AI3839" i="1"/>
  <c r="AJ3839" i="1"/>
  <c r="AI3840" i="1"/>
  <c r="AJ3840" i="1"/>
  <c r="AI3841" i="1"/>
  <c r="AJ3841" i="1"/>
  <c r="AI3842" i="1"/>
  <c r="AJ3842" i="1"/>
  <c r="AI3843" i="1"/>
  <c r="AJ3843" i="1"/>
  <c r="AI3844" i="1"/>
  <c r="AJ3844" i="1"/>
  <c r="AI3845" i="1"/>
  <c r="AJ3845" i="1"/>
  <c r="AI3846" i="1"/>
  <c r="AJ3846" i="1"/>
  <c r="AI3847" i="1"/>
  <c r="AJ3847" i="1"/>
  <c r="AI3848" i="1"/>
  <c r="AJ3848" i="1"/>
  <c r="AI3849" i="1"/>
  <c r="AJ3849" i="1"/>
  <c r="AI3850" i="1"/>
  <c r="AJ3850" i="1"/>
  <c r="AI3851" i="1"/>
  <c r="AJ3851" i="1"/>
  <c r="AI3852" i="1"/>
  <c r="AJ3852" i="1"/>
  <c r="AI3853" i="1"/>
  <c r="AJ3853" i="1"/>
  <c r="AI3854" i="1"/>
  <c r="AJ3854" i="1"/>
  <c r="AI3855" i="1"/>
  <c r="AJ3855" i="1"/>
  <c r="AI3856" i="1"/>
  <c r="AJ3856" i="1"/>
  <c r="AI3857" i="1"/>
  <c r="AJ3857" i="1"/>
  <c r="AI3858" i="1"/>
  <c r="AJ3858" i="1"/>
  <c r="AI3859" i="1"/>
  <c r="AJ3859" i="1"/>
  <c r="AI3860" i="1"/>
  <c r="AJ3860" i="1"/>
  <c r="AI3861" i="1"/>
  <c r="AJ3861" i="1"/>
  <c r="AI3862" i="1"/>
  <c r="AJ3862" i="1"/>
  <c r="AI3863" i="1"/>
  <c r="AJ3863" i="1"/>
  <c r="AI3864" i="1"/>
  <c r="AJ3864" i="1"/>
  <c r="AI3865" i="1"/>
  <c r="AJ3865" i="1"/>
  <c r="AI3866" i="1"/>
  <c r="AJ3866" i="1"/>
  <c r="AI3867" i="1"/>
  <c r="AJ3867" i="1"/>
  <c r="AI3868" i="1"/>
  <c r="AJ3868" i="1"/>
  <c r="AI3869" i="1"/>
  <c r="AJ3869" i="1"/>
  <c r="AI3870" i="1"/>
  <c r="AJ3870" i="1"/>
  <c r="AI3871" i="1"/>
  <c r="AJ3871" i="1"/>
  <c r="AI3872" i="1"/>
  <c r="AJ3872" i="1"/>
  <c r="AI3873" i="1"/>
  <c r="AJ3873" i="1"/>
  <c r="AI3874" i="1"/>
  <c r="AJ3874" i="1"/>
  <c r="AI3875" i="1"/>
  <c r="AJ3875" i="1"/>
  <c r="AI3876" i="1"/>
  <c r="AJ3876" i="1"/>
  <c r="AI3877" i="1"/>
  <c r="AJ3877" i="1"/>
  <c r="AI3878" i="1"/>
  <c r="AJ3878" i="1"/>
  <c r="AI3879" i="1"/>
  <c r="AJ3879" i="1"/>
  <c r="AI3880" i="1"/>
  <c r="AJ3880" i="1"/>
  <c r="AI3881" i="1"/>
  <c r="AJ3881" i="1"/>
  <c r="AI3882" i="1"/>
  <c r="AJ3882" i="1"/>
  <c r="AI3883" i="1"/>
  <c r="AJ3883" i="1"/>
  <c r="AI3884" i="1"/>
  <c r="AJ3884" i="1"/>
  <c r="AI3885" i="1"/>
  <c r="AJ3885" i="1"/>
  <c r="AI3886" i="1"/>
  <c r="AJ3886" i="1"/>
  <c r="AI3887" i="1"/>
  <c r="AJ3887" i="1"/>
  <c r="AI3888" i="1"/>
  <c r="AJ3888" i="1"/>
  <c r="AI3889" i="1"/>
  <c r="AJ3889" i="1"/>
  <c r="AI3890" i="1"/>
  <c r="AJ3890" i="1"/>
  <c r="AI3891" i="1"/>
  <c r="AJ3891" i="1"/>
  <c r="AI3892" i="1"/>
  <c r="AJ3892" i="1"/>
  <c r="AI3893" i="1"/>
  <c r="AJ3893" i="1"/>
  <c r="AI3894" i="1"/>
  <c r="AJ3894" i="1"/>
  <c r="AI3895" i="1"/>
  <c r="AJ3895" i="1"/>
  <c r="AI3896" i="1"/>
  <c r="AJ3896" i="1"/>
  <c r="AI3897" i="1"/>
  <c r="AJ3897" i="1"/>
  <c r="AI3898" i="1"/>
  <c r="AJ3898" i="1"/>
  <c r="AI3899" i="1"/>
  <c r="AJ3899" i="1"/>
  <c r="AI3900" i="1"/>
  <c r="AJ3900" i="1"/>
  <c r="AI3901" i="1"/>
  <c r="AJ3901" i="1"/>
  <c r="AI3902" i="1"/>
  <c r="AJ3902" i="1"/>
  <c r="AI3903" i="1"/>
  <c r="AJ3903" i="1"/>
  <c r="AI3904" i="1"/>
  <c r="AJ3904" i="1"/>
  <c r="AI3905" i="1"/>
  <c r="AJ3905" i="1"/>
  <c r="AI3906" i="1"/>
  <c r="AJ3906" i="1"/>
  <c r="AI3907" i="1"/>
  <c r="AJ3907" i="1"/>
  <c r="AI3908" i="1"/>
  <c r="AJ3908" i="1"/>
  <c r="AI3909" i="1"/>
  <c r="AJ3909" i="1"/>
  <c r="AI3910" i="1"/>
  <c r="AJ3910" i="1"/>
  <c r="AI3911" i="1"/>
  <c r="AJ3911" i="1"/>
  <c r="AI3912" i="1"/>
  <c r="AJ3912" i="1"/>
  <c r="AI3913" i="1"/>
  <c r="AJ3913" i="1"/>
  <c r="AI3914" i="1"/>
  <c r="AJ3914" i="1"/>
  <c r="AI3915" i="1"/>
  <c r="AJ3915" i="1"/>
  <c r="AI3916" i="1"/>
  <c r="AJ3916" i="1"/>
  <c r="AI3917" i="1"/>
  <c r="AJ3917" i="1"/>
  <c r="AI3918" i="1"/>
  <c r="AJ3918" i="1"/>
  <c r="AI3919" i="1"/>
  <c r="AJ3919" i="1"/>
  <c r="AI3920" i="1"/>
  <c r="AJ3920" i="1"/>
  <c r="AI3921" i="1"/>
  <c r="AJ3921" i="1"/>
  <c r="AI3922" i="1"/>
  <c r="AJ3922" i="1"/>
  <c r="AI3923" i="1"/>
  <c r="AJ3923" i="1"/>
  <c r="AI3924" i="1"/>
  <c r="AJ3924" i="1"/>
  <c r="AI3925" i="1"/>
  <c r="AJ3925" i="1"/>
  <c r="AI3926" i="1"/>
  <c r="AJ3926" i="1"/>
  <c r="AI3927" i="1"/>
  <c r="AJ3927" i="1"/>
  <c r="AI3928" i="1"/>
  <c r="AJ3928" i="1"/>
  <c r="AI3929" i="1"/>
  <c r="AJ3929" i="1"/>
  <c r="AI3930" i="1"/>
  <c r="AJ3930" i="1"/>
  <c r="AI3931" i="1"/>
  <c r="AJ3931" i="1"/>
  <c r="AI3932" i="1"/>
  <c r="AJ3932" i="1"/>
  <c r="AI3933" i="1"/>
  <c r="AJ3933" i="1"/>
  <c r="AI3934" i="1"/>
  <c r="AJ3934" i="1"/>
  <c r="AI3935" i="1"/>
  <c r="AJ3935" i="1"/>
  <c r="AI3936" i="1"/>
  <c r="AJ3936" i="1"/>
  <c r="AI3937" i="1"/>
  <c r="AJ3937" i="1"/>
  <c r="AI3938" i="1"/>
  <c r="AJ3938" i="1"/>
  <c r="AI3939" i="1"/>
  <c r="AJ3939" i="1"/>
  <c r="AI3940" i="1"/>
  <c r="AJ3940" i="1"/>
  <c r="AI3941" i="1"/>
  <c r="AJ3941" i="1"/>
  <c r="AI3942" i="1"/>
  <c r="AJ3942" i="1"/>
  <c r="AI3943" i="1"/>
  <c r="AJ3943" i="1"/>
  <c r="AI3944" i="1"/>
  <c r="AJ3944" i="1"/>
  <c r="AI3945" i="1"/>
  <c r="AJ3945" i="1"/>
  <c r="AI3946" i="1"/>
  <c r="AJ3946" i="1"/>
  <c r="AI3947" i="1"/>
  <c r="AJ3947" i="1"/>
  <c r="AI3948" i="1"/>
  <c r="AJ3948" i="1"/>
  <c r="AI3949" i="1"/>
  <c r="AJ3949" i="1"/>
  <c r="AI3950" i="1"/>
  <c r="AJ3950" i="1"/>
  <c r="AI3951" i="1"/>
  <c r="AJ3951" i="1"/>
  <c r="AI3952" i="1"/>
  <c r="AJ3952" i="1"/>
  <c r="AI3953" i="1"/>
  <c r="AJ3953" i="1"/>
  <c r="AI3954" i="1"/>
  <c r="AJ3954" i="1"/>
  <c r="AI3955" i="1"/>
  <c r="AJ3955" i="1"/>
  <c r="AI3956" i="1"/>
  <c r="AJ3956" i="1"/>
  <c r="AI3957" i="1"/>
  <c r="AJ3957" i="1"/>
  <c r="AI3958" i="1"/>
  <c r="AJ3958" i="1"/>
  <c r="AI3959" i="1"/>
  <c r="AJ3959" i="1"/>
  <c r="AI3960" i="1"/>
  <c r="AJ3960" i="1"/>
  <c r="AI3961" i="1"/>
  <c r="AJ3961" i="1"/>
  <c r="AI3962" i="1"/>
  <c r="AJ3962" i="1"/>
  <c r="AI3963" i="1"/>
  <c r="AJ3963" i="1"/>
  <c r="AI3964" i="1"/>
  <c r="AJ3964" i="1"/>
  <c r="AI3965" i="1"/>
  <c r="AJ3965" i="1"/>
  <c r="AI3966" i="1"/>
  <c r="AJ3966" i="1"/>
  <c r="AI3967" i="1"/>
  <c r="AJ3967" i="1"/>
  <c r="AI3968" i="1"/>
  <c r="AJ3968" i="1"/>
  <c r="AI3969" i="1"/>
  <c r="AJ3969" i="1"/>
  <c r="AI3970" i="1"/>
  <c r="AJ3970" i="1"/>
  <c r="AI3971" i="1"/>
  <c r="AJ3971" i="1"/>
  <c r="AI3972" i="1"/>
  <c r="AJ3972" i="1"/>
  <c r="AI3973" i="1"/>
  <c r="AJ3973" i="1"/>
  <c r="AI3974" i="1"/>
  <c r="AJ3974" i="1"/>
  <c r="AI3975" i="1"/>
  <c r="AJ3975" i="1"/>
  <c r="AI3976" i="1"/>
  <c r="AJ3976" i="1"/>
  <c r="AI3977" i="1"/>
  <c r="AJ3977" i="1"/>
  <c r="AI3978" i="1"/>
  <c r="AJ3978" i="1"/>
  <c r="AI3979" i="1"/>
  <c r="AJ3979" i="1"/>
  <c r="AI3980" i="1"/>
  <c r="AJ3980" i="1"/>
  <c r="AI3981" i="1"/>
  <c r="AJ3981" i="1"/>
  <c r="AI3982" i="1"/>
  <c r="AJ3982" i="1"/>
  <c r="AI3983" i="1"/>
  <c r="AJ3983" i="1"/>
  <c r="AI3984" i="1"/>
  <c r="AJ3984" i="1"/>
  <c r="AI3985" i="1"/>
  <c r="AJ3985" i="1"/>
  <c r="AI3986" i="1"/>
  <c r="AJ3986" i="1"/>
  <c r="AI3987" i="1"/>
  <c r="AJ3987" i="1"/>
  <c r="AI3988" i="1"/>
  <c r="AJ3988" i="1"/>
  <c r="AI3989" i="1"/>
  <c r="AJ3989" i="1"/>
  <c r="AI3990" i="1"/>
  <c r="AJ3990" i="1"/>
  <c r="AI3991" i="1"/>
  <c r="AJ3991" i="1"/>
  <c r="AI3992" i="1"/>
  <c r="AJ3992" i="1"/>
  <c r="AI3993" i="1"/>
  <c r="AJ3993" i="1"/>
  <c r="AI3994" i="1"/>
  <c r="AJ3994" i="1"/>
  <c r="AI3995" i="1"/>
  <c r="AJ3995" i="1"/>
  <c r="AI3996" i="1"/>
  <c r="AJ3996" i="1"/>
  <c r="AI3997" i="1"/>
  <c r="AJ3997" i="1"/>
  <c r="AI3998" i="1"/>
  <c r="AJ3998" i="1"/>
  <c r="AI3999" i="1"/>
  <c r="AJ3999" i="1"/>
  <c r="AI4000" i="1"/>
  <c r="AJ4000" i="1"/>
  <c r="AI4001" i="1"/>
  <c r="AJ4001" i="1"/>
  <c r="AI4002" i="1"/>
  <c r="AJ4002" i="1"/>
  <c r="AI4003" i="1"/>
  <c r="AJ4003" i="1"/>
  <c r="AI4004" i="1"/>
  <c r="AJ4004" i="1"/>
  <c r="AI4005" i="1"/>
  <c r="AJ4005" i="1"/>
  <c r="AI4006" i="1"/>
  <c r="AJ4006" i="1"/>
  <c r="AI4007" i="1"/>
  <c r="AJ4007" i="1"/>
  <c r="AI4008" i="1"/>
  <c r="AJ4008" i="1"/>
  <c r="AI4009" i="1"/>
  <c r="AJ4009" i="1"/>
  <c r="AI4010" i="1"/>
  <c r="AJ4010" i="1"/>
  <c r="AI4011" i="1"/>
  <c r="AJ4011" i="1"/>
  <c r="AI4012" i="1"/>
  <c r="AJ4012" i="1"/>
  <c r="AI4013" i="1"/>
  <c r="AJ4013" i="1"/>
  <c r="AI4014" i="1"/>
  <c r="AJ4014" i="1"/>
  <c r="AI4015" i="1"/>
  <c r="AJ4015" i="1"/>
  <c r="AI4016" i="1"/>
  <c r="AJ4016" i="1"/>
  <c r="AI4017" i="1"/>
  <c r="AJ4017" i="1"/>
  <c r="AI4018" i="1"/>
  <c r="AJ4018" i="1"/>
  <c r="AI4019" i="1"/>
  <c r="AJ4019" i="1"/>
  <c r="AI4020" i="1"/>
  <c r="AJ4020" i="1"/>
  <c r="AI4021" i="1"/>
  <c r="AJ4021" i="1"/>
  <c r="AI4022" i="1"/>
  <c r="AJ4022" i="1"/>
  <c r="AI4023" i="1"/>
  <c r="AJ4023" i="1"/>
  <c r="AI4024" i="1"/>
  <c r="AJ4024" i="1"/>
  <c r="AI4025" i="1"/>
  <c r="AJ4025" i="1"/>
  <c r="AI4026" i="1"/>
  <c r="AJ4026" i="1"/>
  <c r="AI4027" i="1"/>
  <c r="AJ4027" i="1"/>
  <c r="AI4028" i="1"/>
  <c r="AJ4028" i="1"/>
  <c r="AI4029" i="1"/>
  <c r="AJ4029" i="1"/>
  <c r="AI4030" i="1"/>
  <c r="AJ4030" i="1"/>
  <c r="AI4031" i="1"/>
  <c r="AJ4031" i="1"/>
  <c r="AI4032" i="1"/>
  <c r="AJ4032" i="1"/>
  <c r="AI4033" i="1"/>
  <c r="AJ4033" i="1"/>
  <c r="AI4034" i="1"/>
  <c r="AJ4034" i="1"/>
  <c r="AI4035" i="1"/>
  <c r="AJ4035" i="1"/>
  <c r="AI4036" i="1"/>
  <c r="AJ4036" i="1"/>
  <c r="AI4037" i="1"/>
  <c r="AJ4037" i="1"/>
  <c r="AI4038" i="1"/>
  <c r="AJ4038" i="1"/>
  <c r="AI4039" i="1"/>
  <c r="AJ4039" i="1"/>
  <c r="AI4040" i="1"/>
  <c r="AJ4040" i="1"/>
  <c r="AI4041" i="1"/>
  <c r="AJ4041" i="1"/>
  <c r="AI4042" i="1"/>
  <c r="AJ4042" i="1"/>
  <c r="AI4043" i="1"/>
  <c r="AJ4043" i="1"/>
  <c r="AI4044" i="1"/>
  <c r="AJ4044" i="1"/>
  <c r="AI4045" i="1"/>
  <c r="AJ4045" i="1"/>
  <c r="AI4046" i="1"/>
  <c r="AJ4046" i="1"/>
  <c r="AI4047" i="1"/>
  <c r="AJ4047" i="1"/>
  <c r="AI4048" i="1"/>
  <c r="AJ4048" i="1"/>
  <c r="AI4049" i="1"/>
  <c r="AJ4049" i="1"/>
  <c r="AI4050" i="1"/>
  <c r="AJ4050" i="1"/>
  <c r="AI4051" i="1"/>
  <c r="AJ4051" i="1"/>
  <c r="AI4052" i="1"/>
  <c r="AJ4052" i="1"/>
  <c r="AI4053" i="1"/>
  <c r="AJ4053" i="1"/>
  <c r="AI4054" i="1"/>
  <c r="AJ4054" i="1"/>
  <c r="AI4055" i="1"/>
  <c r="AJ4055" i="1"/>
  <c r="AI4056" i="1"/>
  <c r="AJ4056" i="1"/>
  <c r="AI4057" i="1"/>
  <c r="AJ4057" i="1"/>
  <c r="AI4058" i="1"/>
  <c r="AJ4058" i="1"/>
  <c r="AI4059" i="1"/>
  <c r="AJ4059" i="1"/>
  <c r="AI4060" i="1"/>
  <c r="AJ4060" i="1"/>
  <c r="AI4061" i="1"/>
  <c r="AJ4061" i="1"/>
  <c r="AI4062" i="1"/>
  <c r="AJ4062" i="1"/>
  <c r="AI4063" i="1"/>
  <c r="AJ4063" i="1"/>
  <c r="AI4064" i="1"/>
  <c r="AJ4064" i="1"/>
  <c r="AI4065" i="1"/>
  <c r="AJ4065" i="1"/>
  <c r="AI4066" i="1"/>
  <c r="AJ4066" i="1"/>
  <c r="AI4067" i="1"/>
  <c r="AJ4067" i="1"/>
  <c r="AI4068" i="1"/>
  <c r="AJ4068" i="1"/>
  <c r="AI4069" i="1"/>
  <c r="AJ4069" i="1"/>
  <c r="AI4070" i="1"/>
  <c r="AJ4070" i="1"/>
  <c r="AI4071" i="1"/>
  <c r="AJ4071" i="1"/>
  <c r="AI4072" i="1"/>
  <c r="AJ4072" i="1"/>
  <c r="AI4073" i="1"/>
  <c r="AJ4073" i="1"/>
  <c r="AI4074" i="1"/>
  <c r="AJ4074" i="1"/>
  <c r="AI4075" i="1"/>
  <c r="AJ4075" i="1"/>
  <c r="AI4076" i="1"/>
  <c r="AJ4076" i="1"/>
  <c r="AI4077" i="1"/>
  <c r="AJ4077" i="1"/>
  <c r="AI4078" i="1"/>
  <c r="AJ4078" i="1"/>
  <c r="AI4079" i="1"/>
  <c r="AJ4079" i="1"/>
  <c r="AI4080" i="1"/>
  <c r="AJ4080" i="1"/>
  <c r="AI4081" i="1"/>
  <c r="AJ4081" i="1"/>
  <c r="AI4082" i="1"/>
  <c r="AJ4082" i="1"/>
  <c r="AI4083" i="1"/>
  <c r="AJ4083" i="1"/>
  <c r="AI4084" i="1"/>
  <c r="AJ4084" i="1"/>
  <c r="AI4085" i="1"/>
  <c r="AJ4085" i="1"/>
  <c r="AI4086" i="1"/>
  <c r="AJ4086" i="1"/>
  <c r="AI4087" i="1"/>
  <c r="AJ4087" i="1"/>
  <c r="AI4088" i="1"/>
  <c r="AJ4088" i="1"/>
  <c r="AI4089" i="1"/>
  <c r="AJ4089" i="1"/>
  <c r="AI4090" i="1"/>
  <c r="AJ4090" i="1"/>
  <c r="AI4091" i="1"/>
  <c r="AJ4091" i="1"/>
  <c r="AI4092" i="1"/>
  <c r="AJ4092" i="1"/>
  <c r="AI4093" i="1"/>
  <c r="AJ4093" i="1"/>
  <c r="AI4094" i="1"/>
  <c r="AJ4094" i="1"/>
  <c r="AI4095" i="1"/>
  <c r="AJ4095" i="1"/>
  <c r="AI4096" i="1"/>
  <c r="AJ4096" i="1"/>
  <c r="AI4097" i="1"/>
  <c r="AJ4097" i="1"/>
  <c r="AI4098" i="1"/>
  <c r="AJ4098" i="1"/>
  <c r="AI4099" i="1"/>
  <c r="AJ4099" i="1"/>
  <c r="AI4100" i="1"/>
  <c r="AJ4100" i="1"/>
  <c r="AI4101" i="1"/>
  <c r="AJ4101" i="1"/>
  <c r="AI4102" i="1"/>
  <c r="AJ4102" i="1"/>
  <c r="AI4103" i="1"/>
  <c r="AJ4103" i="1"/>
  <c r="AI4104" i="1"/>
  <c r="AJ4104" i="1"/>
  <c r="AI4105" i="1"/>
  <c r="AJ4105" i="1"/>
  <c r="AI4106" i="1"/>
  <c r="AJ4106" i="1"/>
  <c r="AI4107" i="1"/>
  <c r="AJ4107" i="1"/>
  <c r="AI4108" i="1"/>
  <c r="AJ4108" i="1"/>
  <c r="AI4109" i="1"/>
  <c r="AJ4109" i="1"/>
  <c r="AI4110" i="1"/>
  <c r="AJ4110" i="1"/>
  <c r="AI4111" i="1"/>
  <c r="AJ4111" i="1"/>
  <c r="AI4112" i="1"/>
  <c r="AJ4112" i="1"/>
  <c r="AI4113" i="1"/>
  <c r="AJ4113" i="1"/>
  <c r="AI4114" i="1"/>
  <c r="AJ4114" i="1"/>
  <c r="AI4115" i="1"/>
  <c r="AJ4115" i="1"/>
  <c r="AI4116" i="1"/>
  <c r="AJ4116" i="1"/>
  <c r="AI4117" i="1"/>
  <c r="AJ4117" i="1"/>
  <c r="AI4118" i="1"/>
  <c r="AJ4118" i="1"/>
  <c r="AI4119" i="1"/>
  <c r="AJ4119" i="1"/>
  <c r="AI4120" i="1"/>
  <c r="AJ4120" i="1"/>
  <c r="AI4121" i="1"/>
  <c r="AJ4121" i="1"/>
  <c r="AI4122" i="1"/>
  <c r="AJ4122" i="1"/>
  <c r="AI4123" i="1"/>
  <c r="AJ4123" i="1"/>
  <c r="AI4124" i="1"/>
  <c r="AJ4124" i="1"/>
  <c r="AI4125" i="1"/>
  <c r="AJ4125" i="1"/>
  <c r="AI4126" i="1"/>
  <c r="AJ4126" i="1"/>
  <c r="AI4127" i="1"/>
  <c r="AJ4127" i="1"/>
  <c r="AI4128" i="1"/>
  <c r="AJ4128" i="1"/>
  <c r="AI4129" i="1"/>
  <c r="AJ4129" i="1"/>
  <c r="AI4130" i="1"/>
  <c r="AJ4130" i="1"/>
  <c r="AI4131" i="1"/>
  <c r="AJ4131" i="1"/>
  <c r="AI4132" i="1"/>
  <c r="AJ4132" i="1"/>
  <c r="AI4133" i="1"/>
  <c r="AJ4133" i="1"/>
  <c r="AI4134" i="1"/>
  <c r="AJ4134" i="1"/>
  <c r="AI4135" i="1"/>
  <c r="AJ4135" i="1"/>
  <c r="AI4136" i="1"/>
  <c r="AJ4136" i="1"/>
  <c r="AI4137" i="1"/>
  <c r="AJ4137" i="1"/>
  <c r="AI4138" i="1"/>
  <c r="AJ4138" i="1"/>
  <c r="AI4139" i="1"/>
  <c r="AJ4139" i="1"/>
  <c r="AI4140" i="1"/>
  <c r="AJ4140" i="1"/>
  <c r="AI4141" i="1"/>
  <c r="AJ4141" i="1"/>
  <c r="AI4142" i="1"/>
  <c r="AJ4142" i="1"/>
  <c r="AI4143" i="1"/>
  <c r="AJ4143" i="1"/>
  <c r="AI4144" i="1"/>
  <c r="AJ4144" i="1"/>
  <c r="AI4145" i="1"/>
  <c r="AJ4145" i="1"/>
  <c r="AI4146" i="1"/>
  <c r="AJ4146" i="1"/>
  <c r="AI4147" i="1"/>
  <c r="AJ4147" i="1"/>
  <c r="AI4148" i="1"/>
  <c r="AJ4148" i="1"/>
  <c r="AI4149" i="1"/>
  <c r="AJ4149" i="1"/>
  <c r="AI4150" i="1"/>
  <c r="AJ4150" i="1"/>
  <c r="AI4151" i="1"/>
  <c r="AJ4151" i="1"/>
  <c r="AI4152" i="1"/>
  <c r="AJ4152" i="1"/>
  <c r="AI4153" i="1"/>
  <c r="AJ4153" i="1"/>
  <c r="AI4154" i="1"/>
  <c r="AJ4154" i="1"/>
  <c r="AI4155" i="1"/>
  <c r="AJ4155" i="1"/>
  <c r="AI4156" i="1"/>
  <c r="AJ4156" i="1"/>
  <c r="AI4157" i="1"/>
  <c r="AJ4157" i="1"/>
  <c r="AI4158" i="1"/>
  <c r="AJ4158" i="1"/>
  <c r="AI4159" i="1"/>
  <c r="AJ4159" i="1"/>
  <c r="AI4160" i="1"/>
  <c r="AJ4160" i="1"/>
  <c r="AI4161" i="1"/>
  <c r="AJ4161" i="1"/>
  <c r="AI4162" i="1"/>
  <c r="AJ4162" i="1"/>
  <c r="AI4163" i="1"/>
  <c r="AJ4163" i="1"/>
  <c r="AI4164" i="1"/>
  <c r="AJ4164" i="1"/>
  <c r="AI4165" i="1"/>
  <c r="AJ4165" i="1"/>
  <c r="AI4166" i="1"/>
  <c r="AJ4166" i="1"/>
  <c r="AI4167" i="1"/>
  <c r="AJ4167" i="1"/>
  <c r="AI4168" i="1"/>
  <c r="AJ4168" i="1"/>
  <c r="AI4169" i="1"/>
  <c r="AJ4169" i="1"/>
  <c r="AI4170" i="1"/>
  <c r="AJ4170" i="1"/>
  <c r="AI4171" i="1"/>
  <c r="AJ4171" i="1"/>
  <c r="AI4172" i="1"/>
  <c r="AJ4172" i="1"/>
  <c r="AI4173" i="1"/>
  <c r="AJ4173" i="1"/>
  <c r="AI4174" i="1"/>
  <c r="AJ4174" i="1"/>
  <c r="AI4175" i="1"/>
  <c r="AJ4175" i="1"/>
  <c r="AI4176" i="1"/>
  <c r="AJ4176" i="1"/>
  <c r="AI4177" i="1"/>
  <c r="AJ4177" i="1"/>
  <c r="AI4178" i="1"/>
  <c r="AJ4178" i="1"/>
  <c r="AI4179" i="1"/>
  <c r="AJ4179" i="1"/>
  <c r="AI4180" i="1"/>
  <c r="AJ4180" i="1"/>
  <c r="AI4181" i="1"/>
  <c r="AJ4181" i="1"/>
  <c r="AI4182" i="1"/>
  <c r="AJ4182" i="1"/>
  <c r="AI4183" i="1"/>
  <c r="AJ4183" i="1"/>
  <c r="AI4184" i="1"/>
  <c r="AJ4184" i="1"/>
  <c r="AI4185" i="1"/>
  <c r="AJ4185" i="1"/>
  <c r="AI4186" i="1"/>
  <c r="AJ4186" i="1"/>
  <c r="AI4187" i="1"/>
  <c r="AJ4187" i="1"/>
  <c r="AI4188" i="1"/>
  <c r="AJ4188" i="1"/>
  <c r="AI4189" i="1"/>
  <c r="AJ4189" i="1"/>
  <c r="AI4190" i="1"/>
  <c r="AJ4190" i="1"/>
  <c r="AI4191" i="1"/>
  <c r="AJ4191" i="1"/>
  <c r="AI4192" i="1"/>
  <c r="AJ4192" i="1"/>
  <c r="AI4193" i="1"/>
  <c r="AJ4193" i="1"/>
  <c r="AI4194" i="1"/>
  <c r="AJ4194" i="1"/>
  <c r="AI4195" i="1"/>
  <c r="AJ4195" i="1"/>
  <c r="AI4196" i="1"/>
  <c r="AJ4196" i="1"/>
  <c r="AI4197" i="1"/>
  <c r="AJ4197" i="1"/>
  <c r="AI4198" i="1"/>
  <c r="AJ4198" i="1"/>
  <c r="AI4199" i="1"/>
  <c r="AJ4199" i="1"/>
  <c r="AI4200" i="1"/>
  <c r="AJ4200" i="1"/>
  <c r="AI4201" i="1"/>
  <c r="AJ4201" i="1"/>
  <c r="AI4202" i="1"/>
  <c r="AJ4202" i="1"/>
  <c r="AI4203" i="1"/>
  <c r="AJ4203" i="1"/>
  <c r="AI4204" i="1"/>
  <c r="AJ4204" i="1"/>
  <c r="AI4205" i="1"/>
  <c r="AJ4205" i="1"/>
  <c r="AI4206" i="1"/>
  <c r="AJ4206" i="1"/>
  <c r="AI4207" i="1"/>
  <c r="AJ4207" i="1"/>
  <c r="AI4208" i="1"/>
  <c r="AJ4208" i="1"/>
  <c r="AI4209" i="1"/>
  <c r="AJ4209" i="1"/>
  <c r="AI4210" i="1"/>
  <c r="AJ4210" i="1"/>
  <c r="AI4211" i="1"/>
  <c r="AJ4211" i="1"/>
  <c r="AI4212" i="1"/>
  <c r="AJ4212" i="1"/>
  <c r="AI4213" i="1"/>
  <c r="AJ4213" i="1"/>
  <c r="AI4214" i="1"/>
  <c r="AJ4214" i="1"/>
  <c r="AI4215" i="1"/>
  <c r="AJ4215" i="1"/>
  <c r="AI4216" i="1"/>
  <c r="AJ4216" i="1"/>
  <c r="AI4217" i="1"/>
  <c r="AJ4217" i="1"/>
  <c r="AI4218" i="1"/>
  <c r="AJ4218" i="1"/>
  <c r="AI4219" i="1"/>
  <c r="AJ4219" i="1"/>
  <c r="AI4220" i="1"/>
  <c r="AJ4220" i="1"/>
  <c r="AI4221" i="1"/>
  <c r="AJ4221" i="1"/>
  <c r="AI4222" i="1"/>
  <c r="AJ4222" i="1"/>
  <c r="AI4223" i="1"/>
  <c r="AJ4223" i="1"/>
  <c r="AI4224" i="1"/>
  <c r="AJ4224" i="1"/>
  <c r="AI4225" i="1"/>
  <c r="AJ4225" i="1"/>
  <c r="AI4226" i="1"/>
  <c r="AJ4226" i="1"/>
  <c r="AI4227" i="1"/>
  <c r="AJ4227" i="1"/>
  <c r="AI4228" i="1"/>
  <c r="AJ4228" i="1"/>
  <c r="AI4229" i="1"/>
  <c r="AJ4229" i="1"/>
  <c r="AI4230" i="1"/>
  <c r="AJ4230" i="1"/>
  <c r="AI4231" i="1"/>
  <c r="AJ4231" i="1"/>
  <c r="AI4232" i="1"/>
  <c r="AJ4232" i="1"/>
  <c r="AI4233" i="1"/>
  <c r="AJ4233" i="1"/>
  <c r="AI4234" i="1"/>
  <c r="AJ4234" i="1"/>
  <c r="AI4235" i="1"/>
  <c r="AJ4235" i="1"/>
  <c r="AI4236" i="1"/>
  <c r="AJ4236" i="1"/>
  <c r="AI4237" i="1"/>
  <c r="AJ4237" i="1"/>
  <c r="AI4238" i="1"/>
  <c r="AJ4238" i="1"/>
  <c r="AI4239" i="1"/>
  <c r="AJ4239" i="1"/>
  <c r="AI4240" i="1"/>
  <c r="AJ4240" i="1"/>
  <c r="AI4241" i="1"/>
  <c r="AJ4241" i="1"/>
  <c r="AI4242" i="1"/>
  <c r="AJ4242" i="1"/>
  <c r="AI4243" i="1"/>
  <c r="AJ4243" i="1"/>
  <c r="AI4244" i="1"/>
  <c r="AJ4244" i="1"/>
  <c r="AI4245" i="1"/>
  <c r="AJ4245" i="1"/>
  <c r="AI4246" i="1"/>
  <c r="AJ4246" i="1"/>
  <c r="AI4247" i="1"/>
  <c r="AJ4247" i="1"/>
  <c r="AI4248" i="1"/>
  <c r="AJ4248" i="1"/>
  <c r="AI4249" i="1"/>
  <c r="AJ4249" i="1"/>
  <c r="AI4250" i="1"/>
  <c r="AJ4250" i="1"/>
  <c r="AI4251" i="1"/>
  <c r="AJ4251" i="1"/>
  <c r="AI4252" i="1"/>
  <c r="AJ4252" i="1"/>
  <c r="AI4253" i="1"/>
  <c r="AJ4253" i="1"/>
  <c r="AI4254" i="1"/>
  <c r="AJ4254" i="1"/>
  <c r="AI4255" i="1"/>
  <c r="AJ4255" i="1"/>
  <c r="AI4256" i="1"/>
  <c r="AJ4256" i="1"/>
  <c r="AI4257" i="1"/>
  <c r="AJ4257" i="1"/>
  <c r="AI4258" i="1"/>
  <c r="AJ4258" i="1"/>
  <c r="AI4259" i="1"/>
  <c r="AJ4259" i="1"/>
  <c r="AI4260" i="1"/>
  <c r="AJ4260" i="1"/>
  <c r="AI4261" i="1"/>
  <c r="AJ4261" i="1"/>
  <c r="AI4262" i="1"/>
  <c r="AJ4262" i="1"/>
  <c r="AI4263" i="1"/>
  <c r="AJ4263" i="1"/>
  <c r="AI4264" i="1"/>
  <c r="AJ4264" i="1"/>
  <c r="AI4265" i="1"/>
  <c r="AJ4265" i="1"/>
  <c r="AI4266" i="1"/>
  <c r="AJ4266" i="1"/>
  <c r="AI4267" i="1"/>
  <c r="AJ4267" i="1"/>
  <c r="AI4268" i="1"/>
  <c r="AJ4268" i="1"/>
  <c r="AI4269" i="1"/>
  <c r="AJ4269" i="1"/>
  <c r="AI4270" i="1"/>
  <c r="AJ4270" i="1"/>
  <c r="AI4271" i="1"/>
  <c r="AJ4271" i="1"/>
  <c r="AI4272" i="1"/>
  <c r="AJ4272" i="1"/>
  <c r="AI4273" i="1"/>
  <c r="AJ4273" i="1"/>
  <c r="AI4274" i="1"/>
  <c r="AJ4274" i="1"/>
  <c r="AI4275" i="1"/>
  <c r="AJ4275" i="1"/>
  <c r="AI4276" i="1"/>
  <c r="AJ4276" i="1"/>
  <c r="AI4277" i="1"/>
  <c r="AJ4277" i="1"/>
  <c r="AI4278" i="1"/>
  <c r="AJ4278" i="1"/>
  <c r="AI4279" i="1"/>
  <c r="AJ4279" i="1"/>
  <c r="AI4280" i="1"/>
  <c r="AJ4280" i="1"/>
  <c r="AI4281" i="1"/>
  <c r="AJ4281" i="1"/>
  <c r="AI4282" i="1"/>
  <c r="AJ4282" i="1"/>
  <c r="AI4283" i="1"/>
  <c r="AJ4283" i="1"/>
  <c r="AI4284" i="1"/>
  <c r="AJ4284" i="1"/>
  <c r="AI4285" i="1"/>
  <c r="AJ4285" i="1"/>
  <c r="AI4286" i="1"/>
  <c r="AJ4286" i="1"/>
  <c r="AI4287" i="1"/>
  <c r="AJ4287" i="1"/>
  <c r="AI4288" i="1"/>
  <c r="AJ4288" i="1"/>
  <c r="AI4289" i="1"/>
  <c r="AJ4289" i="1"/>
  <c r="AI4290" i="1"/>
  <c r="AJ4290" i="1"/>
  <c r="AI4291" i="1"/>
  <c r="AJ4291" i="1"/>
  <c r="AI4292" i="1"/>
  <c r="AJ4292" i="1"/>
  <c r="AI4293" i="1"/>
  <c r="AJ4293" i="1"/>
  <c r="AI4294" i="1"/>
  <c r="AJ4294" i="1"/>
  <c r="AI4295" i="1"/>
  <c r="AJ4295" i="1"/>
  <c r="AI4296" i="1"/>
  <c r="AJ4296" i="1"/>
  <c r="AI4297" i="1"/>
  <c r="AJ4297" i="1"/>
  <c r="AI4298" i="1"/>
  <c r="AJ4298" i="1"/>
  <c r="AI4299" i="1"/>
  <c r="AJ4299" i="1"/>
  <c r="AI4300" i="1"/>
  <c r="AJ4300" i="1"/>
  <c r="AI4301" i="1"/>
  <c r="AJ4301" i="1"/>
  <c r="AI4302" i="1"/>
  <c r="AJ4302" i="1"/>
  <c r="AI4303" i="1"/>
  <c r="AJ4303" i="1"/>
  <c r="AI4304" i="1"/>
  <c r="AJ4304" i="1"/>
  <c r="AI4305" i="1"/>
  <c r="AJ4305" i="1"/>
  <c r="AI4306" i="1"/>
  <c r="AJ4306" i="1"/>
  <c r="AI4307" i="1"/>
  <c r="AJ4307" i="1"/>
  <c r="AI4308" i="1"/>
  <c r="AJ4308" i="1"/>
  <c r="AI4309" i="1"/>
  <c r="AJ4309" i="1"/>
  <c r="AI4310" i="1"/>
  <c r="AJ4310" i="1"/>
  <c r="AI4311" i="1"/>
  <c r="AJ4311" i="1"/>
  <c r="AI4312" i="1"/>
  <c r="AJ4312" i="1"/>
  <c r="AI4313" i="1"/>
  <c r="AJ4313" i="1"/>
  <c r="AI4314" i="1"/>
  <c r="AJ4314" i="1"/>
  <c r="AI4315" i="1"/>
  <c r="AJ4315" i="1"/>
  <c r="AI4316" i="1"/>
  <c r="AJ4316" i="1"/>
  <c r="AI4317" i="1"/>
  <c r="AJ4317" i="1"/>
  <c r="AI4318" i="1"/>
  <c r="AJ4318" i="1"/>
  <c r="AI4319" i="1"/>
  <c r="AJ4319" i="1"/>
  <c r="AI4320" i="1"/>
  <c r="AJ4320" i="1"/>
  <c r="AI4321" i="1"/>
  <c r="AJ4321" i="1"/>
  <c r="AI4322" i="1"/>
  <c r="AJ4322" i="1"/>
  <c r="AI4323" i="1"/>
  <c r="AJ4323" i="1"/>
  <c r="AI4324" i="1"/>
  <c r="AJ4324" i="1"/>
  <c r="AI4325" i="1"/>
  <c r="AJ4325" i="1"/>
  <c r="AI4326" i="1"/>
  <c r="AJ4326" i="1"/>
  <c r="AI4327" i="1"/>
  <c r="AJ4327" i="1"/>
  <c r="AI4328" i="1"/>
  <c r="AJ4328" i="1"/>
  <c r="AI4329" i="1"/>
  <c r="AJ4329" i="1"/>
  <c r="AI4330" i="1"/>
  <c r="AJ4330" i="1"/>
  <c r="AI4331" i="1"/>
  <c r="AJ4331" i="1"/>
  <c r="AI4332" i="1"/>
  <c r="AJ4332" i="1"/>
  <c r="AI4333" i="1"/>
  <c r="AJ4333" i="1"/>
  <c r="AI4334" i="1"/>
  <c r="AJ4334" i="1"/>
  <c r="AI4335" i="1"/>
  <c r="AJ4335" i="1"/>
  <c r="AI4336" i="1"/>
  <c r="AJ4336" i="1"/>
  <c r="AI4337" i="1"/>
  <c r="AJ4337" i="1"/>
  <c r="AI4338" i="1"/>
  <c r="AJ4338" i="1"/>
  <c r="AI4339" i="1"/>
  <c r="AJ4339" i="1"/>
  <c r="AI4340" i="1"/>
  <c r="AJ4340" i="1"/>
  <c r="AI4341" i="1"/>
  <c r="AJ4341" i="1"/>
  <c r="AI4342" i="1"/>
  <c r="AJ4342" i="1"/>
  <c r="AI4343" i="1"/>
  <c r="AJ4343" i="1"/>
  <c r="AI4344" i="1"/>
  <c r="AJ4344" i="1"/>
  <c r="AI4345" i="1"/>
  <c r="AJ4345" i="1"/>
  <c r="AI4346" i="1"/>
  <c r="AJ4346" i="1"/>
  <c r="AI4347" i="1"/>
  <c r="AJ4347" i="1"/>
  <c r="AI4348" i="1"/>
  <c r="AJ4348" i="1"/>
  <c r="AI4349" i="1"/>
  <c r="AJ4349" i="1"/>
  <c r="AI4350" i="1"/>
  <c r="AJ4350" i="1"/>
  <c r="AI4351" i="1"/>
  <c r="AJ4351" i="1"/>
  <c r="AI4352" i="1"/>
  <c r="AJ4352" i="1"/>
  <c r="AI4353" i="1"/>
  <c r="AJ4353" i="1"/>
  <c r="AI4354" i="1"/>
  <c r="AJ4354" i="1"/>
  <c r="AI4355" i="1"/>
  <c r="AJ4355" i="1"/>
  <c r="AI4356" i="1"/>
  <c r="AJ4356" i="1"/>
  <c r="AI4357" i="1"/>
  <c r="AJ4357" i="1"/>
  <c r="AI4358" i="1"/>
  <c r="AJ4358" i="1"/>
  <c r="AI4359" i="1"/>
  <c r="AJ4359" i="1"/>
  <c r="AI4360" i="1"/>
  <c r="AJ4360" i="1"/>
  <c r="AI4361" i="1"/>
  <c r="AJ4361" i="1"/>
  <c r="AI4362" i="1"/>
  <c r="AJ4362" i="1"/>
  <c r="AI4363" i="1"/>
  <c r="AJ4363" i="1"/>
  <c r="AI4364" i="1"/>
  <c r="AJ4364" i="1"/>
  <c r="AI4365" i="1"/>
  <c r="AJ4365" i="1"/>
  <c r="AI4366" i="1"/>
  <c r="AJ4366" i="1"/>
  <c r="AI4367" i="1"/>
  <c r="AJ4367" i="1"/>
  <c r="AI4368" i="1"/>
  <c r="AJ4368" i="1"/>
  <c r="AI4369" i="1"/>
  <c r="AJ4369" i="1"/>
  <c r="AI4370" i="1"/>
  <c r="AJ4370" i="1"/>
  <c r="AI4371" i="1"/>
  <c r="AJ4371" i="1"/>
  <c r="AI4372" i="1"/>
  <c r="AJ4372" i="1"/>
  <c r="AI4373" i="1"/>
  <c r="AJ4373" i="1"/>
  <c r="AI4374" i="1"/>
  <c r="AJ4374" i="1"/>
  <c r="AI4375" i="1"/>
  <c r="AJ4375" i="1"/>
  <c r="AI4376" i="1"/>
  <c r="AJ4376" i="1"/>
  <c r="AI4377" i="1"/>
  <c r="AJ4377" i="1"/>
  <c r="AI4378" i="1"/>
  <c r="AJ4378" i="1"/>
  <c r="AI4379" i="1"/>
  <c r="AJ4379" i="1"/>
  <c r="AI4380" i="1"/>
  <c r="AJ4380" i="1"/>
  <c r="AI4381" i="1"/>
  <c r="AJ4381" i="1"/>
  <c r="AI4382" i="1"/>
  <c r="AJ4382" i="1"/>
  <c r="AI4383" i="1"/>
  <c r="AJ4383" i="1"/>
  <c r="AI4384" i="1"/>
  <c r="AJ4384" i="1"/>
  <c r="AI4385" i="1"/>
  <c r="AJ4385" i="1"/>
  <c r="AI4386" i="1"/>
  <c r="AJ4386" i="1"/>
  <c r="AI4387" i="1"/>
  <c r="AJ4387" i="1"/>
  <c r="AI4388" i="1"/>
  <c r="AJ4388" i="1"/>
  <c r="AI4389" i="1"/>
  <c r="AJ4389" i="1"/>
  <c r="AI4390" i="1"/>
  <c r="AJ4390" i="1"/>
  <c r="AI4391" i="1"/>
  <c r="AJ4391" i="1"/>
  <c r="AI4392" i="1"/>
  <c r="AJ4392" i="1"/>
  <c r="AI4393" i="1"/>
  <c r="AJ4393" i="1"/>
  <c r="AI4394" i="1"/>
  <c r="AJ4394" i="1"/>
  <c r="AI4395" i="1"/>
  <c r="AJ4395" i="1"/>
  <c r="AI4396" i="1"/>
  <c r="AJ4396" i="1"/>
  <c r="AI4397" i="1"/>
  <c r="AJ4397" i="1"/>
  <c r="AI4398" i="1"/>
  <c r="AJ4398" i="1"/>
  <c r="AI4399" i="1"/>
  <c r="AJ4399" i="1"/>
  <c r="AI4400" i="1"/>
  <c r="AJ4400" i="1"/>
  <c r="AI4401" i="1"/>
  <c r="AJ4401" i="1"/>
  <c r="AI4402" i="1"/>
  <c r="AJ4402" i="1"/>
  <c r="AI4403" i="1"/>
  <c r="AJ4403" i="1"/>
  <c r="AI4404" i="1"/>
  <c r="AJ4404" i="1"/>
  <c r="AI4405" i="1"/>
  <c r="AJ4405" i="1"/>
  <c r="AI4406" i="1"/>
  <c r="AJ4406" i="1"/>
  <c r="AI4407" i="1"/>
  <c r="AJ4407" i="1"/>
  <c r="AI4408" i="1"/>
  <c r="AJ4408" i="1"/>
  <c r="AI4409" i="1"/>
  <c r="AJ4409" i="1"/>
  <c r="AI4410" i="1"/>
  <c r="AJ4410" i="1"/>
  <c r="AI4411" i="1"/>
  <c r="AJ4411" i="1"/>
  <c r="AI4412" i="1"/>
  <c r="AJ4412" i="1"/>
  <c r="AI4413" i="1"/>
  <c r="AJ4413" i="1"/>
  <c r="AI4414" i="1"/>
  <c r="AJ4414" i="1"/>
  <c r="AI4415" i="1"/>
  <c r="AJ4415" i="1"/>
  <c r="AI4416" i="1"/>
  <c r="AJ4416" i="1"/>
  <c r="AI4417" i="1"/>
  <c r="AJ4417" i="1"/>
  <c r="AI4418" i="1"/>
  <c r="AJ4418" i="1"/>
  <c r="AI4419" i="1"/>
  <c r="AJ4419" i="1"/>
  <c r="AI4420" i="1"/>
  <c r="AJ4420" i="1"/>
  <c r="AI4421" i="1"/>
  <c r="AJ4421" i="1"/>
  <c r="AI4422" i="1"/>
  <c r="AJ4422" i="1"/>
  <c r="AI4423" i="1"/>
  <c r="AJ4423" i="1"/>
  <c r="AI4424" i="1"/>
  <c r="AJ4424" i="1"/>
  <c r="AI4425" i="1"/>
  <c r="AJ4425" i="1"/>
  <c r="AI4426" i="1"/>
  <c r="AJ4426" i="1"/>
  <c r="AI4427" i="1"/>
  <c r="AJ4427" i="1"/>
  <c r="AI4428" i="1"/>
  <c r="AJ4428" i="1"/>
  <c r="AI4429" i="1"/>
  <c r="AJ4429" i="1"/>
  <c r="AI4430" i="1"/>
  <c r="AJ4430" i="1"/>
  <c r="AI4431" i="1"/>
  <c r="AJ4431" i="1"/>
  <c r="AI4432" i="1"/>
  <c r="AJ4432" i="1"/>
  <c r="AI4433" i="1"/>
  <c r="AJ4433" i="1"/>
  <c r="AI4434" i="1"/>
  <c r="AJ4434" i="1"/>
  <c r="AI4435" i="1"/>
  <c r="AJ4435" i="1"/>
  <c r="AI4436" i="1"/>
  <c r="AJ4436" i="1"/>
  <c r="AI4437" i="1"/>
  <c r="AJ4437" i="1"/>
  <c r="AI4438" i="1"/>
  <c r="AJ4438" i="1"/>
  <c r="AI4439" i="1"/>
  <c r="AJ4439" i="1"/>
  <c r="AI4440" i="1"/>
  <c r="AJ4440" i="1"/>
  <c r="AI4441" i="1"/>
  <c r="AJ4441" i="1"/>
  <c r="AI4442" i="1"/>
  <c r="AJ4442" i="1"/>
  <c r="AI4443" i="1"/>
  <c r="AJ4443" i="1"/>
  <c r="AI4444" i="1"/>
  <c r="AJ4444" i="1"/>
  <c r="AI4445" i="1"/>
  <c r="AJ4445" i="1"/>
  <c r="AI4446" i="1"/>
  <c r="AJ4446" i="1"/>
  <c r="AI4447" i="1"/>
  <c r="AJ4447" i="1"/>
  <c r="AI4448" i="1"/>
  <c r="AJ4448" i="1"/>
  <c r="AI4449" i="1"/>
  <c r="AJ4449" i="1"/>
  <c r="AI4450" i="1"/>
  <c r="AJ4450" i="1"/>
  <c r="AI4451" i="1"/>
  <c r="AJ4451" i="1"/>
  <c r="AI4452" i="1"/>
  <c r="AJ4452" i="1"/>
  <c r="AI4453" i="1"/>
  <c r="AJ4453" i="1"/>
  <c r="AI4454" i="1"/>
  <c r="AJ4454" i="1"/>
  <c r="AI4455" i="1"/>
  <c r="AJ4455" i="1"/>
  <c r="AI4456" i="1"/>
  <c r="AJ4456" i="1"/>
  <c r="AI4457" i="1"/>
  <c r="AJ4457" i="1"/>
  <c r="AI4458" i="1"/>
  <c r="AJ4458" i="1"/>
  <c r="AI4459" i="1"/>
  <c r="AJ4459" i="1"/>
  <c r="AI4460" i="1"/>
  <c r="AJ4460" i="1"/>
  <c r="AI4461" i="1"/>
  <c r="AJ4461" i="1"/>
  <c r="AI4462" i="1"/>
  <c r="AJ4462" i="1"/>
  <c r="AI4463" i="1"/>
  <c r="AJ4463" i="1"/>
  <c r="AI4464" i="1"/>
  <c r="AJ4464" i="1"/>
  <c r="AI4465" i="1"/>
  <c r="AJ4465" i="1"/>
  <c r="AI4466" i="1"/>
  <c r="AJ4466" i="1"/>
  <c r="AI4467" i="1"/>
  <c r="AJ4467" i="1"/>
  <c r="AI4468" i="1"/>
  <c r="AJ4468" i="1"/>
  <c r="AI4469" i="1"/>
  <c r="AJ4469" i="1"/>
  <c r="AI4470" i="1"/>
  <c r="AJ4470" i="1"/>
  <c r="AI4471" i="1"/>
  <c r="AJ4471" i="1"/>
  <c r="AI4472" i="1"/>
  <c r="AJ4472" i="1"/>
  <c r="AI4473" i="1"/>
  <c r="AJ4473" i="1"/>
  <c r="AI4474" i="1"/>
  <c r="AJ4474" i="1"/>
  <c r="AI4475" i="1"/>
  <c r="AJ4475" i="1"/>
  <c r="AI4476" i="1"/>
  <c r="AJ4476" i="1"/>
  <c r="AI4477" i="1"/>
  <c r="AJ4477" i="1"/>
  <c r="AI4478" i="1"/>
  <c r="AJ4478" i="1"/>
  <c r="AI4479" i="1"/>
  <c r="AJ4479" i="1"/>
  <c r="AI4480" i="1"/>
  <c r="AJ4480" i="1"/>
  <c r="AI4481" i="1"/>
  <c r="AJ4481" i="1"/>
  <c r="AI4482" i="1"/>
  <c r="AJ4482" i="1"/>
  <c r="AI4483" i="1"/>
  <c r="AJ4483" i="1"/>
  <c r="AI4484" i="1"/>
  <c r="AJ4484" i="1"/>
  <c r="AI4485" i="1"/>
  <c r="AJ4485" i="1"/>
  <c r="AI4486" i="1"/>
  <c r="AJ4486" i="1"/>
  <c r="AI4487" i="1"/>
  <c r="AJ4487" i="1"/>
  <c r="AI4488" i="1"/>
  <c r="AJ4488" i="1"/>
  <c r="AI4489" i="1"/>
  <c r="AJ4489" i="1"/>
  <c r="AI4490" i="1"/>
  <c r="AJ4490" i="1"/>
  <c r="AI4491" i="1"/>
  <c r="AJ4491" i="1"/>
  <c r="AI4492" i="1"/>
  <c r="AJ4492" i="1"/>
  <c r="AI4493" i="1"/>
  <c r="AJ4493" i="1"/>
  <c r="AI4494" i="1"/>
  <c r="AJ4494" i="1"/>
  <c r="AI4495" i="1"/>
  <c r="AJ4495" i="1"/>
  <c r="AI4496" i="1"/>
  <c r="AJ4496" i="1"/>
  <c r="AI4497" i="1"/>
  <c r="AJ4497" i="1"/>
  <c r="AI4498" i="1"/>
  <c r="AJ4498" i="1"/>
  <c r="AI4499" i="1"/>
  <c r="AJ4499" i="1"/>
  <c r="AI4500" i="1"/>
  <c r="AJ4500" i="1"/>
  <c r="AI4501" i="1"/>
  <c r="AJ4501" i="1"/>
  <c r="AI4502" i="1"/>
  <c r="AJ4502" i="1"/>
  <c r="AI4503" i="1"/>
  <c r="AJ4503" i="1"/>
  <c r="AI4504" i="1"/>
  <c r="AJ4504" i="1"/>
  <c r="AI4505" i="1"/>
  <c r="AJ4505" i="1"/>
  <c r="AI4506" i="1"/>
  <c r="AJ4506" i="1"/>
  <c r="AI4507" i="1"/>
  <c r="AJ4507" i="1"/>
  <c r="AI4508" i="1"/>
  <c r="AJ4508" i="1"/>
  <c r="AI4509" i="1"/>
  <c r="AJ4509" i="1"/>
  <c r="AI4510" i="1"/>
  <c r="AJ4510" i="1"/>
  <c r="AI4511" i="1"/>
  <c r="AJ4511" i="1"/>
  <c r="AI4512" i="1"/>
  <c r="AJ4512" i="1"/>
  <c r="AI4513" i="1"/>
  <c r="AJ4513" i="1"/>
  <c r="AI4514" i="1"/>
  <c r="AJ4514" i="1"/>
  <c r="AI4515" i="1"/>
  <c r="AJ4515" i="1"/>
  <c r="AI4516" i="1"/>
  <c r="AJ4516" i="1"/>
  <c r="AI4517" i="1"/>
  <c r="AJ4517" i="1"/>
  <c r="AI4518" i="1"/>
  <c r="AJ4518" i="1"/>
  <c r="AI4519" i="1"/>
  <c r="AJ4519" i="1"/>
  <c r="AI4520" i="1"/>
  <c r="AJ4520" i="1"/>
  <c r="AI4521" i="1"/>
  <c r="AJ4521" i="1"/>
  <c r="AI4522" i="1"/>
  <c r="AJ4522" i="1"/>
  <c r="AI4523" i="1"/>
  <c r="AJ4523" i="1"/>
  <c r="AI4524" i="1"/>
  <c r="AJ4524" i="1"/>
  <c r="AI4525" i="1"/>
  <c r="AJ4525" i="1"/>
  <c r="AI4526" i="1"/>
  <c r="AJ4526" i="1"/>
  <c r="AI4527" i="1"/>
  <c r="AJ4527" i="1"/>
  <c r="AI4528" i="1"/>
  <c r="AJ4528" i="1"/>
  <c r="AI4529" i="1"/>
  <c r="AJ4529" i="1"/>
  <c r="AI4530" i="1"/>
  <c r="AJ4530" i="1"/>
  <c r="AI4531" i="1"/>
  <c r="AJ4531" i="1"/>
  <c r="AI4532" i="1"/>
  <c r="AJ4532" i="1"/>
  <c r="AI4533" i="1"/>
  <c r="AJ4533" i="1"/>
  <c r="AI4534" i="1"/>
  <c r="AJ4534" i="1"/>
  <c r="AI4535" i="1"/>
  <c r="AJ4535" i="1"/>
  <c r="AI4536" i="1"/>
  <c r="AJ4536" i="1"/>
  <c r="AI4537" i="1"/>
  <c r="AJ4537" i="1"/>
  <c r="AI4538" i="1"/>
  <c r="AJ4538" i="1"/>
  <c r="AI4539" i="1"/>
  <c r="AJ4539" i="1"/>
  <c r="AI4540" i="1"/>
  <c r="AJ4540" i="1"/>
  <c r="AI4541" i="1"/>
  <c r="AJ4541" i="1"/>
  <c r="AI4542" i="1"/>
  <c r="AJ4542" i="1"/>
  <c r="AI4543" i="1"/>
  <c r="AJ4543" i="1"/>
  <c r="AI4544" i="1"/>
  <c r="AJ4544" i="1"/>
  <c r="AI4545" i="1"/>
  <c r="AJ4545" i="1"/>
  <c r="AI4546" i="1"/>
  <c r="AJ4546" i="1"/>
  <c r="AI4547" i="1"/>
  <c r="AJ4547" i="1"/>
  <c r="AI4548" i="1"/>
  <c r="AJ4548" i="1"/>
  <c r="AI4549" i="1"/>
  <c r="AJ4549" i="1"/>
  <c r="AI4550" i="1"/>
  <c r="AJ4550" i="1"/>
  <c r="AI4551" i="1"/>
  <c r="AJ4551" i="1"/>
  <c r="AI4552" i="1"/>
  <c r="AJ4552" i="1"/>
  <c r="AI4553" i="1"/>
  <c r="AJ4553" i="1"/>
  <c r="AI4554" i="1"/>
  <c r="AJ4554" i="1"/>
  <c r="AI4555" i="1"/>
  <c r="AJ4555" i="1"/>
  <c r="AI4556" i="1"/>
  <c r="AJ4556" i="1"/>
  <c r="AI4557" i="1"/>
  <c r="AJ4557" i="1"/>
  <c r="AI4558" i="1"/>
  <c r="AJ4558" i="1"/>
  <c r="AI4559" i="1"/>
  <c r="AJ4559" i="1"/>
  <c r="AI4560" i="1"/>
  <c r="AJ4560" i="1"/>
  <c r="AI4561" i="1"/>
  <c r="AJ4561" i="1"/>
  <c r="AI4562" i="1"/>
  <c r="AJ4562" i="1"/>
  <c r="AI4563" i="1"/>
  <c r="AJ4563" i="1"/>
  <c r="AI4564" i="1"/>
  <c r="AJ4564" i="1"/>
  <c r="AI4565" i="1"/>
  <c r="AJ4565" i="1"/>
  <c r="AI4566" i="1"/>
  <c r="AJ4566" i="1"/>
  <c r="AI4567" i="1"/>
  <c r="AJ4567" i="1"/>
  <c r="AI4568" i="1"/>
  <c r="AJ4568" i="1"/>
  <c r="AI4569" i="1"/>
  <c r="AJ4569" i="1"/>
  <c r="AI4570" i="1"/>
  <c r="AJ4570" i="1"/>
  <c r="AI4571" i="1"/>
  <c r="AJ4571" i="1"/>
  <c r="AI4572" i="1"/>
  <c r="AJ4572" i="1"/>
  <c r="AI4573" i="1"/>
  <c r="AJ4573" i="1"/>
  <c r="AI4574" i="1"/>
  <c r="AJ4574" i="1"/>
  <c r="AI4575" i="1"/>
  <c r="AJ4575" i="1"/>
  <c r="AI4576" i="1"/>
  <c r="AJ4576" i="1"/>
  <c r="AI4577" i="1"/>
  <c r="AJ4577" i="1"/>
  <c r="AI4578" i="1"/>
  <c r="AJ4578" i="1"/>
  <c r="AI4579" i="1"/>
  <c r="AJ4579" i="1"/>
  <c r="AI4580" i="1"/>
  <c r="AJ4580" i="1"/>
  <c r="AI4581" i="1"/>
  <c r="AJ4581" i="1"/>
  <c r="AI4582" i="1"/>
  <c r="AJ4582" i="1"/>
  <c r="AI4583" i="1"/>
  <c r="AJ4583" i="1"/>
  <c r="AI4584" i="1"/>
  <c r="AJ4584" i="1"/>
  <c r="AI4585" i="1"/>
  <c r="AJ4585" i="1"/>
  <c r="AI4586" i="1"/>
  <c r="AJ4586" i="1"/>
  <c r="AI4587" i="1"/>
  <c r="AJ4587" i="1"/>
  <c r="AI4588" i="1"/>
  <c r="AJ4588" i="1"/>
  <c r="AI4589" i="1"/>
  <c r="AJ4589" i="1"/>
  <c r="AI4590" i="1"/>
  <c r="AJ4590" i="1"/>
  <c r="AI4591" i="1"/>
  <c r="AJ4591" i="1"/>
  <c r="AI4592" i="1"/>
  <c r="AJ4592" i="1"/>
  <c r="AI4593" i="1"/>
  <c r="AJ4593" i="1"/>
  <c r="AI4594" i="1"/>
  <c r="AJ4594" i="1"/>
  <c r="AI4595" i="1"/>
  <c r="AJ4595" i="1"/>
  <c r="AI4596" i="1"/>
  <c r="AJ4596" i="1"/>
  <c r="AI4597" i="1"/>
  <c r="AJ4597" i="1"/>
  <c r="AI4598" i="1"/>
  <c r="AJ4598" i="1"/>
  <c r="AI4599" i="1"/>
  <c r="AJ4599" i="1"/>
  <c r="AI4600" i="1"/>
  <c r="AJ4600" i="1"/>
  <c r="AI4601" i="1"/>
  <c r="AJ4601" i="1"/>
  <c r="AI4602" i="1"/>
  <c r="AJ4602" i="1"/>
  <c r="AI4603" i="1"/>
  <c r="AJ4603" i="1"/>
  <c r="AI4604" i="1"/>
  <c r="AJ4604" i="1"/>
  <c r="AI4605" i="1"/>
  <c r="AJ4605" i="1"/>
  <c r="AI4606" i="1"/>
  <c r="AJ4606" i="1"/>
  <c r="AI4607" i="1"/>
  <c r="AJ4607" i="1"/>
  <c r="AI4608" i="1"/>
  <c r="AJ4608" i="1"/>
  <c r="AI4609" i="1"/>
  <c r="AJ4609" i="1"/>
  <c r="AI4610" i="1"/>
  <c r="AJ4610" i="1"/>
  <c r="AI4611" i="1"/>
  <c r="AJ4611" i="1"/>
  <c r="AI4612" i="1"/>
  <c r="AJ4612" i="1"/>
  <c r="AI4613" i="1"/>
  <c r="AJ4613" i="1"/>
  <c r="AI4614" i="1"/>
  <c r="AJ4614" i="1"/>
  <c r="AI4615" i="1"/>
  <c r="AJ4615" i="1"/>
  <c r="AI4616" i="1"/>
  <c r="AJ4616" i="1"/>
  <c r="AI4617" i="1"/>
  <c r="AJ4617" i="1"/>
  <c r="AI4618" i="1"/>
  <c r="AJ4618" i="1"/>
  <c r="AI4619" i="1"/>
  <c r="AJ4619" i="1"/>
  <c r="AI4620" i="1"/>
  <c r="AJ4620" i="1"/>
  <c r="AI4621" i="1"/>
  <c r="AJ4621" i="1"/>
  <c r="AI4622" i="1"/>
  <c r="AJ4622" i="1"/>
  <c r="AI4623" i="1"/>
  <c r="AJ4623" i="1"/>
  <c r="AI4624" i="1"/>
  <c r="AJ4624" i="1"/>
  <c r="AI4625" i="1"/>
  <c r="AJ4625" i="1"/>
  <c r="AI4626" i="1"/>
  <c r="AJ4626" i="1"/>
  <c r="AI4627" i="1"/>
  <c r="AJ4627" i="1"/>
  <c r="AI4628" i="1"/>
  <c r="AJ4628" i="1"/>
  <c r="AI4629" i="1"/>
  <c r="AJ4629" i="1"/>
  <c r="AI4630" i="1"/>
  <c r="AJ4630" i="1"/>
  <c r="AI4631" i="1"/>
  <c r="AJ4631" i="1"/>
  <c r="AI4632" i="1"/>
  <c r="AJ4632" i="1"/>
  <c r="AI4633" i="1"/>
  <c r="AJ4633" i="1"/>
  <c r="AI4634" i="1"/>
  <c r="AJ4634" i="1"/>
  <c r="AI4635" i="1"/>
  <c r="AJ4635" i="1"/>
  <c r="AI4636" i="1"/>
  <c r="AJ4636" i="1"/>
  <c r="AI4637" i="1"/>
  <c r="AJ4637" i="1"/>
  <c r="AI4638" i="1"/>
  <c r="AJ4638" i="1"/>
  <c r="AI4639" i="1"/>
  <c r="AJ4639" i="1"/>
  <c r="AI4640" i="1"/>
  <c r="AJ4640" i="1"/>
  <c r="AI4641" i="1"/>
  <c r="AJ4641" i="1"/>
  <c r="AI4642" i="1"/>
  <c r="AJ4642" i="1"/>
  <c r="AI4643" i="1"/>
  <c r="AJ4643" i="1"/>
  <c r="AI4644" i="1"/>
  <c r="AJ4644" i="1"/>
  <c r="AI4645" i="1"/>
  <c r="AJ4645" i="1"/>
  <c r="AI4646" i="1"/>
  <c r="AJ4646" i="1"/>
  <c r="AI4647" i="1"/>
  <c r="AJ4647" i="1"/>
  <c r="AI4648" i="1"/>
  <c r="AJ4648" i="1"/>
  <c r="AI4649" i="1"/>
  <c r="AJ4649" i="1"/>
  <c r="AI4650" i="1"/>
  <c r="AJ4650" i="1"/>
  <c r="AI4651" i="1"/>
  <c r="AJ4651" i="1"/>
  <c r="AI4652" i="1"/>
  <c r="AJ4652" i="1"/>
  <c r="AI4653" i="1"/>
  <c r="AJ4653" i="1"/>
  <c r="AI4654" i="1"/>
  <c r="AJ4654" i="1"/>
  <c r="AI4655" i="1"/>
  <c r="AJ4655" i="1"/>
  <c r="AI4656" i="1"/>
  <c r="AJ4656" i="1"/>
  <c r="AI4657" i="1"/>
  <c r="AJ4657" i="1"/>
  <c r="AI4658" i="1"/>
  <c r="AJ4658" i="1"/>
  <c r="AI4659" i="1"/>
  <c r="AJ4659" i="1"/>
  <c r="AI4660" i="1"/>
  <c r="AJ4660" i="1"/>
  <c r="AI4661" i="1"/>
  <c r="AJ4661" i="1"/>
  <c r="AI4662" i="1"/>
  <c r="AJ4662" i="1"/>
  <c r="AI4663" i="1"/>
  <c r="AJ4663" i="1"/>
  <c r="AI4664" i="1"/>
  <c r="AJ4664" i="1"/>
  <c r="AI4665" i="1"/>
  <c r="AJ4665" i="1"/>
  <c r="AI4666" i="1"/>
  <c r="AJ4666" i="1"/>
  <c r="AI4667" i="1"/>
  <c r="AJ4667" i="1"/>
  <c r="AI4668" i="1"/>
  <c r="AJ4668" i="1"/>
  <c r="AI4669" i="1"/>
  <c r="AJ4669" i="1"/>
  <c r="AI4670" i="1"/>
  <c r="AJ4670" i="1"/>
  <c r="AI4671" i="1"/>
  <c r="AJ4671" i="1"/>
  <c r="AI4672" i="1"/>
  <c r="AJ4672" i="1"/>
  <c r="AI4673" i="1"/>
  <c r="AJ4673" i="1"/>
  <c r="AI4674" i="1"/>
  <c r="AJ4674" i="1"/>
  <c r="AI4675" i="1"/>
  <c r="AJ4675" i="1"/>
  <c r="AI4676" i="1"/>
  <c r="AJ4676" i="1"/>
  <c r="AI4677" i="1"/>
  <c r="AJ4677" i="1"/>
  <c r="AI4678" i="1"/>
  <c r="AJ4678" i="1"/>
  <c r="AI4679" i="1"/>
  <c r="AJ4679" i="1"/>
  <c r="AI4680" i="1"/>
  <c r="AJ4680" i="1"/>
  <c r="AI4681" i="1"/>
  <c r="AJ4681" i="1"/>
  <c r="AI4682" i="1"/>
  <c r="AJ4682" i="1"/>
  <c r="AI4683" i="1"/>
  <c r="AJ4683" i="1"/>
  <c r="AI4684" i="1"/>
  <c r="AJ4684" i="1"/>
  <c r="AI4685" i="1"/>
  <c r="AJ4685" i="1"/>
  <c r="AI4686" i="1"/>
  <c r="AJ4686" i="1"/>
  <c r="AI4687" i="1"/>
  <c r="AJ4687" i="1"/>
  <c r="AI4688" i="1"/>
  <c r="AJ4688" i="1"/>
  <c r="AI4689" i="1"/>
  <c r="AJ4689" i="1"/>
  <c r="AI4690" i="1"/>
  <c r="AJ4690" i="1"/>
  <c r="AI4691" i="1"/>
  <c r="AJ4691" i="1"/>
  <c r="AI4692" i="1"/>
  <c r="AJ4692" i="1"/>
  <c r="AI4693" i="1"/>
  <c r="AJ4693" i="1"/>
  <c r="AI4694" i="1"/>
  <c r="AJ4694" i="1"/>
  <c r="AI4695" i="1"/>
  <c r="AJ4695" i="1"/>
  <c r="AI4696" i="1"/>
  <c r="AJ4696" i="1"/>
  <c r="AI4697" i="1"/>
  <c r="AJ4697" i="1"/>
  <c r="AI4698" i="1"/>
  <c r="AJ4698" i="1"/>
  <c r="AI4699" i="1"/>
  <c r="AJ4699" i="1"/>
  <c r="AI4700" i="1"/>
  <c r="AJ4700" i="1"/>
  <c r="AI4701" i="1"/>
  <c r="AJ4701" i="1"/>
  <c r="AI4702" i="1"/>
  <c r="AJ4702" i="1"/>
  <c r="AI4703" i="1"/>
  <c r="AJ4703" i="1"/>
  <c r="AI4704" i="1"/>
  <c r="AJ4704" i="1"/>
  <c r="AI4705" i="1"/>
  <c r="AJ4705" i="1"/>
  <c r="AI4706" i="1"/>
  <c r="AJ4706" i="1"/>
  <c r="AI4707" i="1"/>
  <c r="AJ4707" i="1"/>
  <c r="AI4708" i="1"/>
  <c r="AJ4708" i="1"/>
  <c r="AI4709" i="1"/>
  <c r="AJ4709" i="1"/>
  <c r="AI4710" i="1"/>
  <c r="AJ4710" i="1"/>
  <c r="AI4711" i="1"/>
  <c r="AJ4711" i="1"/>
  <c r="AI4712" i="1"/>
  <c r="AJ4712" i="1"/>
  <c r="AI4713" i="1"/>
  <c r="AJ4713" i="1"/>
  <c r="AI4714" i="1"/>
  <c r="AJ4714" i="1"/>
  <c r="AI4715" i="1"/>
  <c r="AJ4715" i="1"/>
  <c r="AI4716" i="1"/>
  <c r="AJ4716" i="1"/>
  <c r="AI4717" i="1"/>
  <c r="AJ4717" i="1"/>
  <c r="AI4718" i="1"/>
  <c r="AJ4718" i="1"/>
  <c r="AI4719" i="1"/>
  <c r="AJ4719" i="1"/>
  <c r="AI4720" i="1"/>
  <c r="AJ4720" i="1"/>
  <c r="AI4721" i="1"/>
  <c r="AJ4721" i="1"/>
  <c r="AI4722" i="1"/>
  <c r="AJ4722" i="1"/>
  <c r="AI4723" i="1"/>
  <c r="AJ4723" i="1"/>
  <c r="AI4724" i="1"/>
  <c r="AJ4724" i="1"/>
  <c r="AI4725" i="1"/>
  <c r="AJ4725" i="1"/>
  <c r="AI4726" i="1"/>
  <c r="AJ4726" i="1"/>
  <c r="AI4727" i="1"/>
  <c r="AJ4727" i="1"/>
  <c r="AI4728" i="1"/>
  <c r="AJ4728" i="1"/>
  <c r="AI4729" i="1"/>
  <c r="AJ4729" i="1"/>
  <c r="AI4730" i="1"/>
  <c r="AJ4730" i="1"/>
  <c r="AI4731" i="1"/>
  <c r="AJ4731" i="1"/>
  <c r="AI4732" i="1"/>
  <c r="AJ4732" i="1"/>
  <c r="AI4733" i="1"/>
  <c r="AJ4733" i="1"/>
  <c r="AI4734" i="1"/>
  <c r="AJ4734" i="1"/>
  <c r="AI4735" i="1"/>
  <c r="AJ4735" i="1"/>
  <c r="AI4736" i="1"/>
  <c r="AJ4736" i="1"/>
  <c r="AI4737" i="1"/>
  <c r="AJ4737" i="1"/>
  <c r="AI4738" i="1"/>
  <c r="AJ4738" i="1"/>
  <c r="AI4739" i="1"/>
  <c r="AJ4739" i="1"/>
  <c r="AI4740" i="1"/>
  <c r="AJ4740" i="1"/>
  <c r="AI4741" i="1"/>
  <c r="AJ4741" i="1"/>
  <c r="AI4742" i="1"/>
  <c r="AJ4742" i="1"/>
  <c r="AI4743" i="1"/>
  <c r="AJ4743" i="1"/>
  <c r="AI4744" i="1"/>
  <c r="AJ4744" i="1"/>
  <c r="AI4745" i="1"/>
  <c r="AJ4745" i="1"/>
  <c r="AI4746" i="1"/>
  <c r="AJ4746" i="1"/>
  <c r="AI4747" i="1"/>
  <c r="AJ4747" i="1"/>
  <c r="AI4748" i="1"/>
  <c r="AJ4748" i="1"/>
  <c r="AI4749" i="1"/>
  <c r="AJ4749" i="1"/>
  <c r="AI4750" i="1"/>
  <c r="AJ4750" i="1"/>
  <c r="AI4751" i="1"/>
  <c r="AJ4751" i="1"/>
  <c r="AI4752" i="1"/>
  <c r="AJ4752" i="1"/>
  <c r="AI4753" i="1"/>
  <c r="AJ4753" i="1"/>
  <c r="AI4754" i="1"/>
  <c r="AJ4754" i="1"/>
  <c r="AI4755" i="1"/>
  <c r="AJ4755" i="1"/>
  <c r="AI4756" i="1"/>
  <c r="AJ4756" i="1"/>
  <c r="AI4757" i="1"/>
  <c r="AJ4757" i="1"/>
  <c r="AI4758" i="1"/>
  <c r="AJ4758" i="1"/>
  <c r="AI4759" i="1"/>
  <c r="AJ4759" i="1"/>
  <c r="AI4760" i="1"/>
  <c r="AJ4760" i="1"/>
  <c r="AI4761" i="1"/>
  <c r="AJ4761" i="1"/>
  <c r="AI4762" i="1"/>
  <c r="AJ4762" i="1"/>
  <c r="AI4763" i="1"/>
  <c r="AJ4763" i="1"/>
  <c r="AI4764" i="1"/>
  <c r="AJ4764" i="1"/>
  <c r="AI4765" i="1"/>
  <c r="AJ4765" i="1"/>
  <c r="AI4766" i="1"/>
  <c r="AJ4766" i="1"/>
  <c r="AI4767" i="1"/>
  <c r="AJ4767" i="1"/>
  <c r="AI4768" i="1"/>
  <c r="AJ4768" i="1"/>
  <c r="AI4769" i="1"/>
  <c r="AJ4769" i="1"/>
  <c r="AI4770" i="1"/>
  <c r="AJ4770" i="1"/>
  <c r="AI4771" i="1"/>
  <c r="AJ4771" i="1"/>
  <c r="AI4772" i="1"/>
  <c r="AJ4772" i="1"/>
  <c r="AI4773" i="1"/>
  <c r="AJ4773" i="1"/>
  <c r="AI4774" i="1"/>
  <c r="AJ4774" i="1"/>
  <c r="AI4775" i="1"/>
  <c r="AJ4775" i="1"/>
  <c r="AI4776" i="1"/>
  <c r="AJ4776" i="1"/>
  <c r="AI4777" i="1"/>
  <c r="AJ4777" i="1"/>
  <c r="AI4778" i="1"/>
  <c r="AJ4778" i="1"/>
  <c r="AI4779" i="1"/>
  <c r="AJ4779" i="1"/>
  <c r="AI4780" i="1"/>
  <c r="AJ4780" i="1"/>
  <c r="AI4781" i="1"/>
  <c r="AJ4781" i="1"/>
  <c r="AI4782" i="1"/>
  <c r="AJ4782" i="1"/>
  <c r="AI4783" i="1"/>
  <c r="AJ4783" i="1"/>
  <c r="AI4784" i="1"/>
  <c r="AJ4784" i="1"/>
  <c r="AI4785" i="1"/>
  <c r="AJ4785" i="1"/>
  <c r="AI4786" i="1"/>
  <c r="AJ4786" i="1"/>
  <c r="AI4787" i="1"/>
  <c r="AJ4787" i="1"/>
  <c r="AI4788" i="1"/>
  <c r="AJ4788" i="1"/>
  <c r="AI4789" i="1"/>
  <c r="AJ4789" i="1"/>
  <c r="AI4790" i="1"/>
  <c r="AJ4790" i="1"/>
  <c r="AI4791" i="1"/>
  <c r="AJ4791" i="1"/>
  <c r="AI4792" i="1"/>
  <c r="AJ4792" i="1"/>
  <c r="AI4793" i="1"/>
  <c r="AJ4793" i="1"/>
  <c r="AI4794" i="1"/>
  <c r="AJ4794" i="1"/>
  <c r="AI4795" i="1"/>
  <c r="AJ4795" i="1"/>
  <c r="AI4796" i="1"/>
  <c r="AJ4796" i="1"/>
  <c r="AI4797" i="1"/>
  <c r="AJ4797" i="1"/>
  <c r="AI4798" i="1"/>
  <c r="AJ4798" i="1"/>
  <c r="AI4799" i="1"/>
  <c r="AJ4799" i="1"/>
  <c r="AI4800" i="1"/>
  <c r="AJ4800" i="1"/>
  <c r="AI4801" i="1"/>
  <c r="AJ4801" i="1"/>
  <c r="AI4802" i="1"/>
  <c r="AJ4802" i="1"/>
  <c r="AI4803" i="1"/>
  <c r="AJ4803" i="1"/>
  <c r="AI4804" i="1"/>
  <c r="AJ4804" i="1"/>
  <c r="AI4805" i="1"/>
  <c r="AJ4805" i="1"/>
  <c r="AI4806" i="1"/>
  <c r="AJ4806" i="1"/>
  <c r="AI4807" i="1"/>
  <c r="AJ4807" i="1"/>
  <c r="AI4808" i="1"/>
  <c r="AJ4808" i="1"/>
  <c r="AI4809" i="1"/>
  <c r="AJ4809" i="1"/>
  <c r="AI4810" i="1"/>
  <c r="AJ4810" i="1"/>
  <c r="AI4811" i="1"/>
  <c r="AJ4811" i="1"/>
  <c r="AI4812" i="1"/>
  <c r="AJ4812" i="1"/>
  <c r="AI4813" i="1"/>
  <c r="AJ4813" i="1"/>
  <c r="AI4814" i="1"/>
  <c r="AJ4814" i="1"/>
  <c r="AI4815" i="1"/>
  <c r="AJ4815" i="1"/>
  <c r="AI4816" i="1"/>
  <c r="AJ4816" i="1"/>
  <c r="AI4817" i="1"/>
  <c r="AJ4817" i="1"/>
  <c r="AI4818" i="1"/>
  <c r="AJ4818" i="1"/>
  <c r="AI4819" i="1"/>
  <c r="AJ4819" i="1"/>
  <c r="AI4820" i="1"/>
  <c r="AJ4820" i="1"/>
  <c r="AI4821" i="1"/>
  <c r="AJ4821" i="1"/>
  <c r="AI4822" i="1"/>
  <c r="AJ4822" i="1"/>
  <c r="AI4823" i="1"/>
  <c r="AJ4823" i="1"/>
  <c r="AI4824" i="1"/>
  <c r="AJ4824" i="1"/>
  <c r="AI4825" i="1"/>
  <c r="AJ4825" i="1"/>
  <c r="AI4826" i="1"/>
  <c r="AJ4826" i="1"/>
  <c r="AI4827" i="1"/>
  <c r="AJ4827" i="1"/>
  <c r="AI4828" i="1"/>
  <c r="AJ4828" i="1"/>
  <c r="AI4829" i="1"/>
  <c r="AJ4829" i="1"/>
  <c r="AI4830" i="1"/>
  <c r="AJ4830" i="1"/>
  <c r="AI4831" i="1"/>
  <c r="AJ4831" i="1"/>
  <c r="AI4832" i="1"/>
  <c r="AJ4832" i="1"/>
  <c r="AI4833" i="1"/>
  <c r="AJ4833" i="1"/>
  <c r="AI4834" i="1"/>
  <c r="AJ4834" i="1"/>
  <c r="AI4835" i="1"/>
  <c r="AJ4835" i="1"/>
  <c r="AI4836" i="1"/>
  <c r="AJ4836" i="1"/>
  <c r="AI4837" i="1"/>
  <c r="AJ4837" i="1"/>
  <c r="AI4838" i="1"/>
  <c r="AJ4838" i="1"/>
  <c r="AI4839" i="1"/>
  <c r="AJ4839" i="1"/>
  <c r="AI4840" i="1"/>
  <c r="AJ4840" i="1"/>
  <c r="AI4841" i="1"/>
  <c r="AJ4841" i="1"/>
  <c r="AI4842" i="1"/>
  <c r="AJ4842" i="1"/>
  <c r="AI4843" i="1"/>
  <c r="AJ4843" i="1"/>
  <c r="AI4844" i="1"/>
  <c r="AJ4844" i="1"/>
  <c r="AI4845" i="1"/>
  <c r="AJ4845" i="1"/>
  <c r="AI4846" i="1"/>
  <c r="AJ4846" i="1"/>
  <c r="AI4847" i="1"/>
  <c r="AJ4847" i="1"/>
  <c r="AI4848" i="1"/>
  <c r="AJ4848" i="1"/>
  <c r="AI4849" i="1"/>
  <c r="AJ4849" i="1"/>
  <c r="AI4850" i="1"/>
  <c r="AJ4850" i="1"/>
  <c r="AI4851" i="1"/>
  <c r="AJ4851" i="1"/>
  <c r="AI4852" i="1"/>
  <c r="AJ4852" i="1"/>
  <c r="AI4853" i="1"/>
  <c r="AJ4853" i="1"/>
  <c r="AI4854" i="1"/>
  <c r="AJ4854" i="1"/>
  <c r="AI4855" i="1"/>
  <c r="AJ4855" i="1"/>
  <c r="AI4856" i="1"/>
  <c r="AJ4856" i="1"/>
  <c r="AI4857" i="1"/>
  <c r="AJ4857" i="1"/>
  <c r="AI4858" i="1"/>
  <c r="AJ4858" i="1"/>
  <c r="AI4859" i="1"/>
  <c r="AJ4859" i="1"/>
  <c r="AI4860" i="1"/>
  <c r="AJ4860" i="1"/>
  <c r="AI4861" i="1"/>
  <c r="AJ4861" i="1"/>
  <c r="AI4862" i="1"/>
  <c r="AJ4862" i="1"/>
  <c r="AI4863" i="1"/>
  <c r="AJ4863" i="1"/>
  <c r="AI4864" i="1"/>
  <c r="AJ4864" i="1"/>
  <c r="AI4865" i="1"/>
  <c r="AJ4865" i="1"/>
  <c r="AI4866" i="1"/>
  <c r="AJ4866" i="1"/>
  <c r="AI4867" i="1"/>
  <c r="AJ4867" i="1"/>
  <c r="AI4868" i="1"/>
  <c r="AJ4868" i="1"/>
  <c r="AI4869" i="1"/>
  <c r="AJ4869" i="1"/>
  <c r="AI4870" i="1"/>
  <c r="AJ4870" i="1"/>
  <c r="AI4871" i="1"/>
  <c r="AJ4871" i="1"/>
  <c r="AI4872" i="1"/>
  <c r="AJ4872" i="1"/>
  <c r="AI4873" i="1"/>
  <c r="AJ4873" i="1"/>
  <c r="AI4874" i="1"/>
  <c r="AJ4874" i="1"/>
  <c r="AI4875" i="1"/>
  <c r="AJ4875" i="1"/>
  <c r="AI4876" i="1"/>
  <c r="AJ4876" i="1"/>
  <c r="AI4877" i="1"/>
  <c r="AJ4877" i="1"/>
  <c r="AI4878" i="1"/>
  <c r="AJ4878" i="1"/>
  <c r="AI4879" i="1"/>
  <c r="AJ4879" i="1"/>
  <c r="AI4880" i="1"/>
  <c r="AJ4880" i="1"/>
  <c r="AI4881" i="1"/>
  <c r="AJ4881" i="1"/>
  <c r="AI4882" i="1"/>
  <c r="AJ4882" i="1"/>
  <c r="AI4883" i="1"/>
  <c r="AJ4883" i="1"/>
  <c r="AI4884" i="1"/>
  <c r="AJ4884" i="1"/>
  <c r="AI4885" i="1"/>
  <c r="AJ4885" i="1"/>
  <c r="AI4886" i="1"/>
  <c r="AJ4886" i="1"/>
  <c r="AI4887" i="1"/>
  <c r="AJ4887" i="1"/>
  <c r="AI4888" i="1"/>
  <c r="AJ4888" i="1"/>
  <c r="AI4889" i="1"/>
  <c r="AJ4889" i="1"/>
  <c r="AI4890" i="1"/>
  <c r="AJ4890" i="1"/>
  <c r="AI4891" i="1"/>
  <c r="AJ4891" i="1"/>
  <c r="AI4892" i="1"/>
  <c r="AJ4892" i="1"/>
  <c r="AI4893" i="1"/>
  <c r="AJ4893" i="1"/>
  <c r="AI4894" i="1"/>
  <c r="AJ4894" i="1"/>
  <c r="AI4895" i="1"/>
  <c r="AJ4895" i="1"/>
  <c r="AI4896" i="1"/>
  <c r="AJ4896" i="1"/>
  <c r="AI4897" i="1"/>
  <c r="AJ4897" i="1"/>
  <c r="AI4898" i="1"/>
  <c r="AJ4898" i="1"/>
  <c r="AI4899" i="1"/>
  <c r="AJ4899" i="1"/>
  <c r="AI4900" i="1"/>
  <c r="AJ4900" i="1"/>
  <c r="AI4901" i="1"/>
  <c r="AJ4901" i="1"/>
  <c r="AI4902" i="1"/>
  <c r="AJ4902" i="1"/>
  <c r="AI4903" i="1"/>
  <c r="AJ4903" i="1"/>
  <c r="AI4904" i="1"/>
  <c r="AJ4904" i="1"/>
  <c r="AI4905" i="1"/>
  <c r="AJ4905" i="1"/>
  <c r="AI4906" i="1"/>
  <c r="AJ4906" i="1"/>
  <c r="AI4907" i="1"/>
  <c r="AJ4907" i="1"/>
  <c r="AI4908" i="1"/>
  <c r="AJ4908" i="1"/>
  <c r="AI4909" i="1"/>
  <c r="AJ4909" i="1"/>
  <c r="AI4910" i="1"/>
  <c r="AJ4910" i="1"/>
  <c r="AI4911" i="1"/>
  <c r="AJ4911" i="1"/>
  <c r="AI4912" i="1"/>
  <c r="AJ4912" i="1"/>
  <c r="AI4913" i="1"/>
  <c r="AJ4913" i="1"/>
  <c r="AI4914" i="1"/>
  <c r="AJ4914" i="1"/>
  <c r="AI4915" i="1"/>
  <c r="AJ4915" i="1"/>
  <c r="AI4916" i="1"/>
  <c r="AJ4916" i="1"/>
  <c r="AI4917" i="1"/>
  <c r="AJ4917" i="1"/>
  <c r="AI4918" i="1"/>
  <c r="AJ4918" i="1"/>
  <c r="AI4919" i="1"/>
  <c r="AJ4919" i="1"/>
  <c r="AI4920" i="1"/>
  <c r="AJ4920" i="1"/>
  <c r="AI4921" i="1"/>
  <c r="AJ4921" i="1"/>
  <c r="AI4922" i="1"/>
  <c r="AJ4922" i="1"/>
  <c r="AI4923" i="1"/>
  <c r="AJ4923" i="1"/>
  <c r="AI4924" i="1"/>
  <c r="AJ4924" i="1"/>
  <c r="AI4925" i="1"/>
  <c r="AJ4925" i="1"/>
  <c r="AI4926" i="1"/>
  <c r="AJ4926" i="1"/>
  <c r="AI4927" i="1"/>
  <c r="AJ4927" i="1"/>
  <c r="AI4928" i="1"/>
  <c r="AJ4928" i="1"/>
  <c r="AI4929" i="1"/>
  <c r="AJ4929" i="1"/>
  <c r="AI4930" i="1"/>
  <c r="AJ4930" i="1"/>
  <c r="AI4931" i="1"/>
  <c r="AJ4931" i="1"/>
  <c r="AI4932" i="1"/>
  <c r="AJ4932" i="1"/>
  <c r="AI4933" i="1"/>
  <c r="AJ4933" i="1"/>
  <c r="AI4934" i="1"/>
  <c r="AJ4934" i="1"/>
  <c r="AI4935" i="1"/>
  <c r="AJ4935" i="1"/>
  <c r="AI4936" i="1"/>
  <c r="AJ4936" i="1"/>
  <c r="AI4937" i="1"/>
  <c r="AJ4937" i="1"/>
  <c r="AI4938" i="1"/>
  <c r="AJ4938" i="1"/>
  <c r="AI4939" i="1"/>
  <c r="AJ4939" i="1"/>
  <c r="AI4940" i="1"/>
  <c r="AJ4940" i="1"/>
  <c r="AI4941" i="1"/>
  <c r="AJ4941" i="1"/>
  <c r="AI4942" i="1"/>
  <c r="AJ4942" i="1"/>
  <c r="AI4943" i="1"/>
  <c r="AJ4943" i="1"/>
  <c r="AI4944" i="1"/>
  <c r="AJ4944" i="1"/>
  <c r="AI4945" i="1"/>
  <c r="AJ4945" i="1"/>
  <c r="AI4946" i="1"/>
  <c r="AJ4946" i="1"/>
  <c r="AI4947" i="1"/>
  <c r="AJ4947" i="1"/>
  <c r="AI4948" i="1"/>
  <c r="AJ4948" i="1"/>
  <c r="AI4949" i="1"/>
  <c r="AJ4949" i="1"/>
  <c r="AI4950" i="1"/>
  <c r="AJ4950" i="1"/>
  <c r="AI4951" i="1"/>
  <c r="AJ4951" i="1"/>
  <c r="AI4952" i="1"/>
  <c r="AJ4952" i="1"/>
  <c r="AI4953" i="1"/>
  <c r="AJ4953" i="1"/>
  <c r="AI4954" i="1"/>
  <c r="AJ4954" i="1"/>
  <c r="AI4955" i="1"/>
  <c r="AJ4955" i="1"/>
  <c r="AI4956" i="1"/>
  <c r="AJ4956" i="1"/>
  <c r="AI4957" i="1"/>
  <c r="AJ4957" i="1"/>
  <c r="AI4958" i="1"/>
  <c r="AJ4958" i="1"/>
  <c r="AI4959" i="1"/>
  <c r="AJ4959" i="1"/>
  <c r="AI4960" i="1"/>
  <c r="AJ4960" i="1"/>
  <c r="AI4961" i="1"/>
  <c r="AJ4961" i="1"/>
  <c r="AI4962" i="1"/>
  <c r="AJ4962" i="1"/>
  <c r="AI4963" i="1"/>
  <c r="AJ4963" i="1"/>
  <c r="AI4964" i="1"/>
  <c r="AJ4964" i="1"/>
  <c r="AI4965" i="1"/>
  <c r="AJ4965" i="1"/>
  <c r="AI4966" i="1"/>
  <c r="AJ4966" i="1"/>
  <c r="AI4967" i="1"/>
  <c r="AJ4967" i="1"/>
  <c r="AI4968" i="1"/>
  <c r="AJ4968" i="1"/>
  <c r="AI4969" i="1"/>
  <c r="AJ4969" i="1"/>
  <c r="AI4970" i="1"/>
  <c r="AJ4970" i="1"/>
  <c r="AI4971" i="1"/>
  <c r="AJ4971" i="1"/>
  <c r="AI4972" i="1"/>
  <c r="AJ4972" i="1"/>
  <c r="AI4973" i="1"/>
  <c r="AJ4973" i="1"/>
  <c r="AI4974" i="1"/>
  <c r="AJ4974" i="1"/>
  <c r="AI4975" i="1"/>
  <c r="AJ4975" i="1"/>
  <c r="AI4976" i="1"/>
  <c r="AJ4976" i="1"/>
  <c r="AI4977" i="1"/>
  <c r="AJ4977" i="1"/>
  <c r="AI4978" i="1"/>
  <c r="AJ4978" i="1"/>
  <c r="AI4979" i="1"/>
  <c r="AJ4979" i="1"/>
  <c r="AI4980" i="1"/>
  <c r="AJ4980" i="1"/>
  <c r="AI4981" i="1"/>
  <c r="AJ4981" i="1"/>
</calcChain>
</file>

<file path=xl/sharedStrings.xml><?xml version="1.0" encoding="utf-8"?>
<sst xmlns="http://schemas.openxmlformats.org/spreadsheetml/2006/main" count="50334" uniqueCount="4692">
  <si>
    <t>Nombre del Producto</t>
  </si>
  <si>
    <t>Clasificación</t>
  </si>
  <si>
    <t>Tipo de Producto</t>
  </si>
  <si>
    <t>¿Posible vender en cantidad decimal?</t>
  </si>
  <si>
    <t>¿Controlarás el stock del producto?</t>
  </si>
  <si>
    <t>Estado</t>
  </si>
  <si>
    <t>Impuestos</t>
  </si>
  <si>
    <t>Variante</t>
  </si>
  <si>
    <t>PZ</t>
  </si>
  <si>
    <t>IM</t>
  </si>
  <si>
    <t>OF</t>
  </si>
  <si>
    <t>DB</t>
  </si>
  <si>
    <t>ABONO</t>
  </si>
  <si>
    <t>ABRAZADERAS</t>
  </si>
  <si>
    <t>ACEITES</t>
  </si>
  <si>
    <t>ADAPTADORES</t>
  </si>
  <si>
    <t>ADHESIVOS</t>
  </si>
  <si>
    <t>ADORNO</t>
  </si>
  <si>
    <t>AGUJAS</t>
  </si>
  <si>
    <t>AHOGADORES</t>
  </si>
  <si>
    <t>ABRAZADERA</t>
  </si>
  <si>
    <t>ACEITE</t>
  </si>
  <si>
    <t>ADAPTADOR</t>
  </si>
  <si>
    <t>ADHESIVO</t>
  </si>
  <si>
    <t>AGUJA</t>
  </si>
  <si>
    <t>AHOGADOR</t>
  </si>
  <si>
    <t>ALARMA</t>
  </si>
  <si>
    <t>ALFORJAS</t>
  </si>
  <si>
    <t>ALICATE</t>
  </si>
  <si>
    <t>ALZADOR</t>
  </si>
  <si>
    <t>AMARRAS</t>
  </si>
  <si>
    <t>AMORTIGUADOR</t>
  </si>
  <si>
    <t>AMPLIFICADOR</t>
  </si>
  <si>
    <t>¿permitirás ventas sin stock?</t>
  </si>
  <si>
    <t>Código de Barras</t>
  </si>
  <si>
    <t>SKU</t>
  </si>
  <si>
    <t>Sucursales</t>
  </si>
  <si>
    <t>Fecha de creacion</t>
  </si>
  <si>
    <t>Estado Variante</t>
  </si>
  <si>
    <t>4T SHOOTER ''LIQUI MOLY'' 80ML [OF]</t>
  </si>
  <si>
    <t>Producto</t>
  </si>
  <si>
    <t>LUBRICANTES Y ADITIVOS</t>
  </si>
  <si>
    <t>No</t>
  </si>
  <si>
    <t>Si</t>
  </si>
  <si>
    <t>Activo</t>
  </si>
  <si>
    <t>IVA</t>
  </si>
  <si>
    <t>CHACABUCO 234| LIRA 823| SOBREXISTENCIA</t>
  </si>
  <si>
    <t>ABONO CLIENTE</t>
  </si>
  <si>
    <t>Servicio</t>
  </si>
  <si>
    <t>ABRAZADERA ACELERADOR SCOOTER ''SIN TUBO'' [PZ]</t>
  </si>
  <si>
    <t>ACCESORIOS</t>
  </si>
  <si>
    <t>ABRAZADERA ACELERADOR SCOOTER (METALICA) [PZ]</t>
  </si>
  <si>
    <t>ABRAZADERA MANGUERA JGO. (5MM) [PZ]</t>
  </si>
  <si>
    <t>ABRAZADERA MANUBRIO SUPERIOR [PZ]</t>
  </si>
  <si>
    <t>ACEITE HORQUILLA ''LIQUI MOLY'' (SAE-05) 1 LT. [OF]</t>
  </si>
  <si>
    <t>ACEITE HORQUILLA ''LIQUI MOLY'' (SAE-10) 1 LT. [PZ]</t>
  </si>
  <si>
    <t>ACEITE HORQUILLA ''LIQUI MOLY'' (SAE-15) 1 LT. [PZ]</t>
  </si>
  <si>
    <t>ACEITE HORQUILLA ''LIQUI MOLY'' (SAE-7.5) 1 LT. [PZ]</t>
  </si>
  <si>
    <t>ACEITE MOTOR ''CASTROL'' (2T) RACING [OF]</t>
  </si>
  <si>
    <t>ACEITE MOTOR ''CASTROL'' (2T) SINTETICO [OF]</t>
  </si>
  <si>
    <t>ACEITE MOTOR ''CASTROL'' 10W/30 SEMI/SINTETICO [OF]</t>
  </si>
  <si>
    <t>ACEITE MOTOR ''CASTROL'' 10W/40 FULL SINTETICO [OF]</t>
  </si>
  <si>
    <t>ACEITE MOTOR ''CASTROL'' 10W/40 SEMI/SINTETICO [OF]</t>
  </si>
  <si>
    <t>ACEITE MOTOR ''CASTROL'' 10W/50 FULL SINTETICO [OF]</t>
  </si>
  <si>
    <t>ACEITE MOTOR ''CASTROL'' 15W/50 FULL SINTETICO [OF]</t>
  </si>
  <si>
    <t>ACEITE MOTOR ''CASTROL'' 20W/50 FULL SINTETICO [OF]</t>
  </si>
  <si>
    <t>ACEITE MOTOR ''CASTROL'' 20W/50 MINERAL [OF]</t>
  </si>
  <si>
    <t>ACEITE MOTOR ''CASTROL'' 20W/50 SEMI/SINTETICO [OF]</t>
  </si>
  <si>
    <t>ACEITE MOTOR ''CEPSA'' 10W/40 FULL SINTETICO [PZ]</t>
  </si>
  <si>
    <t>ACEITE MOTOR ''CEPSA'' 10W/50 FULL SINTETICO [PZ]</t>
  </si>
  <si>
    <t>ACEITE MOTOR ''CEPSA'' 20W/50 MINERAL [PZ]</t>
  </si>
  <si>
    <t>ACEITE MOTOR ''IPONE'' (2T) SAMOURAI 100% SINT(BERRY [PZ]</t>
  </si>
  <si>
    <t>ACEITE MOTOR ''IPONE'' 20W/50 SEMI/SINTETICO [PZ]</t>
  </si>
  <si>
    <t>ACEITE MOTOR ''LIQUI MOLY'' 10W/40 SINTETICO (RACE) [OF]</t>
  </si>
  <si>
    <t>ACEITE MOTOR ''LIQUI MOLY'' 10W/40 SINTETICO (STREET) [OF]</t>
  </si>
  <si>
    <t>ACEITE MOTOR ''LIQUI MOLY'' 10W/50 FULL SINTETICO [OF]</t>
  </si>
  <si>
    <t>ACEITE MOTOR ''LIQUI MOLY'' 10W/60 FULL SINTETICO [OF]</t>
  </si>
  <si>
    <t>ACEITE MOTOR ''LIQUI MOLY'' 15W/50 SINTETICO (STREET) [OF]</t>
  </si>
  <si>
    <t>ACEITE MOTOR ''LIQUI MOLY'' 20W/50 (STREET) [OF]</t>
  </si>
  <si>
    <t>ACEITE MOTOR ''LIQUI MOLY'' 20W/50 FULL SINTETICO [PZ]</t>
  </si>
  <si>
    <t>ACEITE MOTOR ''LUCAS'' (2T) SEMI/SINTETICO [OF]</t>
  </si>
  <si>
    <t>ACEITE MOTOR ''LUCAS'' 10W/40 MINERAL [OF]</t>
  </si>
  <si>
    <t>ACEITE MOTOR ''MOTUL'' 2T 710 [OF]</t>
  </si>
  <si>
    <t>ACEITE MOTOR ''MOTUL'' 3000 20W/50 MINERAL [OF]</t>
  </si>
  <si>
    <t>ACEITE MOTOR ''MOTUL'' 5000 20W/50 CRAQUEADO [OF]</t>
  </si>
  <si>
    <t>ACEITE MOTOR ''MOTUL'' 5100 10W/40 SEMI/SINTETICO [OF]</t>
  </si>
  <si>
    <t>ACEITE MOTOR ''MOTUL'' 5100 10W/50 SEMI/SINTETICO [OF]</t>
  </si>
  <si>
    <t>ACEITE MOTOR ''MOTUL'' 5100 15W/50 SEMI/SINTETICO [OF]</t>
  </si>
  <si>
    <t>ACEITE MOTOR ''MOTUL'' 5100 20W/50 SEMI/SINTETICO [OF]</t>
  </si>
  <si>
    <t>ACEITE MOTOR ''MOTUL'' 7100 10W/40 FULL/SINTETICO [OF]</t>
  </si>
  <si>
    <t>ACEITE MOTOR ''MOTUL'' 7100 20W/50 FULL/SINTETICO [OF]</t>
  </si>
  <si>
    <t>ACEITE MOTOR ''NITROIL'' 10W/40 MINERAL [PZ]</t>
  </si>
  <si>
    <t>ACEITE MOTOR ''NITROIL'' 20W/50 MINERAL [PZ]</t>
  </si>
  <si>
    <t>ACEITE MOTOR ''REPSOL'' 10W/40 FULL/SINTETICO [OF]</t>
  </si>
  <si>
    <t>ACEITE MOTOR ''REPSOL'' 15W/50 FULL/SINTETICO [OF]</t>
  </si>
  <si>
    <t>ACEITE MOTOR ''REPSOL'' 20W/50 MINERAL [OF]</t>
  </si>
  <si>
    <t>ACEITE MOTOR ''REPSOL'' 20W/50 SEMI/SINTETICO [OF]</t>
  </si>
  <si>
    <t>ACEITE MOTOR ''WOLF'' 10W/40 SEMI/SINTETICO [PZ]</t>
  </si>
  <si>
    <t>ACEITE MOTOR ''WOLF'' 15W/50 SEMI/SINTETICO [PZ]</t>
  </si>
  <si>
    <t>ACEITE MOTOR ''WOLF'' 20W/50 MINERAL [PZ]</t>
  </si>
  <si>
    <t>ACEITE MOTOR ''WOLVER'' (2T) SEMI/SINTETICO [PZ]</t>
  </si>
  <si>
    <t>ACEITE MOTOR ''WOLVER'' 10W/30 SEMI/SINTETICO [PZ]</t>
  </si>
  <si>
    <t>ACEITE MOTOR ''WOLVER'' 10W/40 SEMI/SINTETICO [PZ]</t>
  </si>
  <si>
    <t>ACEITE MOTOR ''WOLVER'' 20W/50 SEMI/SINTETICO [PZ]</t>
  </si>
  <si>
    <t>ACEITE MOTOR ''YPF/ELAION'' (2T) [OF]</t>
  </si>
  <si>
    <t>ACEITE MOTOR ''YPF/ELAION'' 10W/40 (S/SINTETICO) [PZ]</t>
  </si>
  <si>
    <t>ACEITE MOTOR ''YPF/ELAION'' 10W/50 (SINTETICO) [PZ]</t>
  </si>
  <si>
    <t>ACEITE PENETRANTE ''IPONE'' [PZ]</t>
  </si>
  <si>
    <t>ACEITE PENETRANTE ''MAXIMA'' 354ML. [PZ]</t>
  </si>
  <si>
    <t>ACEITE PENETRANTE WD-40 [PZ]</t>
  </si>
  <si>
    <t>ACEITE TRANSMISION 75W90 ''IPONE'' [PZ]</t>
  </si>
  <si>
    <t>ADAPTADOR ESPEJO 08 (HE-DER) - 10 (HI-DER) [PZ]</t>
  </si>
  <si>
    <t>ADAPTADOR ESPEJO 08 (HE-IZQ) - 10 (HI-DER) [PZ]</t>
  </si>
  <si>
    <t>ADAPTADOR ESPEJO 10 (HE-DER) - 08 (HI-DER) [PZ]</t>
  </si>
  <si>
    <t>ADAPTADOR ESPEJO 10 (HE-DER) - 08 (HI-IZQ) [PZ]</t>
  </si>
  <si>
    <t>ADAPTADOR ESPEJO 10 (HE-DER) - 10 (HI-DER) [PZ]</t>
  </si>
  <si>
    <t>ADAPTADOR ESPEJO 10 (HE-DER) -10 (HI-DER) [PZ]</t>
  </si>
  <si>
    <t>ADAPTADOR ESPEJO 10 (HE-IZQ) - 08 (HI-DER) [PZ]</t>
  </si>
  <si>
    <t>ADAPTADOR ESPEJO 10 (HE-IZQ) -10 (HI-DER) [PZ]</t>
  </si>
  <si>
    <t>ADAPTADOR ESPEJO 8MM DER. A 10MM DER. [PZ]</t>
  </si>
  <si>
    <t>ADAPTADOR VALVULA NEUMATICO ''CURVO'' [PZ]</t>
  </si>
  <si>
    <t>ADHESIVO ALUMINIO (CHILE) [PZ]</t>
  </si>
  <si>
    <t>ADHESIVO INSTANTANEO ''SENFINECO'' 20G [OF]</t>
  </si>
  <si>
    <t>ADHESIVO REFLECTANTE (COLORES) [PZ]</t>
  </si>
  <si>
    <t>ADHESIVOS PARA LLANTA. JGO. AMARILLO [PZ]</t>
  </si>
  <si>
    <t>ADHESIVOS PARA LLANTA. JGO. AZUL [PZ]</t>
  </si>
  <si>
    <t>ADHESIVOS PARA LLANTA. JGO. VERDE [PZ]</t>
  </si>
  <si>
    <t>ADHESIVOS PARA LLANTA. JGO. [PZ]</t>
  </si>
  <si>
    <t>AHOGADOR AUTOMATICO WY150T-3/5/13 BY125T-2 [PZ]</t>
  </si>
  <si>
    <t>Sin Tipo</t>
  </si>
  <si>
    <t>ALARMA CON AMPLIFICADOR [PZ]</t>
  </si>
  <si>
    <t>ALARMA UNIVERSAL PARA MOTO [PZ]</t>
  </si>
  <si>
    <t>ALICATE (PUNTA) [PZ]</t>
  </si>
  <si>
    <t>HERRAMIENTAS</t>
  </si>
  <si>
    <t>ALICATE CAIMAN [PZ]</t>
  </si>
  <si>
    <t>ALICATE CRIMPADOR DE TERMINALES ELECTRICO [PZ]</t>
  </si>
  <si>
    <t>ALICATE PELACABLES UNIVERSAL [PZ]</t>
  </si>
  <si>
    <t>ALZA AMORTIGUADOR UNIVERSAL [PZ]</t>
  </si>
  <si>
    <t>ALZA MANUBRIO CHOOPER (CROMADO)(18CM.) [PZ]</t>
  </si>
  <si>
    <t>ALZA MANUBRIO. JGO. UNIVERSAL 22MM (ROJO) [PZ]</t>
  </si>
  <si>
    <t>ALZA MANUBRIO. JGO. UNIVERSAL 28MM (NEGRO) [PZ]</t>
  </si>
  <si>
    <t>ALZA MOTO TRASERO [PZ]</t>
  </si>
  <si>
    <t>AMORTIGUADOR TRASERO AK-125 ''VINI'' [IM]</t>
  </si>
  <si>
    <t>AMORTIGUADORES</t>
  </si>
  <si>
    <t>AMORTIGUADOR TRASERO AKT-125 EV [PZ]</t>
  </si>
  <si>
    <t>AMORTIGUADOR TRASERO AKT-125 SL [PZ]</t>
  </si>
  <si>
    <t>AMORTIGUADOR TRASERO BAJAJ BOXER [PZ]</t>
  </si>
  <si>
    <t>AMORTIGUADOR TRASERO CBF-125 [PZ]</t>
  </si>
  <si>
    <t>AMORTIGUADOR TRASERO CENTRAL CBF-150 INVICTA [PZ]</t>
  </si>
  <si>
    <t>AMORTIGUADOR TRASERO CENTRAL CBX-250 TWISTER [PZ]</t>
  </si>
  <si>
    <t>AMORTIGUADOR TRASERO CENTRAL DR-200 [PZ]</t>
  </si>
  <si>
    <t>AMORTIGUADOR TRASERO CENTRAL FZ-16 [PZ]</t>
  </si>
  <si>
    <t>AMORTIGUADOR TRASERO CENTRAL XR-150 [PZ]</t>
  </si>
  <si>
    <t>AMORTIGUADOR TRASERO CENTRAL XR-200 (BRASIL) [PZ]</t>
  </si>
  <si>
    <t>AMORTIGUADOR TRASERO CENTRAL XR-250 TORNADO [PZ]</t>
  </si>
  <si>
    <t>AMORTIGUADOR TRASERO CENTRAL XTZ-125 [PZ]</t>
  </si>
  <si>
    <t>AMORTIGUADOR TRASERO CENTRAL YW-100 BWS [PZ]</t>
  </si>
  <si>
    <t>AMORTIGUADOR TRASERO CENTRAL YW-125 BWS [PZ]</t>
  </si>
  <si>
    <t>AMORTIGUADOR TRASERO CRYPTON-110 [PZ]</t>
  </si>
  <si>
    <t>AMORTIGUADOR TRASERO EN-125/GS-125 [PZ]</t>
  </si>
  <si>
    <t>AMORTIGUADOR TRASERO GN-125 ''VINI'' [IM]</t>
  </si>
  <si>
    <t>AMORTIGUADOR TRASERO GN-125 [PZ]</t>
  </si>
  <si>
    <t>AMORTIGUADOR TRASERO GN-125H [PZ]</t>
  </si>
  <si>
    <t>AMORTIGUADOR TRASERO GXT-200 [PZ]</t>
  </si>
  <si>
    <t>AMORTIGUADOR TRASERO RX-100/115 [PZ]</t>
  </si>
  <si>
    <t>AMORTIGUADOR TRASERO STORM-125 [PZ]</t>
  </si>
  <si>
    <t>AMORTIGUADOR TRASERO YBR-125 ''VINI'' [IM]</t>
  </si>
  <si>
    <t>AMORTIGUADOR TRASERO YBR-125 [PZ]</t>
  </si>
  <si>
    <t>AMORTIGUADOR TRASERO YBR-125-Z ''VINI'' [IM]</t>
  </si>
  <si>
    <t>AMORTIGUADOR TRASERO YW-125 BWS ''VINI'' [IM]</t>
  </si>
  <si>
    <t>AMORTIGUADORES TRASEROS. JGO. GN-125 [PZ]</t>
  </si>
  <si>
    <t>AMPOLLETA DELANTERA 12V 25/25W H6 (PLATI 3 PATAS) [PZ]</t>
  </si>
  <si>
    <t>AMPOLLETAS</t>
  </si>
  <si>
    <t>AMPOLLETA DELANTERA 12V 25/25W PX15D [PZ]</t>
  </si>
  <si>
    <t>AMPOLLETA DELANTERA 12V 35/35W  H4 ''VINI'' [IM]</t>
  </si>
  <si>
    <t>AMPOLLETA DELANTERA 12V 35/35W ''PHILIPS'' (4464) [PZ]</t>
  </si>
  <si>
    <t>AMPOLLETA DELANTERA 12V 35/35W ''PHILIPS'' L/NARANJ [PZ]</t>
  </si>
  <si>
    <t>AMPOLLETA DELANTERA 12V 35/35W ''VINI'' TIPO 4017 [IM]</t>
  </si>
  <si>
    <t>AMPOLLETA DELANTERA 12V 35/35W (4464) ''VINI'' [IM]</t>
  </si>
  <si>
    <t>AMPOLLETA DELANTERA 12V 35/35W (4464) [PZ]</t>
  </si>
  <si>
    <t>AMPOLLETA DELANTERA 12V 35/35W H4 L/AZUL ''VINI'' [IM]</t>
  </si>
  <si>
    <t>AMPOLLETA DELANTERA 12V 35/35W H4 [PZ]</t>
  </si>
  <si>
    <t>AMPOLLETA DELANTERA 12V 35/35W HALOGENA (4017) [PZ]</t>
  </si>
  <si>
    <t>AMPOLLETA DELANTERA 12V 35/35W HALOGENA''VINI''AZUL [IM]</t>
  </si>
  <si>
    <t>AMPOLLETA DELANTERA 12V 35/35W PASSION HALOGENA [PZ]</t>
  </si>
  <si>
    <t>AMPOLLETA DELANTERA 12V 55W (H-7) [PZ]</t>
  </si>
  <si>
    <t>AMPOLLETA DELANTERA H3 12V 55W [PZ]</t>
  </si>
  <si>
    <t>AMPOLLETA DELANTERA H7 LED [PZ]</t>
  </si>
  <si>
    <t>AMPOLLETA DELANTERA LED (BICIMOTO) [PZ]</t>
  </si>
  <si>
    <t>AMPOLLETA DELANTERA LED (TIPO DT) [PZ]</t>
  </si>
  <si>
    <t>AMPOLLETA DELANTERA LED H4 BICOLOR [PZ]</t>
  </si>
  <si>
    <t>AMPOLLETA DELANTERA LED H4 [PZ]</t>
  </si>
  <si>
    <t>AMPOLLETA DELANTERA LUZ DIA (4464) [PZ]</t>
  </si>
  <si>
    <t>AMPOLLETA LED H4 C/OPTICO [PZ]</t>
  </si>
  <si>
    <t>AMPOLLETA LED T10 COLA DE PESCADO [PZ]</t>
  </si>
  <si>
    <t>AMPOLLETA SEÑALIZADOR 12V 10W ''VINI'' [IM]</t>
  </si>
  <si>
    <t>AMPOLLETA SEÑALIZADOR 12V 21W ''PHILIPS'' P/DISPAREJ [OF]</t>
  </si>
  <si>
    <t>AMPOLLETA SEÑALIZADOR 12V 8W [PZ]</t>
  </si>
  <si>
    <t>AMPOLLETA SEÑALIZADOR LED ''2971'' [PZ]</t>
  </si>
  <si>
    <t>AMPOLLETA TABLERO 12V 1.2W [PZ]</t>
  </si>
  <si>
    <t>AMPOLLETA TABLERO 12V T10 LED (AZUL) C/PESCADO [PZ]</t>
  </si>
  <si>
    <t>AMPOLLETA TABLERO 12V T10 LED (ROJO) C/PESCADO [PZ]</t>
  </si>
  <si>
    <t>AMPOLLETA TABLERO 12V T5 (BLANCO) C/PESCADO [PZ]</t>
  </si>
  <si>
    <t>AMPOLLETA TRASERA 12V 21/5W ''PHILIPS'' LUZ BLANCA [PZ]</t>
  </si>
  <si>
    <t>AMPOLLETA TRASERA 12V 21/5W ''VINI'' [IM]</t>
  </si>
  <si>
    <t>AMPOLLETA TRASERA 12V 21/5W (ROJA) [PZ]</t>
  </si>
  <si>
    <t>AMPOLLETA TRASERA 12V 21/5W [PZ]</t>
  </si>
  <si>
    <t>AMPOLLETA TRASERA 12V 23/8W (21/6CP) [PZ]</t>
  </si>
  <si>
    <t>AMPOLLETA TRASERA 12V LED (BLANCO) [PZ]</t>
  </si>
  <si>
    <t>AMPOLLETA TRASERA LED L/BLANCA ''VINI'' [IM]</t>
  </si>
  <si>
    <t>AMPOLLETA TRASERA LED L/ROJA ''VINI'' ESTROBOSCOPICA [IM]</t>
  </si>
  <si>
    <t>AMPOLLETA TURBOLED H4 ''PROBIKER'' [PZ]</t>
  </si>
  <si>
    <t>AMPOLLETA TURBOLED H4 KIT UNIVERSAL [PZ]</t>
  </si>
  <si>
    <t>ANILLOS. JGO. DR-200 (STD) [PZ]</t>
  </si>
  <si>
    <t>ANILLOS</t>
  </si>
  <si>
    <t>ANILLOS. JGO. GXT-200/DR-200 (STD) 66MM [PZ]</t>
  </si>
  <si>
    <t>ANILLOS. JGO. KA-150 (STD) 57.2MM [PZ]</t>
  </si>
  <si>
    <t>ANILLOS. JGO. STORM-125 (STD) 56.5 MM [PZ]</t>
  </si>
  <si>
    <t>ANILLOS. JGO. XR-250R (050) 86/95 (VER KV6) [PZ]</t>
  </si>
  <si>
    <t>ANILLOS. JGO. XR-250R (100) 86/95 [PZ]</t>
  </si>
  <si>
    <t>ANILLOS. JGO. XR-600R (STD) 97MM [PZ]</t>
  </si>
  <si>
    <t>ANTENA CORTA HILO (RETRACTIL) [PZ]</t>
  </si>
  <si>
    <t>ANTENA CORTA HILO BASE ESPEJO (RETRACTIL) [PZ]</t>
  </si>
  <si>
    <t>ANTIPARRA MOTOCROSS ''THOR'' [PZ]</t>
  </si>
  <si>
    <t>ANTIPARRAS UNIVERSAL COLORES [PZ]</t>
  </si>
  <si>
    <t>ARAÑA CB-125F TWISTER [PZ]</t>
  </si>
  <si>
    <t>ARAÑA</t>
  </si>
  <si>
    <t>ARAÑA CBF-150 NEW-INVICTA [PZ]</t>
  </si>
  <si>
    <t>ARO RUEDA 1.60-12 [PZ]</t>
  </si>
  <si>
    <t>LLANTAS Y AROS</t>
  </si>
  <si>
    <t>ARO RUEDA 1.60-14 [PZ]</t>
  </si>
  <si>
    <t>ARO RUEDA 1.85-12 [PZ]</t>
  </si>
  <si>
    <t>ARO RUEDA 1.85-14 [PZ]</t>
  </si>
  <si>
    <t>ARO RUEDA 1.85-16 [PZ]</t>
  </si>
  <si>
    <t>ACEITE MOTOR ''MAXIMA'' 10W/40 MINERAL (1LT) [PZ]</t>
  </si>
  <si>
    <t>Inactivo</t>
  </si>
  <si>
    <t>ACEITE MOTOR ''MAXIMA'' 10W/40 PREMIUM (1LT) [PZ]</t>
  </si>
  <si>
    <t>ACEITE MOTOR ''MAXIMA'' 20W/50 MINERAL (1LT) [PZ]</t>
  </si>
  <si>
    <t>BALANCIN ALZA VALVULA. JGO. CG-125 [PZ]</t>
  </si>
  <si>
    <t>BALANCINES</t>
  </si>
  <si>
    <t>BALANCIN VALV. ADM/ESC. CG-125 [PZ]</t>
  </si>
  <si>
    <t>BALANCIN VALV. ADM/ESC. DR-200/GXT-200/GN-125 [PZ]</t>
  </si>
  <si>
    <t>BALANCIN VALV. ADM/ESC. FD-115 VIVAX/FD-125 ''NPC'' [PZ]</t>
  </si>
  <si>
    <t>BALANCIN VALV. ADM/ESC. FZ-16 [PZ]</t>
  </si>
  <si>
    <t>BALANCIN VALV. ADM/ESC. PULSAR-135 [PZ]</t>
  </si>
  <si>
    <t>BALANCIN VALV. ADM/ESC. PULSAR-180 [PZ]</t>
  </si>
  <si>
    <t>BALANCIN VALV. ADM/ESC. STORM-125 [PZ]</t>
  </si>
  <si>
    <t>BALANCIN VALV. ADM/ESC. T-115 CRYPTON [PZ]</t>
  </si>
  <si>
    <t>BALANCIN VALV. ADM/ESC. XL-125S/XR-200 BRASIL [PZ]</t>
  </si>
  <si>
    <t>BALANCIN VALV. ADM/ESC. XT-200/225 [PZ]</t>
  </si>
  <si>
    <t>BALANCIN VALV. ADM/ESC. YBR-125/XTZ-125 [PZ]</t>
  </si>
  <si>
    <t>BALANCIN VALV. ESCAPE XR-250R [PZ]</t>
  </si>
  <si>
    <t>BALANCINES ALZA VALVULAS. JGO. AK-125 ''VINI HOT PARTS'' [IM]</t>
  </si>
  <si>
    <t>BALANCINES ALZA VALVULAS. JGO. CG-125/RK-150- [PZ]</t>
  </si>
  <si>
    <t>BALANCINES ALZA VALVULAS. JGO. NXR-125 BROS ''VINI'' [IM]</t>
  </si>
  <si>
    <t>BALANCINES VALV. ADM/ESC. DR-200/GXT-200/GN-125 [PZ]</t>
  </si>
  <si>
    <t>BALANCINES VALVULA. JGO. AX-4 ''VINI'' [IM]</t>
  </si>
  <si>
    <t>BALANCINES VALVULA. JGO. CB-190R/XR-190 ''VINI'' [IM]</t>
  </si>
  <si>
    <t>BALANCINES VALVULA. JGO. CB1/CB-125F TWISTER ''VINI'' [IM]</t>
  </si>
  <si>
    <t>BALANCINES VALVULA. JGO. CBF-150 INVICTA/XR-150 ''VINI'' [IM]</t>
  </si>
  <si>
    <t>BALANCINES VALVULA. JGO. CG-100 PASSION [PZ]</t>
  </si>
  <si>
    <t>BALANCINES VALVULA. JGO. CGL-125/STORM-125 ''VINI'' [IM]</t>
  </si>
  <si>
    <t>BALANCINES VALVULA. JGO. FZ-16 ''VINI'' [IM]</t>
  </si>
  <si>
    <t>BALANCINES VALVULA. JGO. FZ-16 2.0/SZ-R ''VINI'' [IM]</t>
  </si>
  <si>
    <t>BALANCINES VALVULA. JGO. GIXXER-150 ''VINI'' [IM]</t>
  </si>
  <si>
    <t>BALANCINES VALVULA. JGO. GN-125 ''VINI'' [IM]</t>
  </si>
  <si>
    <t>BALANCINES VALVULA. JGO. GXT-200/DR-200 ''VINI'' [IM]</t>
  </si>
  <si>
    <t>BALANCINES VALVULA. JGO. JH-70 ''VINI'' [IM]</t>
  </si>
  <si>
    <t>BALANCINES VALVULA. JGO. NXR-150 BROS [PZ]</t>
  </si>
  <si>
    <t>BALANCINES VALVULA. JGO. PULSAR-200NS ''VINI'' [IM]</t>
  </si>
  <si>
    <t>BALANCINES VALVULA. JGO. RE-250/RACER-250RR/TTX LIMITED 250/CRF-230 [PZ]</t>
  </si>
  <si>
    <t>BALANCINES VALVULA. JGO. SCOOTER-125 ''VINI'' [IM]</t>
  </si>
  <si>
    <t>BALANCINES VALVULA. JGO. XTZ-250 ''VINI'' [IM]</t>
  </si>
  <si>
    <t>BALANCINES VALVULA. JGO. YBR-125 ''VINI HOT PARTS'' [IM]</t>
  </si>
  <si>
    <t>BALANCINES VALVULA. JGO. YBR-125 ''VINI'' [IM]</t>
  </si>
  <si>
    <t>BALANCINES VALVULA. JGO. YW-125 BWS [PZ]</t>
  </si>
  <si>
    <t>BASE MANUBRIO FZ-16 [PZ]</t>
  </si>
  <si>
    <t>BASE TAPON VACIADO GXT-200/GN-125/RKS-125 [PZ]</t>
  </si>
  <si>
    <t>OTROS</t>
  </si>
  <si>
    <t>BATERIA 12VOLT   2.5 AMP. ''HIBARI'' [PZ]</t>
  </si>
  <si>
    <t>BATERIAS</t>
  </si>
  <si>
    <t>BATERIA 12VOLT   2.5AMP. ''FULBAT'' [PZ]</t>
  </si>
  <si>
    <t>BATERIA 12VOLT   26 AMP.  ''HANKOOK'' [PZ]</t>
  </si>
  <si>
    <t>BATERIA 12VOLT   3 AMP. ''H&amp;T'' (YTZ5) [PZ]</t>
  </si>
  <si>
    <t>BATERIA 12VOLT   3 AMP. ''HIBARI'' [PZ]</t>
  </si>
  <si>
    <t>BATERIA 12VOLT   3.5 AMP. ''VOLTERS'' [PZ]</t>
  </si>
  <si>
    <t>BATERIA 12VOLT   4 AMP. ''HIBARI'' [PZ]</t>
  </si>
  <si>
    <t>BATERIA 12VOLT   5 AMP. ''HIBARI'' (12N5-3B/YB5L-B) [PZ]</t>
  </si>
  <si>
    <t>BATERIA 12VOLT   5 AMP. ''HIBARI'' (VER YT7C) [PZ]</t>
  </si>
  <si>
    <t>BATERIA 12VOLT   5AMP.  ''HQ'' [PZ]</t>
  </si>
  <si>
    <t>BATERIA 12VOLT   6 AMP. ''HIBARI'' [PZ]</t>
  </si>
  <si>
    <t>BATERIA 12VOLT   6 AMP. ''VOLTERS'' [PZ]</t>
  </si>
  <si>
    <t>BATERIA 12VOLT   6 AMP. [PZ]</t>
  </si>
  <si>
    <t>BATERIA 12VOLT   6.5 AMP. ''HIBARI'' [PZ]</t>
  </si>
  <si>
    <t>BATERIA 12VOLT   7 AMP. ''HIBARI'' (12N7-4A) [PZ]</t>
  </si>
  <si>
    <t>BATERIA 12VOLT   7 AMP. ''HIBARI'' (12N7A-3A) [PZ]</t>
  </si>
  <si>
    <t>BATERIA 12VOLT   7 AMP. ''HIBARI'' [PZ]</t>
  </si>
  <si>
    <t>BATERIA 12VOLT   7 AMP. ''VOLTERS'' [PZ]</t>
  </si>
  <si>
    <t>BATERIA 12VOLT   8 AMP. ''HIBARI'' (YTX9-BS) [PZ]</t>
  </si>
  <si>
    <t>BATERIA 12VOLT   8 AMP. ''HIBARI'' [PZ]</t>
  </si>
  <si>
    <t>BATERIA 12VOLT   9 AMP. ''HIBARI''  (12N9-BS) [PZ]</t>
  </si>
  <si>
    <t>BATERIA 12VOLT  10 AMP. ''HIBARI'' [PZ]</t>
  </si>
  <si>
    <t>BATERIA 12VOLT  11 AMP. ''FULLBAT'' [PZ]</t>
  </si>
  <si>
    <t>BATERIA 12VOLT  11.2 Ah ''BS-BATTERY'' [OF]</t>
  </si>
  <si>
    <t>SLA / CCA: 230A [+/-] 150mm / 88mm / 110mm</t>
  </si>
  <si>
    <t>BATERIA 12VOLT  12 AMP. ''HIBARI'' [PZ]</t>
  </si>
  <si>
    <t>BATERIA 12VOLT  14 AMP. ''HIBARI'' [PZ]</t>
  </si>
  <si>
    <t>BATERIA 12VOLT  18 AMP. ''HIBARI'' [PZ]</t>
  </si>
  <si>
    <t>BATERIA 12VOLT  30 AMP. ''HIBARI'' [PZ]</t>
  </si>
  <si>
    <t>BATERIA 12VOLT 10 Ah ''BS-BATTERY'' [OF]</t>
  </si>
  <si>
    <t>SLA / CCA: 180A [+/-] 150mm 87mm 130mm</t>
  </si>
  <si>
    <t>SLA / CCA: 210A [+/-] 150mm 69mm 130mm</t>
  </si>
  <si>
    <t>BATERIA 12VOLT 10 AMP. ''FULBAT'' [PZ]</t>
  </si>
  <si>
    <t>BATERIA 12VOLT 10 AMP. ''HQ'' [PZ]</t>
  </si>
  <si>
    <t>BATERIA 12VOLT 10.5 Ah ''MOTOBATT'' [OF]</t>
  </si>
  <si>
    <t>BATERIA 12VOLT 11 Ah ''BS-BATTERY'' [OF]</t>
  </si>
  <si>
    <t>SLA / CCA: 215A [+/-] 150mm 88mm 110mm</t>
  </si>
  <si>
    <t>BATERIA 12VOLT 11 Ah ''MOTOBATT'' [OF]</t>
  </si>
  <si>
    <t>BATERIA 12VOLT 11.5 Ah ''MOTOBATT'' [OF]</t>
  </si>
  <si>
    <t>BATERIA 12VOLT 12 Ah ''BS-BATTERY'' [OF]</t>
  </si>
  <si>
    <t>DRY / CCA: 120A [+/-] 134mm 81mm 160mm</t>
  </si>
  <si>
    <t>MF / CCA: 200A [+/-] 150mm 87mm 145mm</t>
  </si>
  <si>
    <t>MF / CCA: 200A [-/+] 150mm 87mm 145mm</t>
  </si>
  <si>
    <t>BATERIA 12VOLT 12 Ah ''QUICK STARTER'' [PZ]</t>
  </si>
  <si>
    <t>BATERIA 12VOLT 14 Ah ''BS-BATTERY'' [OF]</t>
  </si>
  <si>
    <t>SLA / CCA: 210A [-/+] 133mm 90mm 164mm</t>
  </si>
  <si>
    <t>BATERIA 12VOLT 14 Ah ''MOTOBATT'' [OF]</t>
  </si>
  <si>
    <t>BATERIA 12VOLT 14 Ah ''QUICK STARTER'' [PZ]</t>
  </si>
  <si>
    <t>BATERIA 12VOLT 14.5 Ah ''MOTOBATT'' [OF]</t>
  </si>
  <si>
    <t>BATERIA 12VOLT 16.5 Ah ''MOTOBATT'' [OF]</t>
  </si>
  <si>
    <t>BATERIA 12VOLT 19 Ah ''MOTOBATT'' [OF]</t>
  </si>
  <si>
    <t>BATERIA 12VOLT 2.3 Ah ''BS-BATTERY'' [OF]</t>
  </si>
  <si>
    <t>SLA / CCA: 40A [±] 113mm 38mm 86mm</t>
  </si>
  <si>
    <t>BATERIA 12VOLT 2.5 Ah ''BS-BATTERY'' [OF]</t>
  </si>
  <si>
    <t>DRY / CCA: 20A [-/+] 80mm 70mm 105mm</t>
  </si>
  <si>
    <t>BATERIA 12VOLT 20 Ah ''MOTOBATT'' [OF]</t>
  </si>
  <si>
    <t>BATERIA 12VOLT 20.5 Ah ''MOTOBATT'' [OF]</t>
  </si>
  <si>
    <t>BATERIA 12VOLT 21 Ah ''MOTOBATT'' [OF]</t>
  </si>
  <si>
    <t>BATERIA 12VOLT 22 Ah ''MOTOBATT'' [OF]</t>
  </si>
  <si>
    <t>BATERIA 12VOLT 3 Ah ''QUICK STARTER'' (YTZ5) [PZ]</t>
  </si>
  <si>
    <t>BATERIA 12VOLT 34 Ah ''MOTOBATT'' [OF]</t>
  </si>
  <si>
    <t>BATERIA 12VOLT 4 Ah ''BS-BATTERY'' [OF]</t>
  </si>
  <si>
    <t>MF / CCA: 80A [-/+] 113mm 70mm 105mm</t>
  </si>
  <si>
    <t>SLA / CCA: 65A [-/+] 113mm 70mm 85mm</t>
  </si>
  <si>
    <t>BATERIA 12VOLT 4 AMP. ''HQ'' (YTZ5) [PZ]</t>
  </si>
  <si>
    <t>BATERIA 12VOLT 4.7 Ah ''MOTOBATT'' [OF]</t>
  </si>
  <si>
    <t>BATERIA 12VOLT 5 Ah ''BS-BATTERY'' [OF]</t>
  </si>
  <si>
    <t>SLA / CCA: 65A [-/+] 119mm 59mm 130mm</t>
  </si>
  <si>
    <t>SLA / CCA: 90A [-/+] 113mm 70mm 106mm</t>
  </si>
  <si>
    <t>BATERIA 12VOLT 5 Ah ''QUICK STARTER'' [PZ]</t>
  </si>
  <si>
    <t>BATERIA 12VOLT 5 AMP. ''MOZUKI'' [PZ]</t>
  </si>
  <si>
    <t>BATERIA 12VOLT 6 Ah ''BS-BATTERY'' [OF]</t>
  </si>
  <si>
    <t>SLA / CCA: 100A [-/+] 113mm 70mm 130mm</t>
  </si>
  <si>
    <t>SLA / CCA: 105A [+/-] 150mm 87mm 93mm</t>
  </si>
  <si>
    <t>SLA / CCA: 130A [-/+] 113mm 70mm 105mm</t>
  </si>
  <si>
    <t>BATERIA 12VOLT 6 AMP. ''KAGE'' [PZ]</t>
  </si>
  <si>
    <t>BATERIA 12VOLT 6.5 Ah ''BS-BATTERY'' [OF]</t>
  </si>
  <si>
    <t>SLA / CCA: 110A [+/-] 150mm 65mm 93mm</t>
  </si>
  <si>
    <t>SLA / CCA: 85A [-/+] 139mm 66mm 102mm</t>
  </si>
  <si>
    <t>BATERIA 12VOLT 6.5 Ah ''MOTOBATT'' [OF]</t>
  </si>
  <si>
    <t>BATERIA 12VOLT 6.5 AMP. ''HQ'' [PZ]</t>
  </si>
  <si>
    <t>BATERIA 12VOLT 7 Ah ''BS-BATTERY'' [OF]</t>
  </si>
  <si>
    <t>DRY / CCA: 70A [-/+] 150mm 60mm 130mm</t>
  </si>
  <si>
    <t>DRY / CCA: 75A [+/-] 135mm 75mm 133mm</t>
  </si>
  <si>
    <t>DRY / CCA: 75A [-/+] 135mm 75mm 133mm</t>
  </si>
  <si>
    <t>DRY / CCA: 85A [+/-] 150mm 60mm 130mm</t>
  </si>
  <si>
    <t>SLA / CCA: 120A [-/+] 113mm 70mm 130mm</t>
  </si>
  <si>
    <t>BATERIA 12VOLT 7 Ah ''MOTOBATT'' [OF]</t>
  </si>
  <si>
    <t>BATERIA 12VOLT 7 Ah ''QUICK STARTER'' [PZ]</t>
  </si>
  <si>
    <t>BATERIA 12VOLT 7 AMP. ''HQ'' [OF]</t>
  </si>
  <si>
    <t>BATERIA 12VOLT 7 AMP. ''KAGE'' [PZ]</t>
  </si>
  <si>
    <t>BATERIA 12VOLT 7 AMP. ''MOZUKI'' [PZ]</t>
  </si>
  <si>
    <t>BATERIA 12VOLT 8 Ah ''BS-BATTERY'' [OF]</t>
  </si>
  <si>
    <t>MF / CCA: 135A [+/-] 150mm 87mm 105mm</t>
  </si>
  <si>
    <t>SLA / CCA: 120A [+/-] 150mm 70mm 105mm</t>
  </si>
  <si>
    <t>SLA / CCA: 135A [+/-] 150mm 87mm 105mm</t>
  </si>
  <si>
    <t>BATERIA 12VOLT 8 Ah ''MOTOBATT'' [OF]</t>
  </si>
  <si>
    <t>BATERIA 12VOLT 8 Ah ''QUICK STARTER'' [PZ]</t>
  </si>
  <si>
    <t>BATERIA 12VOLT 8.6 Ah ''BS-BATTERY'' [OF]</t>
  </si>
  <si>
    <t>SLA / CCA: 190A [+/-] 150mm 88mm 93mm</t>
  </si>
  <si>
    <t>BATERIA 12VOLT 8.6 Ah ''MOTOBATT'' [OF]</t>
  </si>
  <si>
    <t>BATERIA 12VOLT 9 Ah ''BS-BATTERY'' [OF]</t>
  </si>
  <si>
    <t>DRY / CCA: 85A [+/-] 135mm 75mm 139mm</t>
  </si>
  <si>
    <t>DRY / CCA: 85A [-/+] 135mm 75mm 139mm</t>
  </si>
  <si>
    <t>MF / CCA: 115A [+/-] 135mm 75mm 139mm</t>
  </si>
  <si>
    <t>SLA / CCA: 120A [+/-] 135mm 75mm 139mm</t>
  </si>
  <si>
    <t>BATERIA 12VOLT 9 Ah ''MOTOBATT'' [OF]</t>
  </si>
  <si>
    <t>BATERIA 12VOLT 9 Ah ''QUICK STARTER'' [PZ]</t>
  </si>
  <si>
    <t>BATERIA 12VOLT 9 AMP. ''HQ'' (YTX9A-BS) [PZ]</t>
  </si>
  <si>
    <t>BATERIA 12VOLT 9 AMP. (YT9A/12N9-4B-1) ''MOZUKI'' [PZ]</t>
  </si>
  <si>
    <t>BATERIA 6VOLT 4AMP. ''FULBAT'' [PZ]</t>
  </si>
  <si>
    <t>BIELA COMPLETA AK-150TT ''VINI'' [IM]</t>
  </si>
  <si>
    <t>BIELAS</t>
  </si>
  <si>
    <t>38mm / 15mm / 103.5mm</t>
  </si>
  <si>
    <t>BIELA COMPLETA AK-200SM ''VINI'' (CG-200/JL200) [IM]</t>
  </si>
  <si>
    <t>BIELA COMPLETA AX-4 ''VINI'' [IM]</t>
  </si>
  <si>
    <t>34mm / 14mm / 102.5mm</t>
  </si>
  <si>
    <t>BIELA COMPLETA CB-190R/XR-190L ''VINI'' [IM]</t>
  </si>
  <si>
    <t>36mm / 14mm / 104.5mm</t>
  </si>
  <si>
    <t>BIELA COMPLETA CB-190R/XR-190L [OF]</t>
  </si>
  <si>
    <t>BIELA COMPLETA CB1-125 ''VINI'' [IM]</t>
  </si>
  <si>
    <t>BIELA COMPLETA CB1-125 [PZ]</t>
  </si>
  <si>
    <t>32mm / 12mm / 96mm</t>
  </si>
  <si>
    <t>BIELA COMPLETA CBF-125/NEW-STORM [PZ]</t>
  </si>
  <si>
    <t>36mm / 13mm / 96mm</t>
  </si>
  <si>
    <t>BIELA COMPLETA CG-150T/JOB/INVICTA ''VINI'' [IM]</t>
  </si>
  <si>
    <t>BIELA COMPLETA CG-150T/JOB/INVICTA [PZ]</t>
  </si>
  <si>
    <t>BIELA COMPLETA CG-200 (NPC) [PZ]</t>
  </si>
  <si>
    <t>BIELA COMPLETA FZ-16 ''NPC'' [PZ]</t>
  </si>
  <si>
    <t>36mm / 15mm / 98mm</t>
  </si>
  <si>
    <t>BIELA COMPLETA FZ-16/FZN-150 2.0 ''VINI'' [IM]</t>
  </si>
  <si>
    <t>BIELA COMPLETA GIXXER-150 ''VINI'' [IM]</t>
  </si>
  <si>
    <t>36mm / 14mm / 111mm</t>
  </si>
  <si>
    <t>BIELA COMPLETA GIXXER-150 [PZ]</t>
  </si>
  <si>
    <t>BIELA COMPLETA GN-125 [PZ]</t>
  </si>
  <si>
    <t>36mm / 14mm / 106mm</t>
  </si>
  <si>
    <t>36mm / 14mm / 109.5mm</t>
  </si>
  <si>
    <t>BIELA COMPLETA GN-125/GS-125 ''VINI'' [IM]</t>
  </si>
  <si>
    <t>36mm / 14mm / 106.5mm</t>
  </si>
  <si>
    <t>BIELA COMPLETA GN-125H [PZ]</t>
  </si>
  <si>
    <t>36mm / 14mm / 108.5mm</t>
  </si>
  <si>
    <t>BIELA COMPLETA GS-150R/GIXXER (NPC) [PZ]</t>
  </si>
  <si>
    <t>BIELA COMPLETA GSX-150 ''VINI'' [IM]</t>
  </si>
  <si>
    <t>36mm / 15mm / 106mm</t>
  </si>
  <si>
    <t>BIELA COMPLETA GXT-200/DR-200 ''VINI'' [IM]</t>
  </si>
  <si>
    <t>38mm / 16mm / 116mm</t>
  </si>
  <si>
    <t>BIELA COMPLETA GXT-200/DR-200 [PZ]</t>
  </si>
  <si>
    <t>BIELA COMPLETA NMAX-150 ''VINI'' [IM]</t>
  </si>
  <si>
    <t>35mm / 14mm / 104mm</t>
  </si>
  <si>
    <t>BIELA COMPLETA NXR-125 BROS ''VINI'' [IM]</t>
  </si>
  <si>
    <t>36mm / 13mm / 105.5mm</t>
  </si>
  <si>
    <t>BIELA COMPLETA PULSAR-135/125NS [PZ]</t>
  </si>
  <si>
    <t>BIELA COMPLETA PULSAR-150 ''VINI'' [IM]</t>
  </si>
  <si>
    <t>29mm / 19mm / 105mm</t>
  </si>
  <si>
    <t>BIELA COMPLETA PULSAR-160NS ''VINI'' [IM]</t>
  </si>
  <si>
    <t>25mm / 15mm / 101mm</t>
  </si>
  <si>
    <t>BIELA COMPLETA PULSAR-200NS ''VINI'' [IM]</t>
  </si>
  <si>
    <t>33mm / 17mm / 89.5mm</t>
  </si>
  <si>
    <t>BIELA COMPLETA SCOOTER 125/150 [PZ]</t>
  </si>
  <si>
    <t>33mm / 15mm / 93.5mm</t>
  </si>
  <si>
    <t>BIELA COMPLETA SCOOTER-125 GY6 ''VINI'' [IM]</t>
  </si>
  <si>
    <t>BIELA COMPLETA T-105 CRYPTON/YD-110 CRUX [PZ]</t>
  </si>
  <si>
    <t>31mm / 13mm / 92mm</t>
  </si>
  <si>
    <t>BIELA COMPLETA XR-125L [PZ]</t>
  </si>
  <si>
    <t>BIELA COMPLETA XR-250 TORNADO '' MADE IN INDIA'' [PZ]</t>
  </si>
  <si>
    <t>41mm / 17mm / 102.5mm</t>
  </si>
  <si>
    <t>BIELA COMPLETA XR-250 TORNADO (KPF) ''VINI'' [IM]</t>
  </si>
  <si>
    <t>41mm / 17mm / 10.5mm</t>
  </si>
  <si>
    <t>BIELA COMPLETA XTZ-250/FZ-25 ''VINI'' [IM]</t>
  </si>
  <si>
    <t>40mm / 17mm / 100.5mm</t>
  </si>
  <si>
    <t>BIELA COMPLETA YBR-125/XTZ-125 ''VINI'' [IM]</t>
  </si>
  <si>
    <t>37mm / 15mm / 89mm</t>
  </si>
  <si>
    <t>BIELA COMPLETA YBR-125/XTZ-125 [PZ]</t>
  </si>
  <si>
    <t>BIELA COMPLETA YFM-350 BANSHEE (87/06) ''WISECO'' [PZ]</t>
  </si>
  <si>
    <t>BIELA COMPLETA YW-100 BWS [PZ]</t>
  </si>
  <si>
    <t>24mm / 18mm / 90mm</t>
  </si>
  <si>
    <t>BIELA COMPLETA YW-125 BWS ''VINI'' [IM]</t>
  </si>
  <si>
    <t>35mm / 15mm / 93.5mm</t>
  </si>
  <si>
    <t>BIELA COMPLETA YW-125 BWS [PZ]</t>
  </si>
  <si>
    <t>BIELA COMPLETA YZF-R15 [PZ]</t>
  </si>
  <si>
    <t>BIELAS COMPLETAS JGO. XV-250 [PZ]</t>
  </si>
  <si>
    <t>31mm x 2u / 13mm x 2u / 138mm x 2u</t>
  </si>
  <si>
    <t>BLUETOOTH CASCO [PZ]</t>
  </si>
  <si>
    <t>BOBINA ALTA 12V AN-125 [PZ]</t>
  </si>
  <si>
    <t>BOBINAS</t>
  </si>
  <si>
    <t>BOBINA ALTA 12V BAJAJ BOXER-150 [PZ]</t>
  </si>
  <si>
    <t>BOBINA ALTA 12V BAJAJ DISCOVER-125/150 (IZQ) [PZ]</t>
  </si>
  <si>
    <t>BOBINA ALTA 12V CBF-125 [PZ]</t>
  </si>
  <si>
    <t>BOBINA ALTA 12V CBF-150 INVICTA [PZ]</t>
  </si>
  <si>
    <t>BOBINA ALTA 12V CG-100 HERO PASSION [PZ]</t>
  </si>
  <si>
    <t>BOBINA ALTA 12V CG-125 (CHINAS) LF150-10F [PZ]</t>
  </si>
  <si>
    <t>BOBINA ALTA 12V CG-125 (CHINAS) [PZ]</t>
  </si>
  <si>
    <t>BOBINA ALTA 12V CG-125/150/200 ''VINI HOT PARTS'' [IM]</t>
  </si>
  <si>
    <t>BOBINA ALTA 12V CG-125/NXR-125/XR-125L [PZ]</t>
  </si>
  <si>
    <t>BOBINA ALTA 12V CG125 TITAN [PZ]</t>
  </si>
  <si>
    <t>BOBINA ALTA 12V CRF-230 [PZ]</t>
  </si>
  <si>
    <t>BOBINA ALTA 12V DISCOVER-125/135 (DER) [PZ]</t>
  </si>
  <si>
    <t>BOBINA ALTA 12V FZ-16 [PZ]</t>
  </si>
  <si>
    <t>BOBINA ALTA 12V GN-125/GXT-200/RKS-125/RKS-150/RKV-150/TX-150 [PZ]</t>
  </si>
  <si>
    <t>BOBINA ALTA 12V GN-125H/PULSAR-200NS ''VINI HOT PARTS'' [IM]</t>
  </si>
  <si>
    <t>BOBINA ALTA 12V MB-100/XL-250R [PZ]</t>
  </si>
  <si>
    <t>BOBINA ALTA 12V NEW SKUA MB-100/XL250 [PZ]</t>
  </si>
  <si>
    <t>BOBINA ALTA 12V PULSAR-220 [PZ]</t>
  </si>
  <si>
    <t>BOBINA ALTA 12V SCOOTER 125/150 (VER 72-0024) [PZ]</t>
  </si>
  <si>
    <t>BOBINA ALTA 12V SCOOTER 125/150 [PZ]</t>
  </si>
  <si>
    <t>BOBINA ALTA 12V SCOOTER-125 GY6 ''VINI HOT PARTS'' [IM]</t>
  </si>
  <si>
    <t>BOBINA ALTA 12V TVS APACHE-160 [PZ]</t>
  </si>
  <si>
    <t>BOBINA ALTA 12V VS-125 [PZ]</t>
  </si>
  <si>
    <t>BOBINA ALTA 12V XR-250/SCOOTER/TORNADO [PZ]</t>
  </si>
  <si>
    <t>BOBINA ALTA 12V XRE-300 [PZ]</t>
  </si>
  <si>
    <t>BOBINA ALTA 12V XTZ-125/YBR-125 [PZ]</t>
  </si>
  <si>
    <t>BOBINA ALTA 12V YZF-R15 [PZ]</t>
  </si>
  <si>
    <t>BOCINA 12V UNIVERSAL ''KHOOBRA'' [PZ]</t>
  </si>
  <si>
    <t>BOCINAS</t>
  </si>
  <si>
    <t>BOCINA 12V UNIVERSAL ''VINI'' [IM]</t>
  </si>
  <si>
    <t>BOCINA 12V UNIVERSAL POLICIA [PZ]</t>
  </si>
  <si>
    <t>BOCINA 12V UNIVERSAL [PZ]</t>
  </si>
  <si>
    <t>BOCINA 12VOLT SCOOTER STRATO-150 [PZ]</t>
  </si>
  <si>
    <t>BOCINAS JGO. 12V UNIVERSAL [PZ]</t>
  </si>
  <si>
    <t>BOLSA VINI [OF]</t>
  </si>
  <si>
    <t>BOMBA ACEITE AK-125 ELECTRONICA ''VINI'' [IM]</t>
  </si>
  <si>
    <t>BOMBAS DE ACEITE</t>
  </si>
  <si>
    <t>BOMBA ACEITE C/PIÑON CG-125/JL125/JL125-7 [PZ]</t>
  </si>
  <si>
    <t>BOMBA ACEITE CB-190R/XR-190/X-BLADE 160 ''VINI'' [IM]</t>
  </si>
  <si>
    <t>BOMBA ACEITE CB-250/DSR-200 [PZ]</t>
  </si>
  <si>
    <t>BOMBA ACEITE CB1-125/CB-125F TWISTER ''VINI'' [IM]</t>
  </si>
  <si>
    <t>BOMBA ACEITE CBF-150 INVICTA/XR-150 ''VINI'' [IM]</t>
  </si>
  <si>
    <t>BOMBA ACEITE CG-125/TITAN [PZ]</t>
  </si>
  <si>
    <t>BOMBA ACEITE CGL-125 ''VINI'' [IM]</t>
  </si>
  <si>
    <t>BOMBA ACEITE CGL-125 [PZ]</t>
  </si>
  <si>
    <t>BOMBA ACEITE FZN-150/FZ-16 ''VINI'' [IM]</t>
  </si>
  <si>
    <t>BOMBA ACEITE JH70/BICIMOTO-49CC/EXPRESS-100 [PZ]</t>
  </si>
  <si>
    <t>BOMBA ACEITE PITBULL ''ATV'' [PZ]</t>
  </si>
  <si>
    <t>BOMBA ACEITE PULSAR-200NS/RS-200/KTM-200 ''VINI'' [IM]</t>
  </si>
  <si>
    <t>BOMBA ACEITE RENEGADE-200/JL200GY-2 [PZ]</t>
  </si>
  <si>
    <t>BOMBA ACEITE SCOOTER-125 GY6 ''VINI'' [IM]</t>
  </si>
  <si>
    <t>BOMBA ACEITE XTZ-125 [PZ]</t>
  </si>
  <si>
    <t>BOMBA BENCINA CBR-600/CBR-900 [PZ]</t>
  </si>
  <si>
    <t>BOMBAS DE BENCINA</t>
  </si>
  <si>
    <t>BOMBA BENCINA SCOOTER (3 TOMAS) [PZ]</t>
  </si>
  <si>
    <t>BOMBA BENCINA SCOOTER 3 TOMAS [PZ]</t>
  </si>
  <si>
    <t>BOMBA BENCINA UNIVERSAL KAWASAKI [PZ]</t>
  </si>
  <si>
    <t>BOMBA BENCINA UNIVERSAL SCOOTER [PZ]</t>
  </si>
  <si>
    <t>BOMBA FRENO DELANTERO (HILO 8) [PZ]</t>
  </si>
  <si>
    <t>BOMBAS DE FRENO</t>
  </si>
  <si>
    <t>BOMBA FRENO DELANTERO CBX-250 [PZ]</t>
  </si>
  <si>
    <t>BOMBA FRENO DELANTERO CHOPPER [PZ]</t>
  </si>
  <si>
    <t>BOMBA FRENO DELANTERO FZ-16 [FZ]</t>
  </si>
  <si>
    <t>BOMBA FRENO DELANTERO FZ-16 [PZ]</t>
  </si>
  <si>
    <t>BOMBA FRENO DELANTERO GIXXER-150 [PZ]</t>
  </si>
  <si>
    <t>BOMBA FRENO DELANTERO GN-125 ''VINI'' [IM]</t>
  </si>
  <si>
    <t>BOMBA FRENO DELANTERO GN-125/JL125-7 [PZ]</t>
  </si>
  <si>
    <t>BOMBA FRENO DELANTERO GN-125H [PZ]</t>
  </si>
  <si>
    <t>BOMBA FRENO DELANTERO KA-150 [PZ]</t>
  </si>
  <si>
    <t>BOMBA FRENO DELANTERO PULSAR [PZ]</t>
  </si>
  <si>
    <t>BOMBA FRENO DELANTERO SCOOTER (DER) [PZ]</t>
  </si>
  <si>
    <t>BOMBA FRENO DELANTERO SCOOTER [PZ]</t>
  </si>
  <si>
    <t>BOMBA FRENO DELANTERO SCOOTER-125 GY6 ''VINI'' [IM]</t>
  </si>
  <si>
    <t>BOMBA FRENO DELANTERO SHADOW-150 [PZ]</t>
  </si>
  <si>
    <t>BOMBA FRENO DELANTERO STORM-125 ''VINI'' [IM]</t>
  </si>
  <si>
    <t>BOMBA FRENO DELANTERO TIPO GN-125 [PZ]</t>
  </si>
  <si>
    <t>BOMBA FRENO DELANTERO TIPO GN/JL125-7 [PZ]</t>
  </si>
  <si>
    <t>BOMBA FRENO DELANTERO UNIVERSAL ''VINI'' [IM]</t>
  </si>
  <si>
    <t>BOMBA FRENO DELANTERO UNIVERSAL [PZ]</t>
  </si>
  <si>
    <t>BOMBA FRENO DELANTERO XR-250 ''HQ'' [PZ]</t>
  </si>
  <si>
    <t>BOMBA FRENO DELANTERO YBR-125 ''VINI'' [IM]</t>
  </si>
  <si>
    <t>BOMBA FRENO DELANTERO YBR-125 (HILO NORMAL) [PZ]</t>
  </si>
  <si>
    <t>BOMBA FRENO DELANTERO YBR-125 HILO INVERSO [PZ]</t>
  </si>
  <si>
    <t>BOMBA FRENO DELANTERO YBR-125 [PZ]</t>
  </si>
  <si>
    <t>BOMBA FRENO DELANTERO YW-125 BWS ''VINI'' [IM]</t>
  </si>
  <si>
    <t>BOMBA FRENO DELANTERO [PZ]</t>
  </si>
  <si>
    <t>BOMBA FRENO TRASERO ATV-125 [PZ]</t>
  </si>
  <si>
    <t>BOMBA FRENO TRASERO UNIVERSAL [PZ]</t>
  </si>
  <si>
    <t>BOMBA FRENO TRASERO [PZ]</t>
  </si>
  <si>
    <t>BOTON BOCINA SCOOTER [PZ]</t>
  </si>
  <si>
    <t>BOTONES</t>
  </si>
  <si>
    <t>BOTON CAMBIO LUCES SCOOTER [PZ]</t>
  </si>
  <si>
    <t>BOTON ENCENDIDO AUXILIAR UNIVERSAL [PZ]</t>
  </si>
  <si>
    <t>BOTON ENCENDIDO LUCES [PZ]</t>
  </si>
  <si>
    <t>BOTON ENCENDIDO MOTO SCOOTER [PZ]</t>
  </si>
  <si>
    <t>BOTON HAZARD [PZ]</t>
  </si>
  <si>
    <t>BOTON LUCES ALTA Y BAJA SCOOTER [PZ]</t>
  </si>
  <si>
    <t>BOTON LUCES ALTA/BAJA SCOOTER GY6 [PZ]</t>
  </si>
  <si>
    <t>BOTON LUCES UNIVERSAL [PZ]</t>
  </si>
  <si>
    <t>BOTON PARE UNIVERSAL 3 CABLES [PZ]</t>
  </si>
  <si>
    <t>BOTON PARE UNIVERSAL C/CARGADOR USB [PZ]</t>
  </si>
  <si>
    <t>BOTON PARE UNIVERSAL C/ENDENDIDO ELECTRONICO [PZ]</t>
  </si>
  <si>
    <t>BOTON PARE UNIVERSAL [PZ]</t>
  </si>
  <si>
    <t>BOTON PARTIDA SCOOTER [PZ]</t>
  </si>
  <si>
    <t>BOTON SEÑALIZADOR SCOOTER [PZ]</t>
  </si>
  <si>
    <t>BROCHE PLÁSTICO CARENADO UNIVERSAL [PZ]</t>
  </si>
  <si>
    <t>BUJE CENTRAL CATALINA [PZ]</t>
  </si>
  <si>
    <t>BUJES</t>
  </si>
  <si>
    <t>BUJE CONTRAPESO UNIDAD VS-125 [PZ]</t>
  </si>
  <si>
    <t>BUJES CONTRAPESO. JGO. BWS-100 [PZ]</t>
  </si>
  <si>
    <t>BUJES CONTRAPESO. JGO. NEW ELITE-125 FI (B/GRANDE) [PZ]</t>
  </si>
  <si>
    <t>BUJES CONTRAPESO. JGO. SCOOTER 125/150 (GY6) [PZ]</t>
  </si>
  <si>
    <t>BUJES CONTRAPESO. JGO. SCOOTER-125/150 [PZ]</t>
  </si>
  <si>
    <t>BUJES SUSPENSION TRASERA. JGO. CG-125 [PZ]</t>
  </si>
  <si>
    <t>BUJES SUSPENSION TRASERA. JGO. PULSAR-135 [PZ]</t>
  </si>
  <si>
    <t>BUJIA ATL D8EA [PZ]</t>
  </si>
  <si>
    <t>BUJÍAS</t>
  </si>
  <si>
    <t>BUJIA DENSO ''IRIDIUM'' IU20 (CPR6EIX-9) [PZ]</t>
  </si>
  <si>
    <t>BUJIA DENSO ''IRIDIUM'' IU22 (CR7EIX) [PZ]</t>
  </si>
  <si>
    <t>BUJIA DENSO ''IRIDIUM'' IU24 (CR8EIX) [PZ]</t>
  </si>
  <si>
    <t>BUJIA DENSO ''IRIDIUM'' IU24A (CR8EK) DL-1000 V-STROM 2-CILIN INYECT 4T/GSX-R 400CC [PZ]</t>
  </si>
  <si>
    <t>BUJIA DENSO ''IRIDIUM'' IU27 (CR9EIX) [PZ]</t>
  </si>
  <si>
    <t>BUJIA DENSO ''IRIDIUM'' IU27A (R017-9) [PZ]</t>
  </si>
  <si>
    <t>BUJIA DENSO ''IRIDIUM'' IU31 (CR10EIX) [PZ]</t>
  </si>
  <si>
    <t>BUJIA DENSO ''IRIDIUM'' IU31A (R017-10) YZF R-6 600CC 4CILIN INYECT 4T / GSX-R 750CC [PZ]</t>
  </si>
  <si>
    <t>BUJIA DENSO ''IRIDIUM'' IUF22 (CR7HIX) [PZ]</t>
  </si>
  <si>
    <t>BUJIA DENSO ''IRIDIUM'' IUF24 (CR8HIX) [PZ]</t>
  </si>
  <si>
    <t>BUJIA DENSO ''IRIDIUM'' IUH24 (CR8EHIX-9) [PZ]</t>
  </si>
  <si>
    <t>BUJIA DENSO ''IRIDIUM'' IUH27 (CR9EHIX-9) [PZ]</t>
  </si>
  <si>
    <t>BUJIA DENSO ''IRIDIUM'' IW24 (BR8EIX) [PZ]</t>
  </si>
  <si>
    <t>BUJIA DENSO ''IRIDIUM'' IWF24 (BR8HIX) [PZ]</t>
  </si>
  <si>
    <t>BUJIA DENSO ''IRIDIUM'' IX24 (DR8EIX) [PZ]</t>
  </si>
  <si>
    <t>BUJIA DENSO ''IRIDIUM'' IX24B (DPR8EIX-9) [PZ]</t>
  </si>
  <si>
    <t>BUJIA DENSO ''IRIDIUM'' IX27B (DPR9EIX-9) [PZ]</t>
  </si>
  <si>
    <t>BUJIA DENSO ''IRIDIUM'' IXU24 (DCPR8EVX) [PZ]</t>
  </si>
  <si>
    <t>BUJIA DENSO ''IRIDIUM'' IXU27 (IKR9J8) BMW K1200R/DUCATI MONSTER [PZ]</t>
  </si>
  <si>
    <t>BUJIA DENSO U20EPR9 CBF 150CC (CPR6EA-9) [PZ]</t>
  </si>
  <si>
    <t>BUJIA DENSO U22FS-U (C7HSA) [PZ]</t>
  </si>
  <si>
    <t>BUJIA DENSO U22FSR-U (CR7HS) [PZ]</t>
  </si>
  <si>
    <t>BUJIA DENSO U24ES-N (C8E) [PZ]</t>
  </si>
  <si>
    <t>BUJIA DENSO U24FER9 (CR8EH-9) XR-250 TORNADO/CBX-250/CBR-600 [PZ]</t>
  </si>
  <si>
    <t>BUJIA DENSO U27ES-N (C9E) [PZ]</t>
  </si>
  <si>
    <t>BUJIA DENSO U27ESR-N (CR9E) [PZ]</t>
  </si>
  <si>
    <t>BUJIA DENSO U27FER9 (CR9EH-9) [PZ]</t>
  </si>
  <si>
    <t>BUJIA DENSO U31ETR (CR10EK) [PZ]</t>
  </si>
  <si>
    <t>BUJIA DENSO W20M-U (BM6A) [PZ]</t>
  </si>
  <si>
    <t>BUJIA DENSO W24ESR-U (BR8ES) [PZ]</t>
  </si>
  <si>
    <t>BUJIA DENSO W24ESR-VJP (BR8EG) [PZ]</t>
  </si>
  <si>
    <t>BUJIA DENSO W24FS-U (B8HS) [PZ]</t>
  </si>
  <si>
    <t>BUJIA DENSO X24EP-U9 (DP8EA-9) [PZ]</t>
  </si>
  <si>
    <t>BUJIA DENSO X24EPR-U9JP (DPR8EA-9) ''IMP'' [PZ]</t>
  </si>
  <si>
    <t>BUJIA DENSO XU24EPR-U (DCPR8E) [PZ]</t>
  </si>
  <si>
    <t>BUJIA EKKO ''CR9E'' (U27ESR-N) [PZ]</t>
  </si>
  <si>
    <t>BUJIA EKKO ''IRIDIUM'' (CR7EI) [PZ]</t>
  </si>
  <si>
    <t>BUJIA EKKO ''IRIDIUM'' (CR7HIX) [PZ]</t>
  </si>
  <si>
    <t>BUJIA EKKO (B7HS) [PZ]</t>
  </si>
  <si>
    <t>BUJIA EKKO (U22FS-U) (C7HS) [PZ]</t>
  </si>
  <si>
    <t>BUJIA JIN-JIE (CR7HS) [PZ]</t>
  </si>
  <si>
    <t>BUJIA JIN-JIE DPR8EA-9 [PZ]</t>
  </si>
  <si>
    <t>BUJIA NGK ''IRIDIUM'' BPR5HIX [PZ]</t>
  </si>
  <si>
    <t>BUJIA NGK ''IRIDIUM'' BPR8EIX [PZ]</t>
  </si>
  <si>
    <t>BUJIA NGK ''IRIDIUM'' BR10EIX [PZ]</t>
  </si>
  <si>
    <t>BUJIA NGK ''IRIDIUM'' IFR6G-11K NC-750/NC-750X/NC-750XA/NC-750XD [PZ]</t>
  </si>
  <si>
    <t>BUJIA NGK ''IRIDIUM'' IJR8B-9 XL-1000 VARADERO [PZ]</t>
  </si>
  <si>
    <t>BUJIA NGK B8ES [PZ]</t>
  </si>
  <si>
    <t>BUJIA NGK BPR6ES [PZ]</t>
  </si>
  <si>
    <t>BUJIA NGK BPR6ES-11 [PZ]</t>
  </si>
  <si>
    <t>BUJIA NGK C7HS [PZ]</t>
  </si>
  <si>
    <t>BUJIA NGK C7HSA [PZ]</t>
  </si>
  <si>
    <t>BUJIA NGK CR6HS [PZ]</t>
  </si>
  <si>
    <t>BUJIA NGK CR7EH-9 [PZ]</t>
  </si>
  <si>
    <t>BUJIA NGK CR8E [PZ]</t>
  </si>
  <si>
    <t>BUJIA NGK CR9E [PZ]</t>
  </si>
  <si>
    <t>BUJIA NGK D8EA [PZ]</t>
  </si>
  <si>
    <t>BUJIA NGK DPR8EA-9 [PZ]</t>
  </si>
  <si>
    <t>BUJIA NGK LKAR8A-9 PULSAR 200NS/RS-200/DOMINAR-250/400 (CENTRAL) [PZ]</t>
  </si>
  <si>
    <t>BUJIA VINI ''IRIDIUM'' CPR8EA-9EIX [OF]</t>
  </si>
  <si>
    <t>BUJIA VINI ''IRIDIUM'' CR8EH-9EIX [OF]</t>
  </si>
  <si>
    <t>BUJIA VINI ''IRIDIUM'' DPR8EA-9EIX [OF]</t>
  </si>
  <si>
    <t>BUJIA VINI C7HS [OF]</t>
  </si>
  <si>
    <t>BUJIA VINI CR8E [OF]</t>
  </si>
  <si>
    <t>BUJIA VINI D8EA [OF]</t>
  </si>
  <si>
    <t>BULBO TEMPERATURA ( 1TOMAS) [PZ]</t>
  </si>
  <si>
    <t>SENSORES</t>
  </si>
  <si>
    <t>C.D.I ENCENDIDO ELECTRONICO SCOOTER 125/150 [PZ]</t>
  </si>
  <si>
    <t>C.D.I.</t>
  </si>
  <si>
    <t>C.D.I. ENCENDIDO ELECTRONICO AN-125 [PZ]</t>
  </si>
  <si>
    <t>C.D.I. ENCENDIDO ELECTRONICO CB1-125 TWISTER [PZ]</t>
  </si>
  <si>
    <t>C.D.I. ENCENDIDO ELECTRONICO CBF-150 INVICTA / CBF UNICORN 150CC [PZ]</t>
  </si>
  <si>
    <t>C.D.I. ENCENDIDO ELECTRONICO CBF-150 INVICTA [PZ]</t>
  </si>
  <si>
    <t>C.D.I. ENCENDIDO ELECTRONICO CBX-250 TWISTER [PZ]</t>
  </si>
  <si>
    <t>C.D.I. ENCENDIDO ELECTRONICO CG-125 (BATERÍA) [PZ]</t>
  </si>
  <si>
    <t>C.D.I. ENCENDIDO ELECTRONICO CG-125 (CHINA) [PZ]</t>
  </si>
  <si>
    <t>C.D.I. ENCENDIDO ELECTRONICO CG-125 [PZ]</t>
  </si>
  <si>
    <t>C.D.I. ENCENDIDO ELECTRONICO CG-150 [PZ]</t>
  </si>
  <si>
    <t>C.D.I. ENCENDIDO ELECTRONICO CG-200 ''VINI'' [IM]</t>
  </si>
  <si>
    <t>C.D.I. ENCENDIDO ELECTRONICO CGL-125/TTX-200 [PZ]</t>
  </si>
  <si>
    <t>C.D.I. ENCENDIDO ELECTRONICO ELITE-125 [PZ]</t>
  </si>
  <si>
    <t>C.D.I. ENCENDIDO ELECTRONICO EUROMOT-125 [PZ]</t>
  </si>
  <si>
    <t>C.D.I. ENCENDIDO ELECTRONICO FZ-16 [PZ]</t>
  </si>
  <si>
    <t>C.D.I. ENCENDIDO ELECTRONICO FZN-16 (ECU) [OF]</t>
  </si>
  <si>
    <t>C.D.I. ENCENDIDO ELECTRONICO GN-125H/GXT-200 [PZ]</t>
  </si>
  <si>
    <t>C.D.I. ENCENDIDO ELECTRONICO HJ125-7/HJ150-9 [PZ]</t>
  </si>
  <si>
    <t>C.D.I. ENCENDIDO ELECTRONICO JOG-100/XC-100 [PZ]</t>
  </si>
  <si>
    <t>C.D.I. ENCENDIDO ELECTRONICO KA-150 [PZ]</t>
  </si>
  <si>
    <t>C.D.I. ENCENDIDO ELECTRONICO NK-150 [PZ]</t>
  </si>
  <si>
    <t>C.D.I. ENCENDIDO ELECTRONICO PULSAR-200NS [PZ]</t>
  </si>
  <si>
    <t>C.D.I. ENCENDIDO ELECTRONICO SCOOTER-125 ''VINI'' [IM]</t>
  </si>
  <si>
    <t>C.D.I. ENCENDIDO ELECTRONICO SPEED-125 CLASIC [PZ]</t>
  </si>
  <si>
    <t>C.D.I. ENCENDIDO ELECTRONICO STORM-125 [PZ]</t>
  </si>
  <si>
    <t>C.D.I. ENCENDIDO ELECTRONICO UNIVERSAL ''5 PINES'' [PZ]</t>
  </si>
  <si>
    <t>C.D.I. ENCENDIDO ELECTRONICO UNIVERSAL [PZ]</t>
  </si>
  <si>
    <t>C.D.I. ENCENDIDO ELECTRONICO XLX-250R [PZ]</t>
  </si>
  <si>
    <t>C.D.I. ENCENDIDO ELECTRONICO XR-250/SCOOTER-125 [PZ]</t>
  </si>
  <si>
    <t>C.D.I. ENCENDIDO ELECTRONICO XV-250 [PZ]</t>
  </si>
  <si>
    <t>C.D.I. ENCENDIDO ELECTRONICO XV-250/V-STAR 250 ''VINI'' [IM]</t>
  </si>
  <si>
    <t>C.D.I. ENCENDIDO ELECTRONICO YBR-Z ''VINI'' [IM]</t>
  </si>
  <si>
    <t>CABALLETE TRASERO [PZ]</t>
  </si>
  <si>
    <t>CABLE ACELERADOR  ''UNIVERSAL'' [PZ]</t>
  </si>
  <si>
    <t>CABLES</t>
  </si>
  <si>
    <t>CABLE ACELERADOR ''UNIVERSAL'' [PZ]</t>
  </si>
  <si>
    <t>CABLE ACELERADOR AKT110-SPORT [PZ]</t>
  </si>
  <si>
    <t>CABLE ACELERADOR AN-125 [PZ]</t>
  </si>
  <si>
    <t>CABLE ACELERADOR AX-4 ''VINI'' [IM]</t>
  </si>
  <si>
    <t>CABLE ACELERADOR CB-190  (A) [PZ]</t>
  </si>
  <si>
    <t>CABLE ACELERADOR CB-190 [PZ]</t>
  </si>
  <si>
    <t>CABLE ACELERADOR CB-190R ''A'' ''VINI'' [IM]</t>
  </si>
  <si>
    <t>CABLE ACELERADOR CB-190R ''B'' ''VINI'' [IM]</t>
  </si>
  <si>
    <t>CABLE ACELERADOR CB-190R [PZ]</t>
  </si>
  <si>
    <t>CABLE ACELERADOR CB1-125 [PZ]</t>
  </si>
  <si>
    <t>CABLE ACELERADOR CBF-150 INVICTA ''VINI'' [IM]</t>
  </si>
  <si>
    <t>CABLE ACELERADOR CBF-150 INVICTA/RKS/RKV/TX-200 [PZ]</t>
  </si>
  <si>
    <t>CABLE ACELERADOR CBX-250 [PZ]</t>
  </si>
  <si>
    <t>CABLE ACELERADOR CG-125 [PZ]</t>
  </si>
  <si>
    <t>CABLE ACELERADOR CG-125T/C (DOBLE) [PZ]</t>
  </si>
  <si>
    <t>CABLE ACELERADOR CGL-125 [PZ]</t>
  </si>
  <si>
    <t>CABLE ACELERADOR CGL-125/STORM-125 ''VINI'' [IM]</t>
  </si>
  <si>
    <t>CABLE ACELERADOR DR200 [PZ]</t>
  </si>
  <si>
    <t>CABLE ACELERADOR DSR-200 [PZ]</t>
  </si>
  <si>
    <t>CABLE ACELERADOR DT175K [PZ]</t>
  </si>
  <si>
    <t>CABLE ACELERADOR DUKE-200/390 [PZ]</t>
  </si>
  <si>
    <t>CABLE ACELERADOR ELITE-125 [PZ]</t>
  </si>
  <si>
    <t>CABLE ACELERADOR EN-125 [PZ]</t>
  </si>
  <si>
    <t>CABLE ACELERADOR EXPRESS-100 [PZ]</t>
  </si>
  <si>
    <t>CABLE ACELERADOR FZ-16 ''A'' ''VINI'' [IM]</t>
  </si>
  <si>
    <t>CABLE ACELERADOR FZ-16 ''B'' ''VINI'' [IM]</t>
  </si>
  <si>
    <t>CABLE ACELERADOR FZ-16 (DOBLE) [PZ]</t>
  </si>
  <si>
    <t>CABLE ACELERADOR FZ-16 (HASTA 2013) [PZ]</t>
  </si>
  <si>
    <t>CABLE ACELERADOR GIXXER-150 ''VINI'' [IM]</t>
  </si>
  <si>
    <t>CABLE ACELERADOR GIXXER-150 [PZ]</t>
  </si>
  <si>
    <t>CABLE ACELERADOR GN-125/GS-125 ''VINI'' [IM]</t>
  </si>
  <si>
    <t>CABLE ACELERADOR GN-125/GS-125 CHINA ''VINI'' [IM]</t>
  </si>
  <si>
    <t>CABLE ACELERADOR GN-125/GS-125 [PZ]</t>
  </si>
  <si>
    <t>58300-053G0HB</t>
  </si>
  <si>
    <t>CABLE ACELERADOR GS-125 [PZ]</t>
  </si>
  <si>
    <t>58300-45F40JP</t>
  </si>
  <si>
    <t>BC005-A</t>
  </si>
  <si>
    <t>CABLE ACELERADOR GS-150R [PZ]</t>
  </si>
  <si>
    <t>58300-30H00JP</t>
  </si>
  <si>
    <t>58300-30H10JP</t>
  </si>
  <si>
    <t>CABLE ACELERADOR GXT-200 ''A'' [PZ]</t>
  </si>
  <si>
    <t>CABLE ACELERADOR GXT-200 (DOBLE) [PZ]</t>
  </si>
  <si>
    <t>CABLE ACELERADOR GY-150/ENDURO [PZ]</t>
  </si>
  <si>
    <t>CABLE ACELERADOR GZ -150 (A) [PZ]</t>
  </si>
  <si>
    <t>CABLE ACELERADOR GZ -150 (B) [PZ]</t>
  </si>
  <si>
    <t>CABLE ACELERADOR KA-150 [PZ]</t>
  </si>
  <si>
    <t>CABLE ACELERADOR KLX-150 (B) [PZ]</t>
  </si>
  <si>
    <t>CABLE ACELERADOR LF-200 ''VINI'' [IM]</t>
  </si>
  <si>
    <t>CABLE ACELERADOR MT-03 [PZ]</t>
  </si>
  <si>
    <t>CABLE ACELERADOR NINJA-250NINJA-300 ''A'' [PZ]</t>
  </si>
  <si>
    <t>CABLE ACELERADOR NX-400 FALCON ''B'' [PZ]</t>
  </si>
  <si>
    <t>CABLE ACELERADOR NXR-150 BROS [PZ]</t>
  </si>
  <si>
    <t>CABLE ACELERADOR PITBIKE (DB14) [PZ]</t>
  </si>
  <si>
    <t>CABLE ACELERADOR PITBIKE [PZ]</t>
  </si>
  <si>
    <t>CABLE ACELERADOR PULSAR-135 [PZ]</t>
  </si>
  <si>
    <t>CABLE ACELERADOR PULSAR-150/180 [PZ]</t>
  </si>
  <si>
    <t>CABLE ACELERADOR PULSAR-150NS ''VINI'' [IM]</t>
  </si>
  <si>
    <t>CABLE ACELERADOR PULSAR-150NS [PZ]</t>
  </si>
  <si>
    <t>CABLE ACELERADOR PULSAR-180 [PZ]</t>
  </si>
  <si>
    <t>CABLE ACELERADOR PULSAR-200NS CARBURADA ''VINI'' [IM]</t>
  </si>
  <si>
    <t>CABLE ACELERADOR PULSAR-200NS INYECTADA ''SUPRAJIT'' [IM]</t>
  </si>
  <si>
    <t>CABLE ACELERADOR PULSAR-200NS [PZ]</t>
  </si>
  <si>
    <t>CABLE ACELERADOR PULSAR-220 [PZ]</t>
  </si>
  <si>
    <t>CABLE ACELERADOR RENEGADE-200 ''VINI'' [IM]</t>
  </si>
  <si>
    <t>CABLE ACELERADOR RENEGADE-200 [PZ]</t>
  </si>
  <si>
    <t>CABLE ACELERADOR SCOOTER (GY6) [PZ]</t>
  </si>
  <si>
    <t>CABLE ACELERADOR SCOOTER-125/150 [PZ]</t>
  </si>
  <si>
    <t>CABLE ACELERADOR STORM-125 [PZ]</t>
  </si>
  <si>
    <t>CABLE ACELERADOR TX-200 [PZ]</t>
  </si>
  <si>
    <t>CABLE ACELERADOR UNIVERSAL (36CM.P/31CM.F) [FZ]</t>
  </si>
  <si>
    <t>CABLE ACELERADOR UNIVERSAL 1.2 MM X 2.0MT [PZ]</t>
  </si>
  <si>
    <t>CABLE ACELERADOR VS-125 [PZ]</t>
  </si>
  <si>
    <t>CABLE ACELERADOR XBLADE-160/RK-150/RKV-150/TX-150 [PZ]</t>
  </si>
  <si>
    <t>CABLE ACELERADOR XR-125L ''VINI'' [IM]</t>
  </si>
  <si>
    <t>CABLE ACELERADOR XR-150L ''VINI'' [IM]</t>
  </si>
  <si>
    <t>CABLE ACELERADOR XR-150L [PZ]</t>
  </si>
  <si>
    <t>CABLE ACELERADOR XR-190L ''VINI'' [IM]</t>
  </si>
  <si>
    <t>CABLE ACELERADOR XR-250 TORNADO ''A'' ''VINI'' [IM]</t>
  </si>
  <si>
    <t>CABLE ACELERADOR XR-250 TORNADO ''A'' [PZ]</t>
  </si>
  <si>
    <t>CABLE ACELERADOR XR-250 TORNADO ''B'' ''VINI'' [IM]</t>
  </si>
  <si>
    <t>CABLE ACELERADOR XR-250 TORNADO ''B'' [PZ]</t>
  </si>
  <si>
    <t>CABLE ACELERADOR XRE-300 ''A'' [PZ]</t>
  </si>
  <si>
    <t>CABLE ACELERADOR XRE-300 ''B'' [PZ]</t>
  </si>
  <si>
    <t>CABLE ACELERADOR XRE-300 [PZ]</t>
  </si>
  <si>
    <t>CABLE ACELERADOR XTZ-125 [PZ]</t>
  </si>
  <si>
    <t>CABLE ACELERADOR YBR-125</t>
  </si>
  <si>
    <t>CABLE ACELERADOR YBR-125 [PZ]</t>
  </si>
  <si>
    <t>CABLE ACELERADOR YD-110 CRUX [PZ]</t>
  </si>
  <si>
    <t>CABLE ACELERADOR YW-125 BWS (A) [PZ]</t>
  </si>
  <si>
    <t>CABLE ACELERADOR YW-125 BWS (B) [PZ]</t>
  </si>
  <si>
    <t>CABLE ACELERADOR YZF-R15 ''A'' [PZ]</t>
  </si>
  <si>
    <t>CABLE ACELERADOR YZF-R15 ''B'' [OF]</t>
  </si>
  <si>
    <t>CABLE AHOGADOR CBF-150 INVICTA [PZ]</t>
  </si>
  <si>
    <t>CABLE AHOGADOR EN-125/GS-125 [PZ]</t>
  </si>
  <si>
    <t>CABLE AHOGADOR FZ-16 [PZ]</t>
  </si>
  <si>
    <t>CABLE AHOGADOR GY-200 ''VINI'' [IM]</t>
  </si>
  <si>
    <t>CABLE AHOGADOR XTREET-180 [PZ]</t>
  </si>
  <si>
    <t>CABLE AHOGADOR YBR-125 [PZ]</t>
  </si>
  <si>
    <t>CABLE ASIENTO BICIMOTO 49CC (ST-50) [PZ]</t>
  </si>
  <si>
    <t>CABLE ASIENTO EXPRESS-100 [PZ]</t>
  </si>
  <si>
    <t>CABLE BUJIA 6MM X 1M [PZ]</t>
  </si>
  <si>
    <t>CABLE CAMBIOS 2.10 METROS [PZ]</t>
  </si>
  <si>
    <t>CABLE CTA. KM. CB1-125/CB-125F TWISTER/CBF-150 INVICTA [PZ]</t>
  </si>
  <si>
    <t>CABLE CTA. KM. CB1-125/CG-150/CBF150 [PZ]</t>
  </si>
  <si>
    <t>CABLE CTA. KM. CG-125 (BALATA) [PZ]</t>
  </si>
  <si>
    <t>CABLE CTA. KM. CG-125 (FRENO DISCO)   ''KB7'' [PZ]</t>
  </si>
  <si>
    <t>CABLE CTA. KM. CG-125 [PZ]</t>
  </si>
  <si>
    <t>CABLE CTA. KM. CG-125/150/XL-250  ''KB7'' [PZ]</t>
  </si>
  <si>
    <t>CABLE CTA. KM. CG-125/SPEED-125 (DISCO) [PZ]</t>
  </si>
  <si>
    <t>CABLE CTA. KM. CG-150T/JOB/CB1-125 [PZ]</t>
  </si>
  <si>
    <t>CABLE CTA. KM. CGL-125 [PZ]</t>
  </si>
  <si>
    <t>CABLE CTA. KM. CGL-125/RS-100 [PZ]</t>
  </si>
  <si>
    <t>CABLE CTA. KM. DR-200/RK-150/DR-125CC 4T [PZ]</t>
  </si>
  <si>
    <t>CABLE CTA. KM. DSR-200 [PZ]</t>
  </si>
  <si>
    <t>CABLE CTA. KM. GN-125/HJ125-7 [PZ]</t>
  </si>
  <si>
    <t>CABLE CTA. KM. GN-125/HJ125-7/RK-150 ''VINI'' [IM]</t>
  </si>
  <si>
    <t>CABLE CTA. KM. GN-125/RENEGADE-200/HJ125-7/DSR-200 [PZ]</t>
  </si>
  <si>
    <t>CABLE CTA. KM. GPZ-400R [PZ]</t>
  </si>
  <si>
    <t>CABLE CTA. KM. GS-125 [PZ]</t>
  </si>
  <si>
    <t>CABLE CTA. KM. GS-150 [PZ]</t>
  </si>
  <si>
    <t>CABLE CTA. KM. GXT-200 [PZ]</t>
  </si>
  <si>
    <t>CABLE CTA. KM. GZ-150 [PZ]</t>
  </si>
  <si>
    <t>CABLE CTA. KM. JL-125 [PZ]</t>
  </si>
  <si>
    <t>CABLE CTA. KM. NXR-125 ''VINI'' [IM]</t>
  </si>
  <si>
    <t>CABLE CTA. KM. NXR-150 BROS [PZ]</t>
  </si>
  <si>
    <t>CABLE CTA. KM. NXR-150 BROS/XR-125/TTX-150 [PZ]</t>
  </si>
  <si>
    <t>CABLE CTA. KM. RENEGADE-200/GN-125/HJ125-7/DSR-200 [PZ]</t>
  </si>
  <si>
    <t>CABLE CTA. KM. STORM-125 [PZ]</t>
  </si>
  <si>
    <t>CABLE CTA. KM. TTX-150 [PZ]</t>
  </si>
  <si>
    <t>CABLE CTA. KM. XR-250 TORNADO ''VINI'' [IM]</t>
  </si>
  <si>
    <t>CABLE CTA. KM. XTZ-125 [PZ]</t>
  </si>
  <si>
    <t>CABLE CTA. KM. YBR-125 ''HIBARI'' [PZ]</t>
  </si>
  <si>
    <t>CABLE CTA. KM. YBR-125 [PZ]</t>
  </si>
  <si>
    <t>CABLE CTA. KM. YBR-125/XTZ-125 ''VINI'' [IM]</t>
  </si>
  <si>
    <t>CABLE DESCOMPRESOR XR-250R [OF]</t>
  </si>
  <si>
    <t>CABLE EMBRAGUE ''UNIVERSAL'' [PZ]</t>
  </si>
  <si>
    <t>CABLE EMBRAGUE AX-100 ''VINI'' [IM]</t>
  </si>
  <si>
    <t>CABLE EMBRAGUE AX-4 ''VINI'' [IM]</t>
  </si>
  <si>
    <t>CABLE EMBRAGUE CB-190R ''VINI'' [IM]</t>
  </si>
  <si>
    <t>CABLE EMBRAGUE CB1-125 [PZ]</t>
  </si>
  <si>
    <t>CABLE EMBRAGUE CBF-150 INVICTA [PZ]</t>
  </si>
  <si>
    <t>CABLE EMBRAGUE CBF-150 INVICTA/CB-125F TWISTER ''VINI'' [IM]</t>
  </si>
  <si>
    <t>CABLE EMBRAGUE CBF-150 NEW-INVICTA [PZ]</t>
  </si>
  <si>
    <t>CABLE EMBRAGUE CBX-250 [PZ]</t>
  </si>
  <si>
    <t>CABLE EMBRAGUE DR-160 [PZ]</t>
  </si>
  <si>
    <t>CABLES DE EMBRAGUE</t>
  </si>
  <si>
    <t>CABLE EMBRAGUE DSR-200/TTX-200 [PZ]</t>
  </si>
  <si>
    <t>CABLE EMBRAGUE EN-125 ''VINI'' [IM]</t>
  </si>
  <si>
    <t>CABLE EMBRAGUE FZ-16 ''VINI'' [IM]</t>
  </si>
  <si>
    <t>CABLE EMBRAGUE FZ-16 [PZ]</t>
  </si>
  <si>
    <t>CABLE EMBRAGUE GIXXER-150 ''VINI'' [IM]</t>
  </si>
  <si>
    <t>CABLE EMBRAGUE GIXXER-150 [PZ]</t>
  </si>
  <si>
    <t>CABLE EMBRAGUE GN-125 ''VINI'' [IM]</t>
  </si>
  <si>
    <t>CABLE EMBRAGUE GN-125 [PZ]</t>
  </si>
  <si>
    <t>CABLE EMBRAGUE GN-125/RKS/RKV/TX-200 [PZ]</t>
  </si>
  <si>
    <t>CABLE EMBRAGUE GS-125 [PZ]</t>
  </si>
  <si>
    <t>CABLE EMBRAGUE GS-150R/HJ150-9 COOL [PZ]</t>
  </si>
  <si>
    <t>CABLE EMBRAGUE GS-150R/KA-150/HJ-150-9 COOL [PZ]</t>
  </si>
  <si>
    <t>CABLE EMBRAGUE GXT-200 [PZ]</t>
  </si>
  <si>
    <t>CABLE EMBRAGUE GY-150 [PZ]</t>
  </si>
  <si>
    <t>CABLE EMBRAGUE GY-200 ''VINI'' [IM]</t>
  </si>
  <si>
    <t>CABLE EMBRAGUE HJ125-7 [PZ]</t>
  </si>
  <si>
    <t>CABLE EMBRAGUE JL-125 [PZ]</t>
  </si>
  <si>
    <t>CABLE EMBRAGUE KA-150 [PZ]</t>
  </si>
  <si>
    <t>CABLE EMBRAGUE KA-150/HJ-150 [PZ]</t>
  </si>
  <si>
    <t>CABLE EMBRAGUE MT-03 [PZ]</t>
  </si>
  <si>
    <t>CABLE EMBRAGUE NK-150 [PZ]</t>
  </si>
  <si>
    <t>CABLE EMBRAGUE NXR-150 BROS/XR-200 BRASIL [PZ]</t>
  </si>
  <si>
    <t>CABLE EMBRAGUE PULSAR 180 [PZ]</t>
  </si>
  <si>
    <t>CABLE EMBRAGUE PULSAR-150 NS [PZ]</t>
  </si>
  <si>
    <t>CABLE EMBRAGUE PULSAR-150NS/160NS ''VINI'' [IM]</t>
  </si>
  <si>
    <t>CABLE EMBRAGUE PULSAR-200NS ''VINI'' [IM]</t>
  </si>
  <si>
    <t>CABLE EMBRAGUE PULSAR-200NS [PZ]</t>
  </si>
  <si>
    <t>CABLE EMBRAGUE PULSAR-200RS (OIL COOLED) [PZ]</t>
  </si>
  <si>
    <t>CABLE EMBRAGUE PULSAR-220 ''VINI'' [IM]</t>
  </si>
  <si>
    <t>CABLE EMBRAGUE REX-150 [PZ]</t>
  </si>
  <si>
    <t>CABLE EMBRAGUE SUPERLIGHT ''VINI'' [IM]</t>
  </si>
  <si>
    <t>CABLE EMBRAGUE TAKASAKI WY-125 ''VINI'' [IM]</t>
  </si>
  <si>
    <t>CABLE EMBRAGUE TR150-S [PZ]</t>
  </si>
  <si>
    <t>CABLE EMBRAGUE UNIVERSAL (1.5MT) [PZ]</t>
  </si>
  <si>
    <t>CABLE EMBRAGUE XLR-125/XR-125L ''VINI'' [IM]</t>
  </si>
  <si>
    <t>CABLE EMBRAGUE XR-150L ''VINI'' [IM]</t>
  </si>
  <si>
    <t>CABLE EMBRAGUE XR-150L [PZ]</t>
  </si>
  <si>
    <t>CABLE EMBRAGUE XR-190L ''VINI'' [IM]</t>
  </si>
  <si>
    <t>CABLE EMBRAGUE XR-190L [PZ]</t>
  </si>
  <si>
    <t>CABLE EMBRAGUE XR-200 BRASIL/NXR-150 BROS [PZ]</t>
  </si>
  <si>
    <t>CABLE EMBRAGUE XR-250 TORNADO ''VINI'' [IM]</t>
  </si>
  <si>
    <t>CABLE EMBRAGUE XR-250 TORNADO [PZ]</t>
  </si>
  <si>
    <t>CABLE EMBRAGUE XR-250 TORNADO/XRE-300 HIBARI [PZ]</t>
  </si>
  <si>
    <t>CABLE EMBRAGUE XRE-300 [PZ]</t>
  </si>
  <si>
    <t>CABLE EMBRAGUE XTZ-250 [PZ]</t>
  </si>
  <si>
    <t>CABLE EMBRAGUE YBR-125 [PZ]</t>
  </si>
  <si>
    <t>CABLE EMBRAGUE YBR-125Z [PZ]</t>
  </si>
  <si>
    <t>CABLE FRENO 1.75 METROS [PZ]</t>
  </si>
  <si>
    <t>CABLE FRENO CB1-125 [PZ]</t>
  </si>
  <si>
    <t>CABLE FRENO DELANTERO CG-125 [PZ]</t>
  </si>
  <si>
    <t>CABLE FRENO DELANTERO XL-125/XL-185 [PZ]</t>
  </si>
  <si>
    <t>CABLE FRENO TRASERO CB1-125 [PZ]</t>
  </si>
  <si>
    <t>CABLE FRENO TRASERO SCOOTER-125 [PZ]</t>
  </si>
  <si>
    <t>CABLE FRENO TRASERO SCOOTER-125/150 GY6 ''VINI'' [IM]</t>
  </si>
  <si>
    <t>CABLE FRENO TRASERO VS-125 [PZ]</t>
  </si>
  <si>
    <t>CABLE SWITCH FRENO DELANTERO [PZ]</t>
  </si>
  <si>
    <t>CABLE TACOMETRO CG-125/HJ125-7 [PZ]</t>
  </si>
  <si>
    <t>CABLE TACOMETRO GN-125H / GS-125 ''VINI'' [IM]</t>
  </si>
  <si>
    <t>CABLE TACOMETRO GN-125H [PZ]</t>
  </si>
  <si>
    <t>CABLE USB-IPHONE UNIVERSAL [PZ]</t>
  </si>
  <si>
    <t>CABLE USB-USB TIPO C UNIVERSAL [PZ]</t>
  </si>
  <si>
    <t>CABLES ELECTRICOS. JGO. YBR-125 [PZ]</t>
  </si>
  <si>
    <t>CABLES ELECTRICOS. TABLERO ''SPEED 125'' [PZ]</t>
  </si>
  <si>
    <t>CACHIMBA BUJIA ''NGK'' (GOMA) [PZ]</t>
  </si>
  <si>
    <t>CACHIMBAS</t>
  </si>
  <si>
    <t>CACHIMBA BUJIA BICIMOTO 49CC (ST-50) [PZ]</t>
  </si>
  <si>
    <t>CACHIMBA BUJIA CG-125 [PZ]</t>
  </si>
  <si>
    <t>CACHIMBA BUJIA CG-150T/JOB [PZ]</t>
  </si>
  <si>
    <t>CACHIMBA BUJIA DUKE-200/250/390 [PZ]</t>
  </si>
  <si>
    <t>CACHIMBA BUJIA EN-125 [PZ]</t>
  </si>
  <si>
    <t>CACHIMBA BUJIA FZ-16 [PZ]</t>
  </si>
  <si>
    <t>CACHIMBA BUJIA SCOOTER ''GY6''(80992-80993) [PZ]</t>
  </si>
  <si>
    <t>CACHIMBA BUJIA SCOOTER [PZ]</t>
  </si>
  <si>
    <t>CACHIMBA BUJIA UNIVERSAL [PZ]</t>
  </si>
  <si>
    <t>CACHIMBA BUJIA XTZ-125/YBR-125 (80988-80993) [PZ]</t>
  </si>
  <si>
    <t>CACHIMBA BUJIA YZF-R15/FZ-16 [PZ]</t>
  </si>
  <si>
    <t>CADENA 420-110JP ''NPC'' [PZ]</t>
  </si>
  <si>
    <t>CADENAS</t>
  </si>
  <si>
    <t>CADENA 420-126 ''CHOHO'' [PZ]</t>
  </si>
  <si>
    <t>CADENA 428H-110 ''NPC'' [PZ]</t>
  </si>
  <si>
    <t>CADENA 428H-120 ''NPC'' [PZ]</t>
  </si>
  <si>
    <t>CADENA 428H-124 ''NPC'' [PZ]</t>
  </si>
  <si>
    <t>CADENA 428H-132 ''NPC'' [PZ]</t>
  </si>
  <si>
    <t>CADENA 428H-134 ''D.I.D'' [PZ]</t>
  </si>
  <si>
    <t>CADENA 428H-140 ''RIFFEL DORADA'' [PZ]</t>
  </si>
  <si>
    <t>CADENA 428H-140 ''RIFFEL'' [PZ]</t>
  </si>
  <si>
    <t>CADENA 428H-140 ''TAYA'' [PZ]</t>
  </si>
  <si>
    <t>CADENA 428H-140 ''VINI DORADA'' [IM]</t>
  </si>
  <si>
    <t>CADENA 428H-142 ''RIFFEL'' [PZ]</t>
  </si>
  <si>
    <t>CADENA 428H-150 ''NPC'' [PZ]</t>
  </si>
  <si>
    <t>CADENA 428OH-140 ''RIFFEL'' C/O´RING [PZ]</t>
  </si>
  <si>
    <t>CADENA 428V-124 ''NPC'' C/O´RING [PZ]</t>
  </si>
  <si>
    <t>CADENA 428V-132 ''NPC'' C/O´RING [PZ]</t>
  </si>
  <si>
    <t>CADENA 520-104 ''NPC'' [PZ]</t>
  </si>
  <si>
    <t>CADENA 520H-110 ''NPC'' [PZ]</t>
  </si>
  <si>
    <t>CADENA 520H-120 ''NPC'' [PZ]</t>
  </si>
  <si>
    <t>CADENA 520H-120 ''RIFFEL DORADA'' C/O´RING [PZ]</t>
  </si>
  <si>
    <t>CADENA 520H-120 ''RIFFEL DORADA'' [PZ]</t>
  </si>
  <si>
    <t>CADENA 520H-120 ''RIFFEL'' [PZ]</t>
  </si>
  <si>
    <t>CADENA 520H-120 ''VINI DORADA'' [PZ]</t>
  </si>
  <si>
    <t>CADENA 520V-120 ''NPC''  C/O´RING [PZ]</t>
  </si>
  <si>
    <t>CADENA 520V-124 ''CHOHO'' C/O´RING [PZ]</t>
  </si>
  <si>
    <t>CADENA 525H-120 ''NPC'' C/O'RING [PZ]</t>
  </si>
  <si>
    <t>CADENA 525H-124 ''CHOHO'' [PZ]</t>
  </si>
  <si>
    <t>CADENA 525VX3-120 REFORZADA C/ X'RING ''D.I.D'' [PZ]</t>
  </si>
  <si>
    <t>CADENA 525VX3-124 REFORZADA C/ X'RING ''D.I.D'' [PZ]</t>
  </si>
  <si>
    <t>CADENA 525VX3-130 REFORZADA C/ X'RING ''D.I.D'' [PZ]</t>
  </si>
  <si>
    <t>CADENA 530-120 ''D.I.D.'' [PZ]</t>
  </si>
  <si>
    <t>CADENA DISTRIBUCION CB-190 ''NPC'' (404H-98) [PZ]</t>
  </si>
  <si>
    <t>CADENA DISTRIBUCION CB190R ''NPC'' (409H-98) [PZ]</t>
  </si>
  <si>
    <t>CADENA DISTRIBUCION CBF-125 STUNNER (25H-94) ''NPC'' [PZ]</t>
  </si>
  <si>
    <t>CADENA DISTRIBUCION CBF-150/INVICTA ''NPC'' [PZ]</t>
  </si>
  <si>
    <t>CADENA DISTRIBUCION CBX-250/TORNADO (409H-126) ''NPC'' [PZ]</t>
  </si>
  <si>
    <t>CADENA DISTRIBUCION CBX-250/TORNADO 409H-126L ''VINI'' [IM]</t>
  </si>
  <si>
    <t>CADENA DISTRIBUCION CG-125/CG-200 ''NPC'' [PZ]</t>
  </si>
  <si>
    <t>CADENA DISTRIBUCION DR/GXT-200 ''VINI'' (25H-102L) [IM]</t>
  </si>
  <si>
    <t>CADENA DISTRIBUCION GPZ-400 ''NPC'' [PZ]</t>
  </si>
  <si>
    <t>CADENA DISTRIBUCION KLR-250 ''NPC'' [PZ]</t>
  </si>
  <si>
    <t>CADENA DISTRIBUCION ROVER-250 (409H-100L) ''NPC'' [PZ]</t>
  </si>
  <si>
    <t>CADENA DISTRIBUCION SCOOTER (404H-90) [PZ]</t>
  </si>
  <si>
    <t>CADENA DISTRIBUCION SUZUKI K24S/Z20/Z24 URBAN ''NPC'' [PZ]</t>
  </si>
  <si>
    <t>CADENA DISTRIBUCION XF-650 / DR 650CC MONO CARB 4T ''NPC'' [PZ]</t>
  </si>
  <si>
    <t>CADENA DISTRIBUCION XL/XR-200 (404H-102) ''NPC'' [PZ]</t>
  </si>
  <si>
    <t>CADENA DISTRIBUCION XR-200/CTX-200 ''VINI'' [IM]</t>
  </si>
  <si>
    <t>CADENA DISTRIBUCION XR-250R (96/04) ''NPC'' [PZ]</t>
  </si>
  <si>
    <t>CADENA DISTRIBUCION XR-600R/MT-03 ''NPC'' [PZ]</t>
  </si>
  <si>
    <t>CADENA DISTRIBUCION XT-125/200/225 ''NPC'' [PZ]</t>
  </si>
  <si>
    <t>CADENA DISTRIBUCION XTZ-250 (404H-104) ''NPC'' [PZ]</t>
  </si>
  <si>
    <t>CADENA DISTRIBUCION XV-400/XR-600 [PZ]</t>
  </si>
  <si>
    <t>CADENA DISTRIBUCION YBR-125 ''NPC'' [PZ]</t>
  </si>
  <si>
    <t>CADENA SEGURIDAD '' UNIVERSAL'' 1. MTS [PZ]</t>
  </si>
  <si>
    <t>CADENA SEGURIDAD '' UNIVERSAL'' 1.2 MTS [PZ]</t>
  </si>
  <si>
    <t>CADENA SEGURIDAD 21MM X 1.5 MTS ''LUMÀ'' [PZ]</t>
  </si>
  <si>
    <t>CADENA SEGURIDAD 24MM X 1.5 MTS ''LUMÀ'' [PZ]</t>
  </si>
  <si>
    <t>CADENA SEGURIDAD 30MM X 1.5 MTS. [PZ]</t>
  </si>
  <si>
    <t>CADENA SEGURIDAD C/CLAVE 1.2 MT. [PZ]</t>
  </si>
  <si>
    <t>CADENA SEGURIDAD MOTO (1 MT) [PZ]</t>
  </si>
  <si>
    <t>CADENA SEGURIDAD UNIVERSAL 18X100 CMS. [PZ]</t>
  </si>
  <si>
    <t>CADENA SEGURIDAD UNIVERSAL 20X150 CMS. [PZ]</t>
  </si>
  <si>
    <t>CADENA SEGURIDAD UNIVERSAL C/ALARMA [PZ]</t>
  </si>
  <si>
    <t>CADENA SEGURIDAD UNIVERSAL [PZ]</t>
  </si>
  <si>
    <t>CAJA ABRAZADERA MANGUERA [PZ]</t>
  </si>
  <si>
    <t>CAJA CAMBIO CB-190 [PZ]</t>
  </si>
  <si>
    <t>CAJAS DE CAMBIO</t>
  </si>
  <si>
    <t>CAJA CAMBIOS 49 CC. [PZ]</t>
  </si>
  <si>
    <t>CAJA CAMBIOS CB-190R [PZ]</t>
  </si>
  <si>
    <t>CAJA CAMBIOS CB1-125/CB-125F TWISTER ''VINI'' [IM]</t>
  </si>
  <si>
    <t>CAJA CAMBIOS CG-150T/JOB/INVICTA [PZ]</t>
  </si>
  <si>
    <t>CAJA CAMBIOS CG-200 [PZ]</t>
  </si>
  <si>
    <t>CAJA CAMBIOS FZ-16 [PZ]</t>
  </si>
  <si>
    <t>CAJA CAMBIOS GN-125 [PZ]</t>
  </si>
  <si>
    <t>CAJA CAMBIOS GN-125H ''VINI'' [IM]</t>
  </si>
  <si>
    <t>CAJA CAMBIOS JL-110 [PZ]</t>
  </si>
  <si>
    <t>CAJA CAMBIOS PIT-BIKE 110/125 CC [PZ]</t>
  </si>
  <si>
    <t>CAJA CAMBIOS PIT-BIKE MOTO 49CC [PZ]</t>
  </si>
  <si>
    <t>CAJA CAMBIOS XTZ-125 [PZ]</t>
  </si>
  <si>
    <t>CAJA CAMBIOS YBR-125 ''VINI'' [IM]</t>
  </si>
  <si>
    <t>CAJA GOLILLAS METALICA. JGO. [PZ]</t>
  </si>
  <si>
    <t>CAJA GOLILLAS METALICAS COBRE. JGO. [PZ]</t>
  </si>
  <si>
    <t>CAJA GOLILLAS METALICAS CROMADA. JGO. [PZ]</t>
  </si>
  <si>
    <t>CAJA GOLILLAS PLASTICAS. JGO. [PZ]</t>
  </si>
  <si>
    <t>CAJA ORING. JGO. [PZ]</t>
  </si>
  <si>
    <t>CAJA PERNOS ALLEN 3/4/5 MM. [PZ]</t>
  </si>
  <si>
    <t>CAJA PERNOS ALLEN 4/5/6/8 MM. [PZ]</t>
  </si>
  <si>
    <t>CAJA SEGUROS SEGER [PZ]</t>
  </si>
  <si>
    <t>CAJA TERMINALES MACHOS Y HEMBRA [PZ]</t>
  </si>
  <si>
    <t>CAJA TRANSMISION POCKET [PZ]</t>
  </si>
  <si>
    <t>CALIPER COMPLETO EUROMOT ''SCOOTER'' [PZ]</t>
  </si>
  <si>
    <t>CALIPERS</t>
  </si>
  <si>
    <t>CALIPER FRENO DELANTERO CG-125/150 ''VINI'' [IM]</t>
  </si>
  <si>
    <t>CALIPER FRENO DELANTERO CG-125/150 [PZ]</t>
  </si>
  <si>
    <t>CALIPER FRENO DELANTERO CRYPTON-115 ''VINI'' [IM]</t>
  </si>
  <si>
    <t>CALIPER FRENO DELANTERO EXPRESS-100 [PZ]</t>
  </si>
  <si>
    <t>CALIPER FRENO DELANTERO FZ-16/FZN-150 (2.0) [PZ]</t>
  </si>
  <si>
    <t>CALIPER FRENO DELANTERO PULSAR 180/220 [PZ]</t>
  </si>
  <si>
    <t>CALIPER FRENO DELANTERO XR-125L/XR-150L [PZ]</t>
  </si>
  <si>
    <t>CALIPER FRENO DELANTERO YBR-125 ''VINI'' [IM]</t>
  </si>
  <si>
    <t>CALIPER FRENO DELANTERO YBR-125 [PZ]</t>
  </si>
  <si>
    <t>CAMARA (10) 300/350X10 ''SUPER-RUN'' [PZ]</t>
  </si>
  <si>
    <t>CAMARAS</t>
  </si>
  <si>
    <t>CAMARA (10) 300X10 ''DURO'' [PZ]</t>
  </si>
  <si>
    <t>CAMARA (10) 300X10 [PZ]</t>
  </si>
  <si>
    <t>CAMARA (10) 350X10 ''KAISER'' [PZ]</t>
  </si>
  <si>
    <t>CAMARA (12) 120/70X12 ''SUPER-RUN'' [PZ]</t>
  </si>
  <si>
    <t>CAMARA (12) 300/350X12 ''DURO'' [PZ]</t>
  </si>
  <si>
    <t>CAMARA (13) 130/60X13 ''SUPER-RUN'' [PZ]</t>
  </si>
  <si>
    <t>CAMARA (14) 275/300X14 ''DURO'' [PZ]</t>
  </si>
  <si>
    <t>CAMARA (14) 275/300X14 ''SUPER-RUN'' [PZ]</t>
  </si>
  <si>
    <t>CAMARA (15) 130/90X15 ''DURO'' [PZ]</t>
  </si>
  <si>
    <t>CAMARA (15) 130/90X15 ''SUPER-RUN'' [PZ]</t>
  </si>
  <si>
    <t>CAMARA (16) 275/300X16 ''CHENG-SHIN'' [PZ]</t>
  </si>
  <si>
    <t>CAMARA (16) 325/350X16 ''DURO'' [PZ]</t>
  </si>
  <si>
    <t>CAMARA (16) 325/350X16 ''SUPER-RUN'' [PZ]</t>
  </si>
  <si>
    <t>CAMARA (16) 350/400X16 ''DURO'' [PZ]</t>
  </si>
  <si>
    <t>CAMARA (16) 400/450X16 ''SUPER-RUN'' [PZ]</t>
  </si>
  <si>
    <t>CAMARA (17) 275/300X17 ''DURO'' [PZ]</t>
  </si>
  <si>
    <t>CAMARA (17) 275/300X17 ''SUPER-RUN'' [PZ]</t>
  </si>
  <si>
    <t>CAMARA (17) 275/300X17 ''VINI'' [IM]</t>
  </si>
  <si>
    <t>CAMARA (17) 275/300X17 [PZ]</t>
  </si>
  <si>
    <t>CAMARA (17) 350/400X17 ''DURO'' [PZ]</t>
  </si>
  <si>
    <t>CAMARA (17) 350/400X17 ''SUPER-RUN'' [PZ]</t>
  </si>
  <si>
    <t>CAMARA (17) 400/450X17 ''DURO'' [PZ]</t>
  </si>
  <si>
    <t>CAMARA (17) 400/460X17 ''SUPER-RUN'' [PZ]</t>
  </si>
  <si>
    <t>CAMARA (18) 100/100X18 ''MAXXIS'' EXTRA HEAVY DUTY [PZ]</t>
  </si>
  <si>
    <t>CAMARA (18) 275/300X18 ''CHENG-SHIN'' [IM]</t>
  </si>
  <si>
    <t>CAMARA (18) 275/300X18 ''DURO'' [PZ]</t>
  </si>
  <si>
    <t>CAMARA (18) 275/300X18 ''SUPER-RUN'' [PZ]</t>
  </si>
  <si>
    <t>CAMARA (18) 275/300X18 ''VINI'' [IM]</t>
  </si>
  <si>
    <t>CAMARA (18) 300/350X18 ''DURO'' [PZ]</t>
  </si>
  <si>
    <t>CAMARA (18) 325/350X18 ''KAISER'' [PZ]</t>
  </si>
  <si>
    <t>CAMARA (18) 350/400X18 ''DURO'' [PZ]</t>
  </si>
  <si>
    <t>CAMARA (18) 350/400X18 ''SUPER-RUN'' [PZ]</t>
  </si>
  <si>
    <t>CAMARA (18) 350X18 ''DURO'' [PZ]</t>
  </si>
  <si>
    <t>CAMARA (18) 400/450X18 ''DURO'' [PZ]</t>
  </si>
  <si>
    <t>CAMARA (18) 400/450X18 ''VINI'' [IM]</t>
  </si>
  <si>
    <t>CAMARA (18) 410/460X18 ''SUPER-RUN'' [PZ]</t>
  </si>
  <si>
    <t>CAMARA (18) 410X18 ''DURO'' [PZ]</t>
  </si>
  <si>
    <t>CAMARA (18) 460/510X18 ''CHENG-SHIN'' [PZ]</t>
  </si>
  <si>
    <t>CAMARA (18) 460/510X18 ''DURO'' [PZ]</t>
  </si>
  <si>
    <t>CAMARA (18) 460/510X18 ''SUPER-RUN'' [PZ]</t>
  </si>
  <si>
    <t>CAMARA (18) 460/510X18 [PZ]</t>
  </si>
  <si>
    <t>CAMARA (18) 460X18 ''TIMSUN'' [PZ]</t>
  </si>
  <si>
    <t>CAMARA (19) 110/80X19 TRA ''TIMSUN'' [PZ]</t>
  </si>
  <si>
    <t>CAMARA (19) 275/300X19 ''DURO'' [PZ]</t>
  </si>
  <si>
    <t>CAMARA (19) 275/300X19 ''KAISER'' [PZ]</t>
  </si>
  <si>
    <t>CAMARA (19) 275/300X19 ''SUPER-RUN'' [PZ]</t>
  </si>
  <si>
    <t>CAMARA (19) 350/400X19 ''DURO'' [PZ]</t>
  </si>
  <si>
    <t>CAMARA (19) 350/400X19 ''KAISER'' [PZ]</t>
  </si>
  <si>
    <t>CAMARA (19) 350X19 ''DURO'' [PZ]</t>
  </si>
  <si>
    <t>CAMARA (19) 400/460X19 ''SUPER-RUN'' [PZ]</t>
  </si>
  <si>
    <t>CAMARA (21) 275/300X21 ''CHENG-SHIN'' [PZ]</t>
  </si>
  <si>
    <t>CAMARA (21) 275/300X21 ''DURO'' [PZ]</t>
  </si>
  <si>
    <t>CAMARA (21) 275/300X21 ''JALYN'' [PZ]</t>
  </si>
  <si>
    <t>CAMARA (21) 275/300X21 ''SUPER-RUN'' [PZ]</t>
  </si>
  <si>
    <t>CAMARA (21) 275/300X21 ''VINI'' [IM]</t>
  </si>
  <si>
    <t>CAMBIO: ACEITE</t>
  </si>
  <si>
    <t>SERVICIO DE TALLER</t>
  </si>
  <si>
    <t>0-150CC</t>
  </si>
  <si>
    <t>160-400CC</t>
  </si>
  <si>
    <t>450-1000CC</t>
  </si>
  <si>
    <t>CAMBIO: AMPOLLETA FOCO DELANTERO</t>
  </si>
  <si>
    <t>CAMBIO: BOMBA DE FRENO CON LÍQUIDO DOT3 - DOT4</t>
  </si>
  <si>
    <t>CAMBIO: CABLE DE FRENO DELANTERO</t>
  </si>
  <si>
    <t>CAMBIO: CABLE DE FRENO TRASERO SCOOTER</t>
  </si>
  <si>
    <t>CAMBIO: FILTRO DE AIRE</t>
  </si>
  <si>
    <t>CAMBIO: FOCO DELANTERO</t>
  </si>
  <si>
    <t>CAMBIO: FOCOS SEÑALIZADORES CARENADO</t>
  </si>
  <si>
    <t>CAMBIO: FOCOS SEÑALIZADORES NAKED</t>
  </si>
  <si>
    <t>CAMBIO: MANILLA DE EMBRAGUE O FRENO</t>
  </si>
  <si>
    <t>CAMBIO: MANILLAR DE EMBRAGUE O FRENO</t>
  </si>
  <si>
    <t>CAMBIO: NEUMÁTICO DELANTERO C/S CÁMARA</t>
  </si>
  <si>
    <t>CAMBIO: NEUMÁTICO TRASERO C/S CÁMARA</t>
  </si>
  <si>
    <t>CAMBIO: PASTILLAS DE FRENO DELANTERAS</t>
  </si>
  <si>
    <t>CAMBIO: PASTILLAS DE FRENO TRASERAS</t>
  </si>
  <si>
    <t>CAMBIO: PATINES DE FRENO DELANTEROS</t>
  </si>
  <si>
    <t>CAMBIO: PATINES DE FRENO TRASEROS</t>
  </si>
  <si>
    <t>CAMBIO: RETENES DE HORQUILLA</t>
  </si>
  <si>
    <t>CAMBIO: TRANSMISIÓN</t>
  </si>
  <si>
    <t>450-1000cc</t>
  </si>
  <si>
    <t>CAMBIO: VARILLA DE FRENO</t>
  </si>
  <si>
    <t>CAMPANA EMBRAGUE C/PIÑON FZ-16 [PZ]</t>
  </si>
  <si>
    <t>CAMPANAS</t>
  </si>
  <si>
    <t>CAMPANA EMBRAGUE CB-190R [PZ]</t>
  </si>
  <si>
    <t>CAMPANA EMBRAGUE CB1-125 TUF [PZ]</t>
  </si>
  <si>
    <t>CAMPANA EMBRAGUE CBF-150 INVICTA [PZ]</t>
  </si>
  <si>
    <t>CAMPANA EMBRAGUE CENTRIFUGO SCOOTER (GY6) [PZ]</t>
  </si>
  <si>
    <t>CAMPANA EMBRAGUE CG-125 [PZ]</t>
  </si>
  <si>
    <t>CAMPANA EMBRAGUE FZ-16 [PZ]</t>
  </si>
  <si>
    <t>CAMPANA EMBRAGUE XR-150L [PZ]</t>
  </si>
  <si>
    <t>CAMPANA EMBRAGUE YBR-125 [PZ]</t>
  </si>
  <si>
    <t>CANASTILLO BIELA CHICO WR-250/YZ-250 [PZ]</t>
  </si>
  <si>
    <t>CANASTILLO BIELA GRANDE CBX-250/TORNADO/XL-200 [PZ]</t>
  </si>
  <si>
    <t>CANASTILLO BIELA GRANDE CG-150T/JOB/INVICTA [PZ]</t>
  </si>
  <si>
    <t>CANASTILLO CARCAZA MOTOR 15-23-12 [PZ]</t>
  </si>
  <si>
    <t>CANDADO CADENA 420 [PZ]</t>
  </si>
  <si>
    <t>CANDADOS</t>
  </si>
  <si>
    <t>CANDADO CADENA 428 [PZ]</t>
  </si>
  <si>
    <t>CANDADO CADENA 520 [PZ]</t>
  </si>
  <si>
    <t>CANDADO CADENA 520-O [PZ]</t>
  </si>
  <si>
    <t>CANDADO CADENA 530-O [PZ]</t>
  </si>
  <si>
    <t>CANDADO DISCO FRENO ''LUMA'' BASIC ENDURO 73C [PZ]</t>
  </si>
  <si>
    <t>VERDE</t>
  </si>
  <si>
    <t>CANDADO DISCO FRENO ''LUMA'' GRAN ENDURO 91D [PZ]</t>
  </si>
  <si>
    <t>AZUL</t>
  </si>
  <si>
    <t>CANDADO DISCO FRENO ''LUMA'' MINI ENDURO 92D [PZ]</t>
  </si>
  <si>
    <t>NARANJO</t>
  </si>
  <si>
    <t>CANDADO DISCO FRENO ''LUMA'' NETLOCK 905 [PZ]</t>
  </si>
  <si>
    <t>AMARILLO</t>
  </si>
  <si>
    <t>CANDADO DISCO FRENO (AMARILLO) [PZ]</t>
  </si>
  <si>
    <t>CANDADO DISCO FRENO (ROJO) [PZ]</t>
  </si>
  <si>
    <t>CANDADO DISCO FRENO C/ALARMA Y RECORDATORIO [PZ]</t>
  </si>
  <si>
    <t>FLÚOR</t>
  </si>
  <si>
    <t>ROJO</t>
  </si>
  <si>
    <t>CANDADO DISCO FRENO C/ALARMA [PZ]</t>
  </si>
  <si>
    <t>CANDADO MANILLA DE FRENO UNIVERSAL [PZ]</t>
  </si>
  <si>
    <t>CANDADO MANILLA FRENO (AZUL) [PZ]</t>
  </si>
  <si>
    <t>CANDADO MANILLA FRENO (CROMADO) [PZ]</t>
  </si>
  <si>
    <t>CANDADO MANILLA FRENO (DORADO) [PZ]</t>
  </si>
  <si>
    <t>CANDADO MANILLA FRENO (NEGRO) [PZ]</t>
  </si>
  <si>
    <t>CANDADO MANILLA FRENO (ROJO) [PZ]</t>
  </si>
  <si>
    <t>CANDADO MANILLA FRENO UNIVERSAL [PZ]</t>
  </si>
  <si>
    <t>CARBONES MOTOR PARTIDA. JGO. CBF-150 INVICTA/XR-150L ''VINI'' [IM]</t>
  </si>
  <si>
    <t>CARBONES</t>
  </si>
  <si>
    <t>CARBONES MOTOR PARTIDA. JGO. CG-125/XR-200 ''VINI'' [IM]</t>
  </si>
  <si>
    <t>CARBONES MOTOR PARTIDA. JGO. FZ-16 ''VINI'' [IM]</t>
  </si>
  <si>
    <t>CARBONES MOTOR PARTIDA. JGO. FZS/YZF R-15 ''VINI'' [IM]</t>
  </si>
  <si>
    <t>CARBONES MOTOR PARTIDA. JGO. GN-125/RKS-125/RKS-150 ''VINI'' [IM]</t>
  </si>
  <si>
    <t>CARBONES MOTOR PARTIDA. JGO. TIPO CG ''VINI [IM]</t>
  </si>
  <si>
    <t>CARBONES MOTOR PARTIDA. JGO. XTZ-125/YBR-125 ''VINI'' [IM]</t>
  </si>
  <si>
    <t>CARBURADOR AN-125 [PZ]</t>
  </si>
  <si>
    <t>CARBURADOR</t>
  </si>
  <si>
    <t>CARBURADOR ATV-125 ''VINI'' [IM]</t>
  </si>
  <si>
    <t>CARBURADORES</t>
  </si>
  <si>
    <t>CARBURADOR ATV/BICIMOTO 49CC (ST-50) ''VINI'' [IM]</t>
  </si>
  <si>
    <t>CARBURADOR AX-4 ''VINI'' [IM]</t>
  </si>
  <si>
    <t>CARBURADOR CB-1 (NORMAL) [PZ]</t>
  </si>
  <si>
    <t>CARBURADOR CB1 ASISTIDO INYECTADO [PZ]</t>
  </si>
  <si>
    <t>CARBURADOR CB1-125 ''VINI'' [IM]</t>
  </si>
  <si>
    <t>CARBURADOR CB1-125/CB125F TWISTER [PZ]</t>
  </si>
  <si>
    <t>CARBURADOR CG-100 (PZ19) [PZ]</t>
  </si>
  <si>
    <t>CARBURADOR CG-125 (PZ26) [PZ]</t>
  </si>
  <si>
    <t>CARBURADOR CG-125 TITAN [PZ]</t>
  </si>
  <si>
    <t>CARBURADOR CG-125/150/KA-150/RK-150 (PZ26) ''VINI'' [IM]</t>
  </si>
  <si>
    <t>CARBURADOR CG-150/RK-150/TTX-150 (PZ27) [PZ]</t>
  </si>
  <si>
    <t>CARBURADOR CG-200 (PZ30A) [PZ]</t>
  </si>
  <si>
    <t>CARBURADOR CG-200/250 DIAFRAGMA ''VINI'' [IM]</t>
  </si>
  <si>
    <t>CARBURADOR CG-200/TTX-250 LIMITED (PZ30B) C/BOMBA PIQUE [PZ]</t>
  </si>
  <si>
    <t>CARBURADOR CHOPPER-250 (DOBLE) [PZ]</t>
  </si>
  <si>
    <t>CARBURADOR DY-100 [PZ]</t>
  </si>
  <si>
    <t>CARBURADOR FZ-16 (1 CABLE) [PZ]</t>
  </si>
  <si>
    <t>CARBURADOR FZ-16 (DOBLE CABLE) ''VINI'' [IM]</t>
  </si>
  <si>
    <t>CARBURADOR FZ-16 (DOBLE CABLE) [PZ]</t>
  </si>
  <si>
    <t>CARBURADOR GIXXER-150 [PZ]</t>
  </si>
  <si>
    <t>CARBURADOR GN-125H (MODELO VIEJO) [PZ]</t>
  </si>
  <si>
    <t>CARBURADOR JH-70 [PZ]</t>
  </si>
  <si>
    <t>CARBURADOR JL-110/TA-110 (PZ22) [PZ]</t>
  </si>
  <si>
    <t>CARBURADOR KA-150 [PZ]</t>
  </si>
  <si>
    <t>CARBURADOR PE-30 ROJO ''VINI HOT PARTS'' [IM]</t>
  </si>
  <si>
    <t>CARBURADOR POCKET [PZ]</t>
  </si>
  <si>
    <t>CARBURADOR SCOOTER 125/150 [PZ]</t>
  </si>
  <si>
    <t>CARBURADOR SCOOTER-125 [PZ]</t>
  </si>
  <si>
    <t>CARBURADOR UNIVERSAL ''RACING'' 2T/4T [PZ]</t>
  </si>
  <si>
    <t>CARBURADOR UNIVERSAL (PZ30) [PZ]</t>
  </si>
  <si>
    <t>CARBURADOR XL-125S/CG-125 CHINA ''VINI'' [IM]</t>
  </si>
  <si>
    <t>CARBURADOR XTZ-125 (DOBLE CABLE) [PZ]</t>
  </si>
  <si>
    <t>CARBURADOR XV-250 (DOBLE PIOLA) [PZ]</t>
  </si>
  <si>
    <t>CARBURADOR YW-125 BWS ''VINI'' [IM]</t>
  </si>
  <si>
    <t>CARGADOR BATERIA 12V/10A [PZ]</t>
  </si>
  <si>
    <t>CARGADOR BATERIAS 6V/14V UNIVERSAL [PZ]</t>
  </si>
  <si>
    <t>CARGADOR NOTEBOOK UNIVERSAL [PZ]</t>
  </si>
  <si>
    <t>CARGADOR USB + ENCENDEDOR C/BOTON [PZ]</t>
  </si>
  <si>
    <t>CARGADOR USB [PZ]</t>
  </si>
  <si>
    <t>CARPA ATV VERDE (208*122*80 CMS) TALLA M [PZ]</t>
  </si>
  <si>
    <t>CARPA MOTOCICLETA (L) [PZ]</t>
  </si>
  <si>
    <t>CARPA MOTOCICLETA (M) [PZ]</t>
  </si>
  <si>
    <t>CARPA MOTOCICLETA (XL) [PZ]</t>
  </si>
  <si>
    <t>CARPA MOTOCICLETA (XXL) [PZ]</t>
  </si>
  <si>
    <t>CASCO ABATIBLE 158 LINEA NEG/AMAR/FLUOR (XL) [PZ]</t>
  </si>
  <si>
    <t>CASCOS</t>
  </si>
  <si>
    <t>XL Negro</t>
  </si>
  <si>
    <t>CASCO ABATIBLE 158 XECURO AMARILLO/FLUOR (XL) [PZ]</t>
  </si>
  <si>
    <t>CASCO ABATIBLE 158 XECURO NEG/ROJO (L) [PZ]</t>
  </si>
  <si>
    <t>CASCO ABATIBLE 158 XECURO NER/AMAR/FLUOR (XL) [PZ]</t>
  </si>
  <si>
    <t>CASCO ALEMÁN CHOPPER TALLA: L</t>
  </si>
  <si>
    <t>CASCO CROSS PRO-BIKER BLANCO (M) [PZ]</t>
  </si>
  <si>
    <t>CASCO GHB ROJO/NEGRO TALLA: L (SIN GARANTÍA)</t>
  </si>
  <si>
    <t>CASCO INTEGRAL 626 DOT SOLID MATTE BLACK L [PZ]</t>
  </si>
  <si>
    <t>L Negro</t>
  </si>
  <si>
    <t>CASCO INTEGRAL 626 DOT SOLID MATTE BLACK XL [PZ]</t>
  </si>
  <si>
    <t>CASCO INTEGRAL HD BLANCO (M) [PZ]</t>
  </si>
  <si>
    <t>Blanco</t>
  </si>
  <si>
    <t>CASCO INTEGRAL HD NEGRO (M) [PZ]</t>
  </si>
  <si>
    <t>Negro</t>
  </si>
  <si>
    <t>CASCO INTEGRAL HD NEGRO (S) [PZ]</t>
  </si>
  <si>
    <t>S Negro</t>
  </si>
  <si>
    <t>CASCO INTEGRAL JH-801 ''FHORSE'' AMARILLO/NEGRO (L) [PZ]</t>
  </si>
  <si>
    <t>CASCO INTEGRAL JH-801 ''FHORSE'' AMARILLO/NEGRO (XL) [PZ]</t>
  </si>
  <si>
    <t>CASCO INTEGRAL JH-801 ''FHORSE'' NEGRO/GRIS (XL) [PZ]</t>
  </si>
  <si>
    <t>CASCO INTEGRAL JH-802 ''FHORSE'' NEGRO MATE (XL) [PZ]</t>
  </si>
  <si>
    <t>CASCO INTEGRAL LS2 FF320 [OF]</t>
  </si>
  <si>
    <t xml:space="preserve"> STREAM EVO FLAUX NEGRO/ROJO (TALLA: XL) [OF]</t>
  </si>
  <si>
    <t xml:space="preserve"> STREAM EVO XPLORER BLANCO/ROJO (TALLA: XXL) [OF]</t>
  </si>
  <si>
    <t>STREAM EVO FLAUX NEGRO/ROJO (TALLA: L) [OF]</t>
  </si>
  <si>
    <t>STREAM EVO HUNTER NARANJO/FLUOR MATTE (TALLA: M)</t>
  </si>
  <si>
    <t>STREAM EVO HYPE (M)</t>
  </si>
  <si>
    <t>STREAM EVO HYPE NEGRO/BLANCO/TITANIUM MATTE (TALLA: L) [OF]</t>
  </si>
  <si>
    <t>STREAM EVO MERCURY MORADO/TITANIUM MATTE (TALLA: M) [OF]</t>
  </si>
  <si>
    <t>XL Amarillo</t>
  </si>
  <si>
    <t>XXL Blanco</t>
  </si>
  <si>
    <t>CASCO INTEGRAL LS2 FF352 [OF]</t>
  </si>
  <si>
    <t>CHROMA NEGRO/ROSA (TALLA: S) [OF]</t>
  </si>
  <si>
    <t>FF352 CHROMA NEGRO/ROSA (TALLA: M)</t>
  </si>
  <si>
    <t>FF352 IRONFACE NEGRO/ROSA (TALLA: M)</t>
  </si>
  <si>
    <t>IRONFACE NEGRO/ROSA (TALLA: S) [OF]</t>
  </si>
  <si>
    <t>MEIN NEGRO/AMARILLO MATTE (TALLA: L) [OF]</t>
  </si>
  <si>
    <t>MEIN NEGRO/AMARILLO MATTE (TALLA: M) [OF]</t>
  </si>
  <si>
    <t>MEIN NEGRO/ROJO MATTE (TALLA: L) [OF]</t>
  </si>
  <si>
    <t>CHACABUCO 234| SOBREXISTENCIA</t>
  </si>
  <si>
    <t>MEIN NEGRO/ROJO MATTE (TALLA: M) [OF]</t>
  </si>
  <si>
    <t>MEIN NEGRO/ROJO MATTE (TALLA: XL) [OF]</t>
  </si>
  <si>
    <t>MEIN NEGRO/ROJO MATTE (TALLA: XXL) [OF]</t>
  </si>
  <si>
    <t>MONO NEGRO MATTE (TALLA: XL) [OF]</t>
  </si>
  <si>
    <t>MONO NEGRO MATTE (TALLA: XXL) [OF]</t>
  </si>
  <si>
    <t>PALIMNESIS NEGRO/GRIS MATTE (TALLA: L) [OF]</t>
  </si>
  <si>
    <t>PALIMNESIS NEGRO/GRIS MATTE (TALLA: M) [OF]</t>
  </si>
  <si>
    <t>PALIMNESIS NEGRO/GRIS MATTE (TALLA: XL) [OF]</t>
  </si>
  <si>
    <t>PALIMNESIS NEGRO/GRIS MATTE (TALLA: XXL) [OF]</t>
  </si>
  <si>
    <t>CASCO INTEGRAL LS2 FF353 [OF]</t>
  </si>
  <si>
    <t xml:space="preserve"> RAPID GALE NEGRO/ROJO/VERDE MATTE (TALLA: M) [OF]</t>
  </si>
  <si>
    <t xml:space="preserve"> RAPID NAUGHTY AZUL/NARANJO MATTE (TALLA: L) [OF]</t>
  </si>
  <si>
    <t xml:space="preserve"> RAPID NAUGHTY AZUL/NARANJO MATTE (TALLA: XL) [OF]</t>
  </si>
  <si>
    <t xml:space="preserve"> RAPID NAUGHTY BLANCO/ROJO MATTE (TALLA: XL) [OF]</t>
  </si>
  <si>
    <t xml:space="preserve"> RAPID NAUGHTY BLANCO/ROJO MATTE (TALLA: XXL) [OF]</t>
  </si>
  <si>
    <t>RAPID GALE NEGRO/ROJO/VERDE MATTE (TALLA: L) [OF]</t>
  </si>
  <si>
    <t>RAPID NAUGHTY AZUL/NARANJO MATTE (TALLA: M) [OF]</t>
  </si>
  <si>
    <t>CASCO INTEGRAL M-61 CROWN NEG/AMAR MATE (XL) [PZ]</t>
  </si>
  <si>
    <t>XL</t>
  </si>
  <si>
    <t>CASCO INTEGRAL M-62 PLAIN NEG/AMARILLO MATTE XL [PZ]</t>
  </si>
  <si>
    <t>CASCO INTEGRAL M-62 PLAIN NEG/AZUL MATTE L [PZ]</t>
  </si>
  <si>
    <t>L</t>
  </si>
  <si>
    <t>CASCO INTEGRAL M-62 PLAIN NEG/ROJO MATTE XL [PZ]</t>
  </si>
  <si>
    <t>CASCO INTEGRAL M-62 TUNNEL NEGRO GRIS MATTE XL [PZ]</t>
  </si>
  <si>
    <t>CASCO JET AZUL (XL) [PZ]</t>
  </si>
  <si>
    <t>CASCO JET BLANCO (XL) [PZ]</t>
  </si>
  <si>
    <t>CASCO JET NEGRO (XL) [PZ]</t>
  </si>
  <si>
    <t>CASCO JET NEGRO MATE (XL) [PZ]</t>
  </si>
  <si>
    <t>CASCO JET ROSADO (XL) [PZ]</t>
  </si>
  <si>
    <t>CASCO JET TIPO CUERO AVESTRUZ NEGRO/ROJO (L) [PZ]</t>
  </si>
  <si>
    <t>CASCO VIKINGO C/ANTIPARRAS [PZ]</t>
  </si>
  <si>
    <t>CATALINA (33D) CB-250 [PZ]</t>
  </si>
  <si>
    <t>CATALINAS</t>
  </si>
  <si>
    <t>CATALINA (36D) BICIMOTO 49CC (ST-50) [PZ]</t>
  </si>
  <si>
    <t>CATALINA (36D) EXPRESS-100 [PZ]</t>
  </si>
  <si>
    <t>CATALINA (38D) CG-125 [PZ]</t>
  </si>
  <si>
    <t>CATALINA (38D) GN-125H [PZ]</t>
  </si>
  <si>
    <t>CATALINA (38D) PULSAR-200NS [PZ]</t>
  </si>
  <si>
    <t>CATALINA (39) XRE-300 [PZ]</t>
  </si>
  <si>
    <t>CATALINA (39D) GPZ-400 [PZ]</t>
  </si>
  <si>
    <t>CATALINA (39D) GS-500 [PZ]</t>
  </si>
  <si>
    <t>CATALINA (39D) PULSAR-180 ''4 PERNOS'' [PZ]</t>
  </si>
  <si>
    <t>CATALINA (39D) PULSAR-200NS [PZ]</t>
  </si>
  <si>
    <t>CATALINA (39D) V-MEN-125 [PZ]</t>
  </si>
  <si>
    <t>CATALINA (40D) FZ-16 [PZ]</t>
  </si>
  <si>
    <t>CATALINA (40D) XTZ-250 [PZ]</t>
  </si>
  <si>
    <t>CATALINA (40D) YBR-125 [PZ]</t>
  </si>
  <si>
    <t>CATALINA (41D) CBR-500/CBR-500R/CB-500/CB-500F/CB-500X [PZ]</t>
  </si>
  <si>
    <t>CATALINA (41D) GN-125H [PZ]</t>
  </si>
  <si>
    <t>CATALINA (41D) GS-150R [PZ]</t>
  </si>
  <si>
    <t>CATALINA (41D) KEEWAY SUPERLIGHT-200 [PZ]</t>
  </si>
  <si>
    <t>CATALINA (41D) RENEGADE-200 [PZ]</t>
  </si>
  <si>
    <t>CATALINA (41D) XTZ-150 [PZ]</t>
  </si>
  <si>
    <t>CATALINA (42D) CG-150T/JOB/INVICTA/PULSAR-135 [PZ]</t>
  </si>
  <si>
    <t>CATALINA (42D) CG-150T/JOB/INVICTA/PULSAR-135/GL-1 (PIÑON 15T+CATALINA 42T+428HX132) [PZ]</t>
  </si>
  <si>
    <t>CATALINA (42D) DR-250/DR-650 [PZ]</t>
  </si>
  <si>
    <t>CATALINA (42D) PULSAR-180 [PZ]</t>
  </si>
  <si>
    <t>CATALINA (42D) RENEGADE-200 [PZ]</t>
  </si>
  <si>
    <t>CATALINA (42D) TIPO CG-125 [PZ]</t>
  </si>
  <si>
    <t>CATALINA (43D) CBF-150 INVICTA/CB1-125/GL-150 [PZ]</t>
  </si>
  <si>
    <t>CATALINA (43D) DR-650 [PZ]</t>
  </si>
  <si>
    <t>CATALINA (43D) GN-125/RKS-125/EN-125 [PZ]</t>
  </si>
  <si>
    <t>CATALINA (43D) GPX-250/GPZ-250/ NINJA [PZ]</t>
  </si>
  <si>
    <t>CATALINA (43D) MT-07/MT-10 [OF]</t>
  </si>
  <si>
    <t>CATALINA (43D) XL-200 BRASIL [PZ]</t>
  </si>
  <si>
    <t>CATALINA (44D) CG-125 TITAN/LF150-10F [PZ]</t>
  </si>
  <si>
    <t>CATALINA (44D) XR-250/CRF-230/CRF-250L [PZ]</t>
  </si>
  <si>
    <t>CATALINA (44D) YD-110 CRUX/YBR-125 [PZ]</t>
  </si>
  <si>
    <t>CATALINA (45D) CB-190 [PZ]</t>
  </si>
  <si>
    <t>CATALINA (45D) DR-200/SX-200 (PIÑON 15T+CATALINA 45T+520HX120) [PZ]</t>
  </si>
  <si>
    <t>CATALINA (45D) DR-200/SX-200 [PZ]</t>
  </si>
  <si>
    <t>CATALINA (45D) FZ-250/FAZER-250/R15 V3 [PZ]</t>
  </si>
  <si>
    <t>CATALINA (45D) GIXXER-150 [PZ]</t>
  </si>
  <si>
    <t>CATALINA (45D) GN-125H [PZ]</t>
  </si>
  <si>
    <t>CATALINA (45D) NK-150 [PZ]</t>
  </si>
  <si>
    <t>CATALINA (45D) TENERE-600/XT-600/VIRAGO-250/XV-250 [PZ]</t>
  </si>
  <si>
    <t>CATALINA (46D) (CENTRO CG) [PZ]</t>
  </si>
  <si>
    <t>CATALINA (46D) AKT AK-125 [PZ]</t>
  </si>
  <si>
    <t>CATALINA (46D) TVS APACHE [PZ]</t>
  </si>
  <si>
    <t>CATALINA (46D) XTZ-250 (PASO 428) [PZ]</t>
  </si>
  <si>
    <t>CATALINA (47D) DL-650 V-STROM/TRANSALP-650 [PZ]</t>
  </si>
  <si>
    <t>CATALINA (47D) YZF-R15 [PZ]</t>
  </si>
  <si>
    <t>CATALINA (48D) GXT-200/TS-125ER [PZ]</t>
  </si>
  <si>
    <t>CATALINA (48D) XR-150L/XR-190L [PZ]</t>
  </si>
  <si>
    <t>CATALINA (48D) XTZ-125 [PZ]</t>
  </si>
  <si>
    <t>CATALINA (50D) DSR-200 [PZ]</t>
  </si>
  <si>
    <t>CATALINA (50D) DSR-200/DSR-230/DSR2-50 [PZ]</t>
  </si>
  <si>
    <t>CATALINA (54D) XR-125L/NXR-150 BROS [PZ]</t>
  </si>
  <si>
    <t>CENTRO EMBRAGUE CG-125 [PZ]</t>
  </si>
  <si>
    <t>EMBRAGUES</t>
  </si>
  <si>
    <t>CEPILLO LIMPIA CADENA UNIVERSAL [PZ]</t>
  </si>
  <si>
    <t>CEPILLO LIMPIEZA [PZ]</t>
  </si>
  <si>
    <t>CERA LIQUIDA ''SENFINECO'' 380ML [OF]</t>
  </si>
  <si>
    <t>CHAPA CONTACTO AKT AK-110 [PZ]</t>
  </si>
  <si>
    <t>CHAPAS DE CONTACTO</t>
  </si>
  <si>
    <t>CHAPA CONTACTO AKT AK-125TT/AK-150TT [PZ]</t>
  </si>
  <si>
    <t>CHAPA CONTACTO ATV 4 CABLES [PZ]</t>
  </si>
  <si>
    <t>CHAPA CONTACTO AX-100 [PZ]</t>
  </si>
  <si>
    <t>CHAPA CONTACTO BAJAJ DISCOVER-125 [PZ]</t>
  </si>
  <si>
    <t>CHAPA CONTACTO BAJAJ PLATINO-125 [PZ]</t>
  </si>
  <si>
    <t>CHAPA CONTACTO BEST-125 [PZ]</t>
  </si>
  <si>
    <t>CHAPA CONTACTO BOXER CT-100 [PZ]</t>
  </si>
  <si>
    <t>CHAPA CONTACTO CB-190R [PZ]</t>
  </si>
  <si>
    <t>CHAPA CONTACTO CBF-150 INVICTA &amp; NEW INVICTA ''HQ'' [PZ]</t>
  </si>
  <si>
    <t>CHAPA CONTACTO CBX-250 TWISTER [PZ]</t>
  </si>
  <si>
    <t>CHAPA CONTACTO CGL-125 ''VINI'' [IM]</t>
  </si>
  <si>
    <t>CHAPA CONTACTO DR-200 [PZ]</t>
  </si>
  <si>
    <t>CHAPA CONTACTO ELITE-125/SCOOTER-125 [PZ]</t>
  </si>
  <si>
    <t>CHAPA CONTACTO FZ-16/FZN-150 (2.0)/YZF R-15 [PZ]</t>
  </si>
  <si>
    <t>CHAPA CONTACTO GIXXER-150/EN-125/APRILIA-150 [PZ]</t>
  </si>
  <si>
    <t>CHAPA CONTACTO GN-125 [PZ]</t>
  </si>
  <si>
    <t>CHAPA CONTACTO GXT-200 (4 CABLES) [PZ]</t>
  </si>
  <si>
    <t>CHAPA CONTACTO GY/WX125 [PZ]</t>
  </si>
  <si>
    <t>CHAPA CONTACTO MB-100 [PZ]</t>
  </si>
  <si>
    <t>CHAPA CONTACTO NK-150 [PZ]</t>
  </si>
  <si>
    <t>CHAPA CONTACTO PULSAR-125NS [PZ]</t>
  </si>
  <si>
    <t>CHAPA CONTACTO PULSAR-200NS [PZ]</t>
  </si>
  <si>
    <t>CHAPA CONTACTO SCOOTER 2 PERNOS [PZ]</t>
  </si>
  <si>
    <t>CHAPA CONTACTO SCOOTER 3 PERNOS [PZ]</t>
  </si>
  <si>
    <t>CHAPA CONTACTO T-110 CRYPTON [PZ]</t>
  </si>
  <si>
    <t>CHAPA CONTACTO TIPO GN-125H (4 CABLES) [PZ]</t>
  </si>
  <si>
    <t>CHAPA CONTACTO TIPO MB-100 (2 CABLES) ''VINI'' [IM]</t>
  </si>
  <si>
    <t>CHAPA CONTACTO TIPO MB-100 (2 CABLES) [PZ]</t>
  </si>
  <si>
    <t>CHAPA CONTACTO TX-200 [PZ]</t>
  </si>
  <si>
    <t>CHAPA CONTACTO XTZ-125 [PZ]</t>
  </si>
  <si>
    <t>CHAPA CONTACTO YBR-125/XTZ-125 [PZ]</t>
  </si>
  <si>
    <t>CHAPA CONTACTO YBR-Z [PZ]</t>
  </si>
  <si>
    <t>CHAPA CONTACTO YW-100 BWS [PZ]</t>
  </si>
  <si>
    <t>CHAPA CONTACTO YW-125 BWS [PZ]</t>
  </si>
  <si>
    <t>CHAPA LUCES (DER) FZ-16 [PZ]</t>
  </si>
  <si>
    <t>TELECOMANDOS</t>
  </si>
  <si>
    <t>CHAPA LUCES (DER) GIXXER-150 ''VINI'' [IM]</t>
  </si>
  <si>
    <t>CHAPA LUCES (DER) GN-125 ''VINI'' [IM]</t>
  </si>
  <si>
    <t>CHAPA LUCES (DER) GS-150</t>
  </si>
  <si>
    <t>CHAPA LUCES (DER) HJ125-7 [PZ]</t>
  </si>
  <si>
    <t>CHAPA LUCES (DER) KA-150 [PZ]</t>
  </si>
  <si>
    <t>CHAPA LUCES (DER) MOTO CHINA [PZ]</t>
  </si>
  <si>
    <t>CHAPA LUCES (DER) MOTO XTZ-250 [PZ]</t>
  </si>
  <si>
    <t>CHAPA LUCES (DER) NK-150 [PZ]</t>
  </si>
  <si>
    <t>CHAPA LUCES (DER) PULSAR-200 NS [PZ]</t>
  </si>
  <si>
    <t>CHAPA LUCES (DER) PULSAR-200NS ''VINI'' [IM]</t>
  </si>
  <si>
    <t>CHAPA LUCES (DER) RENEGADE-200 [PZ]</t>
  </si>
  <si>
    <t>CHAPA LUCES (DER) SCOOTER-125/150 [PZ]</t>
  </si>
  <si>
    <t>CHAPA LUCES (DER) UNIVERSAL [PZ]</t>
  </si>
  <si>
    <t>CHAPA LUCES (IZQ) ATV [PZ]</t>
  </si>
  <si>
    <t>CHAPA LUCES (IZQ) CBX-200 [PZ]</t>
  </si>
  <si>
    <t>CHAPA LUCES (IZQ) CBX-250 TWISTER [PZ]</t>
  </si>
  <si>
    <t>CHAPA LUCES (IZQ) CBX-250 [PZ]</t>
  </si>
  <si>
    <t>CHAPA LUCES (IZQ) CG-100/MB-100 [PZ]</t>
  </si>
  <si>
    <t>CHAPA LUCES (IZQ) CG-125 TITAN [PZ]</t>
  </si>
  <si>
    <t>CHAPA LUCES (IZQ) CG-125T/CARGO [PZ]</t>
  </si>
  <si>
    <t>CHAPA LUCES (IZQ) CG-150TITAN/JOB [PZ]</t>
  </si>
  <si>
    <t>CHAPA LUCES (IZQ) FZ-16 [PZ]</t>
  </si>
  <si>
    <t>CHAPA LUCES (IZQ) GIXXER-150 ''VINI'' [IM]</t>
  </si>
  <si>
    <t>CHAPA LUCES (IZQ) GN-125 ''VINI'' [IM]</t>
  </si>
  <si>
    <t>CHAPA LUCES (IZQ) GN-125H C/MANILLAR [PZ]</t>
  </si>
  <si>
    <t>CHAPA LUCES (IZQ) GS-125 [PZ]</t>
  </si>
  <si>
    <t>CHAPA LUCES (IZQ) HJ125-7 [PZ]</t>
  </si>
  <si>
    <t>CHAPA LUCES (IZQ) JL150GY-3 [PZ]</t>
  </si>
  <si>
    <t>CHAPA LUCES (IZQ) JL250-A [PZ]</t>
  </si>
  <si>
    <t>CHAPA LUCES (IZQ) KA-150 [PZ]</t>
  </si>
  <si>
    <t>CHAPA LUCES (IZQ) NK-150 [PZ]</t>
  </si>
  <si>
    <t>CHAPA LUCES (IZQ) NX-400 FALCON [PZ]</t>
  </si>
  <si>
    <t>CHAPA LUCES (IZQ) NXR-125 [PZ]</t>
  </si>
  <si>
    <t>CHAPA LUCES (IZQ) NXR-150 BROSS [PZ]</t>
  </si>
  <si>
    <t>CHAPA LUCES (IZQ) PULSAR-200NS ''VINI'' [IM]</t>
  </si>
  <si>
    <t>CHAPA LUCES (IZQ) SCOOTER-125/150 [PZ]</t>
  </si>
  <si>
    <t>CHAPA LUCES (IZQ) TIPO CG CHINA [PZ]</t>
  </si>
  <si>
    <t>CHAPA LUCES (IZQ) TITAN 00/04 [PZ]</t>
  </si>
  <si>
    <t>CHAPA LUCES (IZQ) TITAN 94/99 [PZ]</t>
  </si>
  <si>
    <t>CHAPA LUCES (IZQ) TITAN/NXR-125 [PZ]</t>
  </si>
  <si>
    <t>CHAPA LUCES (IZQ) UNIVERSAL [PZ]</t>
  </si>
  <si>
    <t>CHAPA LUCES (IZQ) XLR-125 [PZ]</t>
  </si>
  <si>
    <t>CHAPA LUCES (IZQ) XR-125L [PZ]</t>
  </si>
  <si>
    <t>CHAPA LUCES (IZQ) XR-200 (BRASIL) [PZ]</t>
  </si>
  <si>
    <t>CHAPA LUCES (IZQ) YBR-125 ''VINI'' [IM]</t>
  </si>
  <si>
    <t>CHAPA LUCES FZ-16 [PZ]</t>
  </si>
  <si>
    <t>DERECHA</t>
  </si>
  <si>
    <t>IZQUIERDA</t>
  </si>
  <si>
    <t>CHAPA LUCES GXT-200 [PZ]</t>
  </si>
  <si>
    <t>CHAPA LUCES UNIVERSAL [PZ]</t>
  </si>
  <si>
    <t>CHAPA PARTIDA DR-200/INTRUDER/GXT-200 [PZ]</t>
  </si>
  <si>
    <t>SOLENOIDES</t>
  </si>
  <si>
    <t>CHAPA PARTIDA FZ-16/FZN-150 2.0 [PZ]</t>
  </si>
  <si>
    <t>CHAPA PARTIDA GN-125H/RK-150/AN-125/EN-125/RKS [PZ]</t>
  </si>
  <si>
    <t>CHAPA PARTIDA NXR-150 [PZ]</t>
  </si>
  <si>
    <t>CHAPA PARTIDA PULSAR-200NS [PZ]</t>
  </si>
  <si>
    <t>CHAPA PARTIDA UNIVERSAL 2 CABLES [PZ]</t>
  </si>
  <si>
    <t>CHAPA PARTIDA UNIVERSAL [PZ]</t>
  </si>
  <si>
    <t>CHAPA PARTIDA UNIVERSAL/LF150-10F ''VINI'' [IM]</t>
  </si>
  <si>
    <t>CHAPA PARTIDA UNIVERSAL/LF150GY-4 ''VINI'' [IM]</t>
  </si>
  <si>
    <t>CHAPA PARTIDA XCD-125/DISCOVER-1352CABLES [PZ]</t>
  </si>
  <si>
    <t>CHAPA PARTIDA XR-250 TORNADO [PZ]</t>
  </si>
  <si>
    <t>CHAPA PARTIDA YBR-125/YS-250 FAZER [PZ]</t>
  </si>
  <si>
    <t>CHAPAS. JGO. BICIMOTO 49CC (ST-50) [PZ]</t>
  </si>
  <si>
    <t>CHAPAS. JGO. BOXER CT-100 [PZ]</t>
  </si>
  <si>
    <t>CHAPAS. JGO. CBF-150 INVICTA [PZ]</t>
  </si>
  <si>
    <t>CHAPAS. JGO. CBT [PZ]</t>
  </si>
  <si>
    <t>CHAPAS. JGO. CG-125 [PZ]</t>
  </si>
  <si>
    <t>CHAPAS. JGO. EXPRESS-100 [PZ]</t>
  </si>
  <si>
    <t>CHAPAS. JGO. FZ-16 [PZ]</t>
  </si>
  <si>
    <t>CHAPAS. JGO. GIXXER-150 [PZ]</t>
  </si>
  <si>
    <t>CHAPAS. JGO. GXT-200 ''MOTARD'' [PZ]</t>
  </si>
  <si>
    <t>CHAPAS. JGO. NK-150 [PZ]</t>
  </si>
  <si>
    <t>CHAPAS. JGO. PULSAR-125/PULSAR-135 [PZ]</t>
  </si>
  <si>
    <t>CHAPAS. JGO. RKS-150/RKS-200 (6 PERNOS) [PZ]</t>
  </si>
  <si>
    <t>CHAPAS. JGO. SCOOTER 2 TOMAS [PZ]</t>
  </si>
  <si>
    <t>CHAPAS. JGO. SCOOTER [PZ]</t>
  </si>
  <si>
    <t>CHAPAS. JGO. SCOOTER-125/150 [PZ]</t>
  </si>
  <si>
    <t>CHAPAS</t>
  </si>
  <si>
    <t>CHAPAS. JGO. XR-150L [PZ]</t>
  </si>
  <si>
    <t>CHAPAS. JGO. XTZ-125 [PZ]</t>
  </si>
  <si>
    <t>CHAVETA CIGUEÑAL CG-125 [PZ]</t>
  </si>
  <si>
    <t>CIGUEÑALES</t>
  </si>
  <si>
    <t>CHICHARA 1/2'' (SIN DADOS) [PZ]</t>
  </si>
  <si>
    <t>CIGUEÑAL COMPLETO CB1-125 [PZ]</t>
  </si>
  <si>
    <t>CIGUEÑAL COMPLETO CG-200 [PZ]</t>
  </si>
  <si>
    <t>CIGUEÑAL COMPLETO CG-250 [PZ]</t>
  </si>
  <si>
    <t>CIGUEÑAL COMPLETO FZ-16 [PZ]</t>
  </si>
  <si>
    <t>CIGUEÑAL COMPLETO GIXXER-150 [PZ]</t>
  </si>
  <si>
    <t>CIGUEÑAL COMPLETO JL110/TA110 [PZ]</t>
  </si>
  <si>
    <t>CIGUEÑAL COMPLETO RENEGADE-200 [PZ]</t>
  </si>
  <si>
    <t>CIGUEÑAL COMPLETO XR-125L [PZ]</t>
  </si>
  <si>
    <t>CILINDRO XL-/XR-200 BRASIL (STD) 63.5MM [PZ]</t>
  </si>
  <si>
    <t>CILINDROS</t>
  </si>
  <si>
    <t>CILINDRO YBR-125 (STD) 54MM [PZ]</t>
  </si>
  <si>
    <t>CINTA PROTECTORA ESCAPE (AMARILLO) [PZ]</t>
  </si>
  <si>
    <t>ESCAPES</t>
  </si>
  <si>
    <t>CINTA PROTECTORA ESCAPE (AZUL) [PZ]</t>
  </si>
  <si>
    <t>CINTA PROTECTORA ESCAPE (BEIGE) [PZ]</t>
  </si>
  <si>
    <t>CINTA PROTECTORA ESCAPE (BLANCO) [PZ]</t>
  </si>
  <si>
    <t>CINTA PROTECTORA ESCAPE (ROJO) [PZ]</t>
  </si>
  <si>
    <t>CINTA PROTECTORA ESCAPE [PZ]</t>
  </si>
  <si>
    <t>COLLARIN TUBO ESCAPE XR-250R [PZ]</t>
  </si>
  <si>
    <t>CONECTOR MACHO 2 PIN [PZ]</t>
  </si>
  <si>
    <t>ELECTRICOS</t>
  </si>
  <si>
    <t>CONECTOR MACHO 4 PIN [PZ]</t>
  </si>
  <si>
    <t>CONECTORES</t>
  </si>
  <si>
    <t>CONECTOR MACHO 6 PIN [PZ]</t>
  </si>
  <si>
    <t>CONECTOR MACHO RECTANGULAR  2 PINES [PZ]</t>
  </si>
  <si>
    <t>CONECTOR PLASTICO PARA CABLES [PZ]</t>
  </si>
  <si>
    <t>CORREA BATERÍA UNIVERSAL [PZ]</t>
  </si>
  <si>
    <t>CORREA TRANSMISION 743-20-30 ELITE/NEW ELITE ''VINI'' [IM]</t>
  </si>
  <si>
    <t>CORREAS DE TRANSMISIÓN</t>
  </si>
  <si>
    <t>CORREA TRANSMISION 743-20-30 ELITE/NEW ELITE [PZ]</t>
  </si>
  <si>
    <t>CORREA TRANSMISION 757-17-29 YW-100 BWS [PZ]</t>
  </si>
  <si>
    <t>CORREA TRANSMISION 781-20-30 KYMCO AGILITY-125/150 [PZ]</t>
  </si>
  <si>
    <t>CORREA TRANSMISION 809-21-26 YW-125 BWS/CYGNUS [PZ]</t>
  </si>
  <si>
    <t>CORREA TRANSMISION 828-18-30 AT-115C (NOUVO) [PZ]</t>
  </si>
  <si>
    <t>CORREA TRANSMISION 835-20-30 ''VINI'' [IM]</t>
  </si>
  <si>
    <t>CORREA TRANSMISION 835-20-30 [IM]</t>
  </si>
  <si>
    <t>CORREA TRANSMISION 842-20-30 ''VINI'' [IM]</t>
  </si>
  <si>
    <t>CORREA TRANSMISION 842-20-30 [PZ]</t>
  </si>
  <si>
    <t>CORREA TRANSMISION 906-22.5-30 KEEWAY CITYBLADE[PZ]</t>
  </si>
  <si>
    <t>CORREA TRANSMISION AN-125 ''VINI'' [IM]</t>
  </si>
  <si>
    <t>CORREA TRANSMISION HONDA-NAVI [PZ]</t>
  </si>
  <si>
    <t>CORREA TRANSMISION VS-125 [PZ]</t>
  </si>
  <si>
    <t>CORREA TRANSMISION YW-125 BWS ''VINI'' [IM]</t>
  </si>
  <si>
    <t>CORREA TRANSMISION YW-125 BWS [PZ]</t>
  </si>
  <si>
    <t>CUBETAS DIRECCION. JGO. AN-125/CRYSTAL-125 [PZ]</t>
  </si>
  <si>
    <t>CUBETAS DE DIRECCIÓN</t>
  </si>
  <si>
    <t>CUBETAS DIRECCION. JGO. AX-100 ''VINI'' [IM]</t>
  </si>
  <si>
    <t>CUBETAS DIRECCION. JGO. CB1-125 (26-45-12/34-54-13) [PZ]</t>
  </si>
  <si>
    <t>CUBETAS DIRECCION. JGO. CBF-150 INVICTA [PZ]</t>
  </si>
  <si>
    <t>CUBETAS DIRECCION. JGO. CBF-150 INVICTA/CB-190 ''VINI'' [IM]</t>
  </si>
  <si>
    <t>CUBETAS DIRECCION. JGO. CG-125 [PZ]</t>
  </si>
  <si>
    <t>CUBETAS DIRECCION. JGO. DSR-200 [PZ]</t>
  </si>
  <si>
    <t>CUBETAS DIRECCION. JGO. DY-125 [PZ]</t>
  </si>
  <si>
    <t>CUBETAS DIRECCION. JGO. FZ-16 [PZ]</t>
  </si>
  <si>
    <t>CUBETAS DIRECCION. JGO. GIXXER-150 [PZ]</t>
  </si>
  <si>
    <t>CUBETAS DIRECCION. JGO. GN-125H [PZ]</t>
  </si>
  <si>
    <t>CUBETAS DIRECCION. JGO. GN-125H/GIXXER-150/RKS/RENEGADE-200 ''VINI'' [IM]</t>
  </si>
  <si>
    <t>CUBETAS DIRECCION. JGO. GS-150R [PZ]</t>
  </si>
  <si>
    <t>CUBETAS DIRECCION. JGO. GXT-200 (30-55-17/25-52-16.25) [PZ]</t>
  </si>
  <si>
    <t>CUBETAS DIRECCION. JGO. PULSAR-200NS [PZ]</t>
  </si>
  <si>
    <t>CUBETAS DIRECCION. JGO. XR-125L/XR-150L/XR-190L/XR-250 TORNADO ''RIFFEL'' (47-26-15) [PZ]</t>
  </si>
  <si>
    <t>CUBETAS DIRECCION. JGO. XTZ-125 ''VINI''</t>
  </si>
  <si>
    <t>CUBETAS DIRECCION. JGO. XTZ-125 [PZ]</t>
  </si>
  <si>
    <t>CUBETAS DIRECCION. JGO. XTZ-150 [PZ]</t>
  </si>
  <si>
    <t>CUBETAS DIRECCION. JGO. YBR-125/FZ-16/YD-110 CRUX [PZ]</t>
  </si>
  <si>
    <t>CUBETAS DIRECCION. JGO. YZF-R15 (ANTIGUA)(41-24-12) ''VINI'' [IM]</t>
  </si>
  <si>
    <t>CUBETAS DIRECCION. JGO. YZF-R15 NUEVA ''VINI'' [IM]</t>
  </si>
  <si>
    <t>CUBETAS DIRECCION. JGO. YZF-R15 [PZ]</t>
  </si>
  <si>
    <t>CUBRE ASIENTO (TIPO CUERO) [PZ]</t>
  </si>
  <si>
    <t>CUBRE CABLE TERMORETRACTIL (150 PCS) [PZ]</t>
  </si>
  <si>
    <t>CUBRE CABLE TERMORETRACTIL (385 PCS) [PZ]</t>
  </si>
  <si>
    <t>CUBRE CABLE TERMORETRACTIL (580 PCS) [PZ]</t>
  </si>
  <si>
    <t>CUBRE CABLE TERMORETRACTIL C/ METAL [PZ]</t>
  </si>
  <si>
    <t>CUBRE CADENA Y GUARDAFANGO FZ-16 [PZ]</t>
  </si>
  <si>
    <t>TAPAS PLASTICAS</t>
  </si>
  <si>
    <t>CUBRE CALZADO IMPERMEABLE LLUVIA ''TALLA L'' [PZ]</t>
  </si>
  <si>
    <t>CUBRE CALZADO IMPERMEABLE LLUVIA ''TALLA XL'' [PZ]</t>
  </si>
  <si>
    <t>CUBRE CALZADO IMPERMEABLE UNIVERSAL [PZ]</t>
  </si>
  <si>
    <t>CUBRE MANILLA GOMA MORADO [PZ]</t>
  </si>
  <si>
    <t>CUBRE MANILLA GOMA NARANJA [PZ]</t>
  </si>
  <si>
    <t>CUBRE MANUBRIO [PZ]</t>
  </si>
  <si>
    <t>CUBRE PIERNAS TIPO CUERO [PZ]</t>
  </si>
  <si>
    <t>CUBRE PUÑOS UNIVERSAL [OF]</t>
  </si>
  <si>
    <t>CUBRE RAYOS. JGO. 72 PCS. [PZ]</t>
  </si>
  <si>
    <t>CUERNOS PARA CASCO [PZ]</t>
  </si>
  <si>
    <t>CULATA COMPLETA CB1-125 [PZ]</t>
  </si>
  <si>
    <t>CULATAS</t>
  </si>
  <si>
    <t>CULATA COMPLETA GXT-200 [PZ]</t>
  </si>
  <si>
    <t>CULATA COMPLETA SCOOTER-150 [PZ]</t>
  </si>
  <si>
    <t>CUÑETE: ACEITE MOTOR ''LIQUI MOLY'' 10W/40 SINTÉTICO (STREET) [OF]</t>
  </si>
  <si>
    <t>CUÑETE: ACEITE MOTOR ''LIQUI MOLY'' 20W/50 SINTÉTICO (STREET) [OF]</t>
  </si>
  <si>
    <t>DADO HEXAGONAL (43-46MM) [PZ]</t>
  </si>
  <si>
    <t>DAMPER CATALINA AVENGER-220 [PZ]</t>
  </si>
  <si>
    <t>DAMPERS</t>
  </si>
  <si>
    <t>DAMPER CATALINA JGO. CB1/INVICTA/CB-190/NEW-STORM/LF150-10F [PZ=EVEREST] [IM=VINI]</t>
  </si>
  <si>
    <t>''EVEREST''</t>
  </si>
  <si>
    <t>''VINI''</t>
  </si>
  <si>
    <t>DAMPER CATALINA JGO. CB1/INVICTA/CB-190/NEW-STORM/LF150-10F [PZ]</t>
  </si>
  <si>
    <t>DAMPER CATALINA JGO. CG-125 (BUJES) [PZ]</t>
  </si>
  <si>
    <t>DAMPER CATALINA JGO. CG-125 [PZ]</t>
  </si>
  <si>
    <t>DAMPER CATALINA JGO. CGL-125 [PZ]</t>
  </si>
  <si>
    <t>DAMPER CATALINA JGO. CGL-125/FZ-16/YBR-125 ''VINI'' [IM]</t>
  </si>
  <si>
    <t>DAMPER CATALINA JGO. CGL-200 [PZ]</t>
  </si>
  <si>
    <t>DAMPER CATALINA JGO. DOMINAR-400 [PZ]</t>
  </si>
  <si>
    <t>DAMPER CATALINA JGO. EN-125/GN-125H/HJ125-7 [PZ]</t>
  </si>
  <si>
    <t>DAMPER CATALINA JGO. FZ-16 [PZ]</t>
  </si>
  <si>
    <t>DAMPER CATALINA JGO. FZ-25/R-15 V3 [PZ]</t>
  </si>
  <si>
    <t>DAMPER CATALINA JGO. GIXXER-150 [PZ]</t>
  </si>
  <si>
    <t>DAMPER CATALINA JGO. GN-125/HJ125-7/EN-125/TTX-150 ''VINI'' [IM]</t>
  </si>
  <si>
    <t>DAMPER CATALINA JGO. PULSAR-200NS [PZ]</t>
  </si>
  <si>
    <t>DAMPER CATALINA JGO. RENEGADE-200 [PZ]</t>
  </si>
  <si>
    <t>DAMPER CATALINA JGO. V-MEN-125 ''VINI'' [IM]</t>
  </si>
  <si>
    <t>DAMPER CATALINA JGO. WY-125/150 [PZ]</t>
  </si>
  <si>
    <t>DAMPER CATALINA UNIDAD KA-150 [PZ]</t>
  </si>
  <si>
    <t>DAMPER CATALINA UNIDAD XL-125/185/CTX-200 [PZ]</t>
  </si>
  <si>
    <t>DEPOSITO LIQUIDO FRENO (AZUL) [PZ]</t>
  </si>
  <si>
    <t>DEPOSITOS</t>
  </si>
  <si>
    <t>DEPOSITO LIQUIDO FRENO (NEGRO) [PZ]</t>
  </si>
  <si>
    <t>DEPOSITO LIQUIDO FRENO (ROJO) [PZ]</t>
  </si>
  <si>
    <t>DEPOSITO LIQUIDO FRENO ATV [PZ]</t>
  </si>
  <si>
    <t>DESLIZADOR CADENA DSR-200 [PZ]</t>
  </si>
  <si>
    <t>DESLIZADOR CADENA GXT-200 [PZ]</t>
  </si>
  <si>
    <t>DESLIZADOR CADENA RKS-150 [PZ]</t>
  </si>
  <si>
    <t>DESLIZADORES</t>
  </si>
  <si>
    <t>DESLIZADOR CADENA UNIVERSAL (VERDE) [PZ]</t>
  </si>
  <si>
    <t>DESLIZADOR CADENA XR-250 TORNADO ''VINI'' [IM]</t>
  </si>
  <si>
    <t>DESMONTADORA NEUMATICOS HIDRAULICA [OF]</t>
  </si>
  <si>
    <t>MAQUINARIA</t>
  </si>
  <si>
    <t>DESTORNILLADOR IMPACTO [PZ]</t>
  </si>
  <si>
    <t>DIAGNÓSTICO: MOTOR COMPLETO</t>
  </si>
  <si>
    <t>DIAGNÓSTICO: MOTOR SUPERIOR</t>
  </si>
  <si>
    <t>DIAGNÓSTICO: SISTEMA ELÉCTRICO Y REPARACIÓN</t>
  </si>
  <si>
    <t>DIAGNÓSTICO: TRANSMISIÓN SCOOTER 0-150CC</t>
  </si>
  <si>
    <t>DISCO EMBRAGUE AG-200 (4) [PZ]</t>
  </si>
  <si>
    <t>DISCOS DE EMBRAGUE</t>
  </si>
  <si>
    <t>DISCO EMBRAGUE CB1-125 TUF [PZ]</t>
  </si>
  <si>
    <t>DISCO EMBRAGUE CBF-150 INVICTA [PZ]</t>
  </si>
  <si>
    <t>DISCO EMBRAGUE DT-200R/FZR-400 (3XK) [PZ]</t>
  </si>
  <si>
    <t>DISCO EMBRAGUE FZ-16 ''ICHIBAN'' (MS6)/(377) [PZ]</t>
  </si>
  <si>
    <t>DISCO EMBRAGUE FZ-16/XR-250 TORNADO [PZ]</t>
  </si>
  <si>
    <t>DISCO EMBRAGUE GN-125/GXT-200 [PZ]</t>
  </si>
  <si>
    <t>DISCO EMBRAGUE GPZ-400 [PZ]</t>
  </si>
  <si>
    <t>DISCO EMBRAGUE PULSAR-125 [PZ]</t>
  </si>
  <si>
    <t>DISCO EMBRAGUE PULSAR-180/KTM-390 [PZ]</t>
  </si>
  <si>
    <t>DISCO EMBRAGUE XR-300E (1)/BENELLI RK6 (8)/XL-250 [PZ]</t>
  </si>
  <si>
    <t>DISCO FRENO DELANTERO AGILITY-125 [PZ]</t>
  </si>
  <si>
    <t>DISCOS DE FRENO</t>
  </si>
  <si>
    <t>DISCO FRENO DELANTERO AKT AK-110S [PZ]</t>
  </si>
  <si>
    <t>DISCO FRENO DELANTERO AKT AK-200 [PZ]</t>
  </si>
  <si>
    <t>DISCO FRENO DELANTERO AKT-125/MAX-150/TK-150 [PZ]</t>
  </si>
  <si>
    <t>DISCO FRENO DELANTERO AN-125 [PZ]</t>
  </si>
  <si>
    <t>DISCO FRENO DELANTERO BAJAJ DISCOVER-125/XCD-125 [PZ]</t>
  </si>
  <si>
    <t>DISCO FRENO DELANTERO BWS-125 (DER) [PZ]</t>
  </si>
  <si>
    <t>DISCO FRENO DELANTERO CB-125F TWISTER/CBF-150 INVICTA [PZ]</t>
  </si>
  <si>
    <t>DISCO FRENO DELANTERO CB-160 [PZ]</t>
  </si>
  <si>
    <t>DISCO FRENO DELANTERO CB-190R [PZ]</t>
  </si>
  <si>
    <t>DISCO FRENO DELANTERO CB-190R/CBX-250 [PZ]</t>
  </si>
  <si>
    <t>DISCO FRENO DELANTERO CBF-150 INVICTA/NEW-STORM/CB-125F TWISTER [PZ]</t>
  </si>
  <si>
    <t>DISCO FRENO DELANTERO CBR-250 [PZ]</t>
  </si>
  <si>
    <t>DISCO FRENO DELANTERO DR-200 [PZ]</t>
  </si>
  <si>
    <t>DISCO FRENO DELANTERO DR-600 [PZ]</t>
  </si>
  <si>
    <t>DISCO FRENO DELANTERO DSF-200 [PZ]</t>
  </si>
  <si>
    <t>DISCO FRENO DELANTERO DUKE-200/PULSAR-200NS [PZ]</t>
  </si>
  <si>
    <t>DISCO FRENO DELANTERO EN-125 [PZ]</t>
  </si>
  <si>
    <t>DISCO FRENO DELANTERO FZ-16 ''ICHIMAX'' [PZ]</t>
  </si>
  <si>
    <t>DISCO FRENO DELANTERO FZ-16 ''VINI'' [IM]</t>
  </si>
  <si>
    <t>DISCO FRENO DELANTERO FZ-16 (5 PERNOS) [PZ]</t>
  </si>
  <si>
    <t>DISCO FRENO DELANTERO FZ-25 [PZ]</t>
  </si>
  <si>
    <t>DISCO FRENO DELANTERO GIXXER-150 [PZ]</t>
  </si>
  <si>
    <t>DISCO FRENO DELANTERO GN-125 [PZ]</t>
  </si>
  <si>
    <t>DISCO FRENO DELANTERO GN-125/EN-125/XTREET-140R [PZ]</t>
  </si>
  <si>
    <t>DISCO FRENO DELANTERO GN-125H/HJ-125/RK-150 ''VINI'' [IM]</t>
  </si>
  <si>
    <t>DISCO FRENO DELANTERO GSX-150 ''VINI'' [IM]</t>
  </si>
  <si>
    <t>DISCO FRENO DELANTERO GXT-200/DR-200 [PZ]</t>
  </si>
  <si>
    <t>DISCO FRENO DELANTERO JL125 [PZ]</t>
  </si>
  <si>
    <t>DISCO FRENO DELANTERO KA-150 [PZ]</t>
  </si>
  <si>
    <t>DISCO FRENO DELANTERO KA-150/AKT EVO-125/150R3 [PZ]</t>
  </si>
  <si>
    <t>DISCO FRENO DELANTERO KEEWAY SUPERLIGHT-200 [PZ]</t>
  </si>
  <si>
    <t>DISCO FRENO DELANTERO KEEWAY SUPERLIGHT-200/TVS APACHE [PZ]</t>
  </si>
  <si>
    <t>DISCO FRENO DELANTERO KYMCO CK-110 [PZ]</t>
  </si>
  <si>
    <t>DISCO FRENO DELANTERO NINJA-250/300 [PZ]</t>
  </si>
  <si>
    <t>DISCO FRENO DELANTERO NXR-150/XR-125L/XR-150L VINI [IM]</t>
  </si>
  <si>
    <t>DISCO FRENO DELANTERO PIT BIKE 190MM [PZ]</t>
  </si>
  <si>
    <t>DISCO FRENO DELANTERO PULSAR-125NS/PULSAR-135LS [PZ]</t>
  </si>
  <si>
    <t>DISCO FRENO DELANTERO PULSAR-200NS [PZ]</t>
  </si>
  <si>
    <t>DISCO FRENO DELANTERO PULSAR-220/PULSAR TD-150 [PZ]</t>
  </si>
  <si>
    <t>DISCO FRENO DELANTERO SCOOTER-150 [PZ]</t>
  </si>
  <si>
    <t>DISCO FRENO DELANTERO STRATO-150 [PZ]</t>
  </si>
  <si>
    <t>DISCO FRENO DELANTERO TX-200 [PZ]</t>
  </si>
  <si>
    <t>DISCO FRENO DELANTERO VS-125 [PZ]</t>
  </si>
  <si>
    <t>DISCO FRENO DELANTERO WY125-7/HJ125-7/GN-125H [PZ]</t>
  </si>
  <si>
    <t>DISCO FRENO DELANTERO XR-125L/XR-150L/NXR-150 [PZ]</t>
  </si>
  <si>
    <t>DISCO FRENO DELANTERO XR-250 TORNADO [PZ]</t>
  </si>
  <si>
    <t>DISCO FRENO DELANTERO XRE-300 [PZ]</t>
  </si>
  <si>
    <t>DISCO FRENO DELANTERO XTZ-125 [PZ]</t>
  </si>
  <si>
    <t>DISCO FRENO DELANTERO XTZ-250 [PZ]</t>
  </si>
  <si>
    <t>DISCO FRENO DELANTERO YBR-125 ''VINI'' [IM]</t>
  </si>
  <si>
    <t>DISCO FRENO DELANTERO YBR-125 [PZ]</t>
  </si>
  <si>
    <t>DISCO FRENO DELANTERO YW-100 BWS ''VINI'' [IM]</t>
  </si>
  <si>
    <t>DISCO FRENO DELANTERO YW-100 BWS [PZ]</t>
  </si>
  <si>
    <t>DISCO FRENO DELANTERO YW-125 BWS ''VINI'' [IM]</t>
  </si>
  <si>
    <t>DISCO FRENO DELANTERO YW-125 BWS (IZQ) [PZ]</t>
  </si>
  <si>
    <t>DISCO FRENO DELANTERO Z-250 [PZ]</t>
  </si>
  <si>
    <t>DISCO FRENO TRASERO AKT AK-200 [PZ]</t>
  </si>
  <si>
    <t>DISCO FRENO TRASERO CB-190 [PZ]</t>
  </si>
  <si>
    <t>DISCO FRENO TRASERO CB-190R [PZ]</t>
  </si>
  <si>
    <t>DISCO FRENO TRASERO CBF-150 INVICTA ''VINI'' [IM]</t>
  </si>
  <si>
    <t>DISCO FRENO TRASERO CBF-150 INVICTA [PZ]</t>
  </si>
  <si>
    <t>DISCO FRENO TRASERO DR-650/XF-650 [PZ]</t>
  </si>
  <si>
    <t>DISCO FRENO TRASERO DUKE-200 [PZ]</t>
  </si>
  <si>
    <t>DISCO FRENO TRASERO FZ-25 [PZ]</t>
  </si>
  <si>
    <t>DISCO FRENO TRASERO GIXXER-150 [PZ]</t>
  </si>
  <si>
    <t>DISCO FRENO TRASERO PULSAR-160NS/PULSAR-200NS [OF]</t>
  </si>
  <si>
    <t>DISCO FRENO TRASERO PULSAR-200NS [PZ]</t>
  </si>
  <si>
    <t>DISCO FRENO TRASERO PULSAR-220 [PZ]</t>
  </si>
  <si>
    <t>DISCO FRENO TRASERO TX-200/RKV-150/RKV-200/BENELLI TNT-150 FI [PZ]</t>
  </si>
  <si>
    <t>DISCO FRENO TRASERO XRE-300 [PZ]</t>
  </si>
  <si>
    <t>DISCO FRENO TRASERO XTZ-250 ''VINI'' [IM]</t>
  </si>
  <si>
    <t>DISCO FRENO TRASERO XTZ-250 [PZ]</t>
  </si>
  <si>
    <t>DISCO FRENO TRASERO YZF-R3/MT-03/FZ-25 [PZ]</t>
  </si>
  <si>
    <t>DISCO FRENO TRASERO Z-250 [PZ]</t>
  </si>
  <si>
    <t>DISCOS EMBRAGUE GIXXER-150/GN-125/GXT-200/RKV/RKS/DR-200 DI/SF/BENELLI-180 [PZ]</t>
  </si>
  <si>
    <t>DISCOS EMBRAGUE. JGO. CB1-125 [PZ]</t>
  </si>
  <si>
    <t>DISCOS EMBRAGUE. JGO. CG-125 [PZ]</t>
  </si>
  <si>
    <t>DISCOS EMBRAGUE. JGO. CG-125/CG-150/CG-200/INVICTA/CB-190/RK-150/TX-200/TTX-250 ''VINI'' [IM]</t>
  </si>
  <si>
    <t>DISCOS EMBRAGUE. JGO. FZ-16/YZF-R15/CBR-250 ''VINI'' [IM]</t>
  </si>
  <si>
    <t>DISCOS EMBRAGUE. JGO. FZ-16/YZF-R15/CBR-250 [PZ]</t>
  </si>
  <si>
    <t>DISCOS EMBRAGUE. JGO. GN-125/GXT-200/RKV/RKS [PZ]</t>
  </si>
  <si>
    <t>DISCOS EMBRAGUE. JGO. GN-125/GXT-200/RKV/RKS/DR-200/BENELLI-180''VINI'' [IM]</t>
  </si>
  <si>
    <t>DISCOS EMBRAGUE. JGO. GS-150/GXT-200 [PZ]</t>
  </si>
  <si>
    <t>DISCOS EMBRAGUE. JGO. HJ-110 [PZ]</t>
  </si>
  <si>
    <t>DISCOS EMBRAGUE. JGO. YBR-125 [PZ]</t>
  </si>
  <si>
    <t>DR-160S</t>
  </si>
  <si>
    <t>MOTOCICLETA</t>
  </si>
  <si>
    <t>MOTOCICLETA: NUEVA&lt;br&gt;MARCA: HAOJUE&lt;br&gt;MODELO: DR-160S&lt;br&gt;COMBUSTIBLE: GASOLINA&lt;br&gt;COLOR: NEGRO-ROJO&lt;br&gt;PESO BRUTO VEHICULAR: 156 KG&lt;br&gt;AÑO DE FABRICACIÓN: 2023&lt;br&gt;ESTADO: NUEVA SIN USO&lt;br&gt;Nº DE CHASIS: LC6PCKGJ1N0001516&lt;br&gt;Nº DE MOTOR: 160FMJH2A009940</t>
  </si>
  <si>
    <t>EJE BASCULANTE CB-190R ''VINI'' [IM]</t>
  </si>
  <si>
    <t xml:space="preserve">EJES  </t>
  </si>
  <si>
    <t>EJE BASCULANTE CB1-125 ''VINI'' [IM]</t>
  </si>
  <si>
    <t>EJE BASCULANTE XR-250 TORNADO ''VINI'' [IM]</t>
  </si>
  <si>
    <t>EJE BASCULANTE XTZ-125 ''VINI'' [IM]</t>
  </si>
  <si>
    <t>EJE BASCULANTE YBR-125/XR-190L ''VINI'' [IM]</t>
  </si>
  <si>
    <t>EJE DELANTERO CG-125 (12X21) [PZ]</t>
  </si>
  <si>
    <t>EJE DELANTERO CG-125/XR-125L/XR-150L/XR-190L 12X20 [PZ]</t>
  </si>
  <si>
    <t>EJE DELANTERO CHOPPER (15X29.5) [PZ]</t>
  </si>
  <si>
    <t>EJE DELANTERO GN-125 [PZ]</t>
  </si>
  <si>
    <t>EJE LEVAS AN-125 [PZ]</t>
  </si>
  <si>
    <t>EJES DE LEVAS</t>
  </si>
  <si>
    <t>EJE LEVAS CB-125F TWISTER ''VINI'' [IM]</t>
  </si>
  <si>
    <t>EJE LEVAS CB-190R ''VINI'' [IM]</t>
  </si>
  <si>
    <t>EJE LEVAS CB1-125 ''VINI'' [IM]</t>
  </si>
  <si>
    <t>EJE LEVAS CB1-125 [PZ]</t>
  </si>
  <si>
    <t>EJE LEVAS CBF-150 INVICTA/XR-150L [PZ]</t>
  </si>
  <si>
    <t>EJE LEVAS CBP-250/RE-250 [PZ]</t>
  </si>
  <si>
    <t>EJE LEVAS FZ-16 (PERFORMANCE) ''VINI HOT PARTS'' [IM]</t>
  </si>
  <si>
    <t>EJE LEVAS FZ-16 2.0 ''VINI'' [IM]</t>
  </si>
  <si>
    <t>EJE LEVAS FZ-16 [PZ]</t>
  </si>
  <si>
    <t>EJE LEVAS GIXXER-150 ''VINI HOT PARTS'' [IM]</t>
  </si>
  <si>
    <t>EJE LEVAS GIXXER-150 ''VINI'' [IM]</t>
  </si>
  <si>
    <t>EJE LEVAS GN-125/GXT-200/EN-125 ''VINI'' [IM]</t>
  </si>
  <si>
    <t>EJE LEVAS GN-125/GXT-200/EN-125 [PZ]</t>
  </si>
  <si>
    <t>EJE LEVAS GXT-200/DR-200 [PZ]</t>
  </si>
  <si>
    <t>EJE LEVAS GXT-200/GN-125 [PZ]</t>
  </si>
  <si>
    <t>EJE LEVAS INVICTA/XR-150L ''VINI HOT PARTS'' [IM]</t>
  </si>
  <si>
    <t>EJE LEVAS KA-150 ''COMPLETO'' [PZ]</t>
  </si>
  <si>
    <t>EJE LEVAS PIT-BIKE 110/125 CC [PZ]</t>
  </si>
  <si>
    <t>EJE LEVAS PULSAR-135 [PZ]</t>
  </si>
  <si>
    <t>EJE LEVAS PULSAR-200NS ''VINI HOT PARTS'' [IM]</t>
  </si>
  <si>
    <t>EJE LEVAS PULSAR-200NS ''VINI'' [IM]</t>
  </si>
  <si>
    <t>EJE LEVAS PULSAR-200NS/PULSAR-200RS [PZ]</t>
  </si>
  <si>
    <t>EJE LEVAS PULSAR-220F/S [PZ]</t>
  </si>
  <si>
    <t>EJE LEVAS XL-250S/R [PZ]</t>
  </si>
  <si>
    <t>EJE LEVAS XR-200 (BRASIL) [PZ]</t>
  </si>
  <si>
    <t>EJE LEVAS XR-200 BRASIL (KBB) ''VINI'' [IM]</t>
  </si>
  <si>
    <t>EJE LEVAS XR-250 TORNADO/CBX-250 ''VINI HOT PARTS'' [IM]</t>
  </si>
  <si>
    <t>EJE LEVAS XTZ-250/FZ-25/YS-250 FAZER/YBR-250 ''VINI'' [IM]</t>
  </si>
  <si>
    <t>EJE LEVAS YBR-125 ''VINI'' [IM]</t>
  </si>
  <si>
    <t>EJE LEVAS YBR-125/XTZ-125 ''VINI HOT PARTS'' [IM]</t>
  </si>
  <si>
    <t>EJE LEVAS YBR-125/XTZ-125 [PZ]</t>
  </si>
  <si>
    <t>EJE LEVAS YZF-R15 ''VINI'' [IM]</t>
  </si>
  <si>
    <t>EJE LEVAS YZF-R15 [PZ]</t>
  </si>
  <si>
    <t>EJE OSCILANTE CHOPPER (14X32) [PZ]</t>
  </si>
  <si>
    <t>EJE OSCILANTE GN-125 (14X25) [PZ]</t>
  </si>
  <si>
    <t>EJE PEDAL CAMBIOS CB-190R ''VINI'' [IM]</t>
  </si>
  <si>
    <t>EJE PEDAL CAMBIOS CBF-150 INVICTA/XR-150L ''VINI'' [IM]</t>
  </si>
  <si>
    <t>EJE PEDAL CAMBIOS CG-125 ''VINI'' [IM]</t>
  </si>
  <si>
    <t>EJE PEDAL CAMBIOS GN-125H ''VINI'' [IM]</t>
  </si>
  <si>
    <t>EJE PEDAL CAMBIOS PULSAR-160NS ''VINI'' [IM]</t>
  </si>
  <si>
    <t>EJE PEDAL PARTIDA SCOOTER (LARGO) [PZ]</t>
  </si>
  <si>
    <t>EJE PEDAL PARTIDA SCOOTER-125 GY6 ''VINI'' [IM]</t>
  </si>
  <si>
    <t>EJE PEDAL PARTIDA SCOOTER-125 GY6 146MM. ''VINI'' [IM]</t>
  </si>
  <si>
    <t>EJE PEDAL PARTIDA SCOOTER-125 GY6 170MM ''VINI'' [IM]</t>
  </si>
  <si>
    <t>EJE PEDAL PARTIDA SCOOTER-125/150 [PZ]</t>
  </si>
  <si>
    <t>EJE PEDAL PARTIDA YBR-125 ''VINI'' [IM]</t>
  </si>
  <si>
    <t>EJE PIÑON ATAQUE COMPLETO KA-150 [PZ]</t>
  </si>
  <si>
    <t>EJE PIÑON ATAQUE LX180NK (COMPLETO) [PZ]</t>
  </si>
  <si>
    <t>EJE PRIMARIO CG-125 [PZ]</t>
  </si>
  <si>
    <t>EJE PRIMARIO KA-150 ''COMPLETO'' [PZ]</t>
  </si>
  <si>
    <t>EJE PRIMARIO LX-180NK (COMPLETO) [PZ]</t>
  </si>
  <si>
    <t>EJE RUEDA 10X18 [PZ]</t>
  </si>
  <si>
    <t>EJE RUEDA 10X25 [PZ]</t>
  </si>
  <si>
    <t>EJE RUEDA 12X19 [PZ]</t>
  </si>
  <si>
    <t>EJE RUEDA 15X25 [PZ]</t>
  </si>
  <si>
    <t>EJE RUEDA DELANTERA CG-125 [PZ]</t>
  </si>
  <si>
    <t>EJE RUEDA DELANTERA GS-125 [PZ]</t>
  </si>
  <si>
    <t>EJE RUEDA TRASERA CG-125 (15X25) [PZ]</t>
  </si>
  <si>
    <t>EJE TRASERO CHOPPER (15X28.5) [PZ]</t>
  </si>
  <si>
    <t>EJE TRASERO GN-125 (15X26.5) [PZ]</t>
  </si>
  <si>
    <t>EMBRAGUE CENTRIFUGO BICIMOTO (ST-50) [PZ]</t>
  </si>
  <si>
    <t>EMBRAGUE CENTRIFUGO ELITE-125 (GY6) [PZ]</t>
  </si>
  <si>
    <t>EMBRAGUE CENTRIFUGO ELITE-125/SCOOTER-125/150 [PZ]</t>
  </si>
  <si>
    <t>EMBRAGUE CENTRIFUGO POCKET/ATV [PZ]</t>
  </si>
  <si>
    <t>EMBRAGUE CENTRIFUGO SCOOTER-125/150 GY6 ''VINI'' [IM]</t>
  </si>
  <si>
    <t>EMBRAGUE CENTRIFUGO YW-100 BWS/JOG-100 ''VINI'' [IM]</t>
  </si>
  <si>
    <t>EMBRAGUE CENTRIFUGO YW-125 BWS ''VINI'' [IM]</t>
  </si>
  <si>
    <t>EMBRAGUE COMPLETO (COLUMNA 5 PERNOS) ZONGSHENG GY-200 [PZ]</t>
  </si>
  <si>
    <t>EMBRAGUE COMPLETO 110C.C. [PZ]</t>
  </si>
  <si>
    <t>EMBRAGUE COMPLETO 49C.C. [PZ]</t>
  </si>
  <si>
    <t>EMBRAGUE COMPLETO BICIMOTO 49CC (ST-50) [PZ]</t>
  </si>
  <si>
    <t>EMBRAGUE COMPLETO CB-190R [PZ]</t>
  </si>
  <si>
    <t>EMBRAGUE COMPLETO CB1-125 TUF [PZ]</t>
  </si>
  <si>
    <t>EMBRAGUE COMPLETO CB1-TUF ''VINI'' [IM]</t>
  </si>
  <si>
    <t>EMBRAGUE COMPLETO CBF-125/NEW-STORM [PZ]</t>
  </si>
  <si>
    <t>EMBRAGUE COMPLETO CG-125/HJ125-7 ''VINI'' [IM]</t>
  </si>
  <si>
    <t>EMBRAGUE COMPLETO FZ-16 ''VINI'' [IM]</t>
  </si>
  <si>
    <t>EMBRAGUE COMPLETO FZ-16 [PZ]</t>
  </si>
  <si>
    <t>EMBRAGUE COMPLETO GN-125H ''VINI'' [IM]</t>
  </si>
  <si>
    <t>EMBRAGUE COMPLETO PULSAR-135 [PZ]</t>
  </si>
  <si>
    <t>EMBRAGUE COMPLETO PULSAR-220 [PZ]</t>
  </si>
  <si>
    <t>EMBRAGUE COMPLETO XR-250 TORNADO ''VINI'' [IM]</t>
  </si>
  <si>
    <t>EMBRAGUE COMPLETO XTZ-125 [PZ]</t>
  </si>
  <si>
    <t>EMBRAGUE COMPLETO XTZ-250/FZ-25/YS-250 FAZER/YBR-250 ''VINI'' [IM]</t>
  </si>
  <si>
    <t>EMBRAGUE COMPLETO YBR-125 (5 DISCOS) ''VINI'' [IM]</t>
  </si>
  <si>
    <t>EMBRAGUE COMPLETO YBR-125 [PZ]</t>
  </si>
  <si>
    <t>EMBRAGUE COMPLETO YBR-125/XTZ-125 (4 DISCOS) ''VINI'' [IM]</t>
  </si>
  <si>
    <t>EMBRAGUE COMPLETO YBR-125/XTZ-125 [PZ]</t>
  </si>
  <si>
    <t>EMBRAGUE PARTIDA CB-190R/XR-190/XR-250 TORNADO [PZ]</t>
  </si>
  <si>
    <t>EMBRAGUES DE PARTIDA</t>
  </si>
  <si>
    <t>EMBRAGUE PARTIDA CBF-150 INVICTA/TORNADO/XR-150 ''VINI'' [IM]</t>
  </si>
  <si>
    <t>EMBRAGUE PARTIDA CBF-150 INVICTA/XR-150L C/PIÑON [PZ]</t>
  </si>
  <si>
    <t>EMBRAGUE PARTIDA CBX-250/XR-200/TORNADO [PZ]</t>
  </si>
  <si>
    <t>EMBRAGUE PARTIDA CG-100 PASSION-PRO/BICIMOTO ST-50 [PZ]</t>
  </si>
  <si>
    <t>EMBRAGUE PARTIDA CG-100/EXPRESS-100/BICIMOTO ''VINI'' [IM]</t>
  </si>
  <si>
    <t>EMBRAGUE PARTIDA CG-100/EXPRESS-100/BICIMOTO [PZ]</t>
  </si>
  <si>
    <t>EMBRAGUE PARTIDA FZ-16 ''VINI'' [IM]</t>
  </si>
  <si>
    <t>EMBRAGUE PARTIDA FZ-16 [PZ]</t>
  </si>
  <si>
    <t>EMBRAGUE PARTIDA GN-125H/RKS-150/TX-150 ''VINI'' [IM]</t>
  </si>
  <si>
    <t>EMBRAGUE PARTIDA GXT-200/DR-200/RACER 250RR/TTX-250 LIMITED/TTX-300 ''VINI'' [IM]</t>
  </si>
  <si>
    <t>EMBRAGUE PARTIDA NXR-150 [PZ]</t>
  </si>
  <si>
    <t>EMBRAGUE PARTIDA PULSAR-135 [PZ]</t>
  </si>
  <si>
    <t>EMBRAGUE PARTIDA PULSAR-180 [PZ]</t>
  </si>
  <si>
    <t>EMBRAGUE PARTIDA PULSAR-200NS ''VINI'' [IM]</t>
  </si>
  <si>
    <t>EMBRAGUE PARTIDA RENEGADE-200 (C/PIÑON 57D) [PZ]</t>
  </si>
  <si>
    <t>EMBRAGUE PARTIDA RENEGADE-200/AK-125/TTX-250/CG-150/CG-200 ''VINI'' [IM]</t>
  </si>
  <si>
    <t>EMBRAGUE PARTIDA SCOOTER 125/150 [PZ]</t>
  </si>
  <si>
    <t>EMBRAGUE PARTIDA SCOOTER-125 ''VINI'' [IM]</t>
  </si>
  <si>
    <t>EMBRAGUE PARTIDA SCOOTER-150 ''VINI'' [IM]</t>
  </si>
  <si>
    <t>EMBRAGUE PARTIDA XTZ-250/FZ-25/YBR-250/REGAL RAPTOR-400 (SOLO CANASTILLO) ''VINI'' [IM]</t>
  </si>
  <si>
    <t>EMBRAGUE PARTIDA YBA-125 ENTICER [PZ]</t>
  </si>
  <si>
    <t>EMBRAGUE PARTIDA YBR-125/XTZ-125 ''VINI'' [IM]</t>
  </si>
  <si>
    <t>EMBRAGUE PARTIDA YBR-125/XTZ-125 [PZ]</t>
  </si>
  <si>
    <t>EMBRAGUE PARTIDA YW-125 BWS [PZ]</t>
  </si>
  <si>
    <t>EMBRAGUE PARTIDA YZF-R15 [PZ]</t>
  </si>
  <si>
    <t>EMPAQUETADURA BASE CILINDRO CG-200 [PZ]</t>
  </si>
  <si>
    <t>EMPAQUETADURAS</t>
  </si>
  <si>
    <t>EMPAQUETADURA BASE CILINDRO DSR-200/MAX-150 [PZ]</t>
  </si>
  <si>
    <t>EMPAQUETADURA BASE CILINDRO ELITE-125 [PZ]</t>
  </si>
  <si>
    <t>EMPAQUETADURA BASE CILINDRO GIXXER-150 [PZ]</t>
  </si>
  <si>
    <t>EMPAQUETADURA BASE CILINDRO XR-250 TORNADO [PZ]</t>
  </si>
  <si>
    <t>EMPAQUETADURA BASE CILINDRO XR-250R [PZ]</t>
  </si>
  <si>
    <t>EMPAQUETADURA BASE CILINDRO XR-250R/XLR-250R [PZ]</t>
  </si>
  <si>
    <t>EMPAQUETADURA BASE CILINDRO YBR-125/XTZ-125 [PZ]</t>
  </si>
  <si>
    <t>EMPAQUETADURA BASE CILINDRO YW-125 BWS [PZ]</t>
  </si>
  <si>
    <t>EMPAQUETADURA CULATA DUKE-250/DOMINAR-250 [PZ]</t>
  </si>
  <si>
    <t>EMPAQUETADURA CULATA RENEGADE-200 [PZ]</t>
  </si>
  <si>
    <t>EMPAQUETADURA CULATA XR-250 TORNADO/CBX-250 [PZ]</t>
  </si>
  <si>
    <t>EMPAQUETADURA CULATA YBR-125/XTZ-125 [PZ]</t>
  </si>
  <si>
    <t>EMPAQUETADURA CULATA YW-125 BWS [PZ]</t>
  </si>
  <si>
    <t>EMPAQUETADURA ESCAPE CB1-125 [PZ]</t>
  </si>
  <si>
    <t>EMPAQUETADURA ESCAPE CG-125 [PZ]</t>
  </si>
  <si>
    <t>EMPAQUETADURA MOTOR CENTRO CG-125 [PZ]</t>
  </si>
  <si>
    <t>EMPAQUETADURA MOTOR EMBRAGUE DUKE-200 [PZ]</t>
  </si>
  <si>
    <t>EMPAQUETADURA MOTOR EMBRAGUE FZ-25/YS-250 FAZER/XTZ-250</t>
  </si>
  <si>
    <t>EMPAQUETADURA MOTOR EMBRAGUE GXT-200/DR-200 [PZ]</t>
  </si>
  <si>
    <t>EMPAQUETADURA MOTOR EMBRAGUE XBLADE-160 [PZ]</t>
  </si>
  <si>
    <t>EMPAQUETADURA MOTOR EMBRAGUE XR-250 TORNADO/CBX-250/XRE-300</t>
  </si>
  <si>
    <t>EMPAQUETADURA MOTOR EMBRAGUE XR-400R [PZ]</t>
  </si>
  <si>
    <t>EMPAQUETADURA MOTOR EMBRAGUE XTZ-250/YBR-250 [PZ]</t>
  </si>
  <si>
    <t>EMPAQUETADURA MOTOR EMBRAGUE YZF-R15 [PZ]</t>
  </si>
  <si>
    <t>EMPAQUETADURA MOTOR VOLANTE CB-190 [PZ]</t>
  </si>
  <si>
    <t>EMPAQUETADURA MOTOR VOLANTE CB1-125 [PZ]</t>
  </si>
  <si>
    <t>EMPAQUETADURA MOTOR VOLANTE DUKE-200 [PZ]</t>
  </si>
  <si>
    <t>EMPAQUETADURA MOTOR VOLANTE NINJA-250/NINJA-300 [PZ]</t>
  </si>
  <si>
    <t>EMPAQUETADURA MOTOR VOLANTE NX-400 FALCON [PZ]</t>
  </si>
  <si>
    <t>EMPAQUETADURA MOTOR VOLANTE XBLADE-160/CB-190R [PZ]</t>
  </si>
  <si>
    <t>EMPAQUETADURA MOTOR VOLANTE XL-200/XR-200 BRASIL [PZ]</t>
  </si>
  <si>
    <t>EMPAQUETADURA MOTOR VOLANTE XR-250 TORNADO [PZ]</t>
  </si>
  <si>
    <t>EMPAQUETADURA MOTOR VOLANTE XRE-300 [PZ]</t>
  </si>
  <si>
    <t>EMPAQUETADURA TAPA CULATA CB-125/CB-125T [PZ]</t>
  </si>
  <si>
    <t>EMPAQUETADURA TAPA CULATA CB-190R/XR-190L [PZ]</t>
  </si>
  <si>
    <t>EMPAQUETADURA TAPA CULATA CG-150T/JOB/INVICTA [PZ]</t>
  </si>
  <si>
    <t>EMPAQUETADURA TAPA CULATA DOMINAR-400 [PZ]</t>
  </si>
  <si>
    <t>EMPAQUETADURA TAPA CULATA GIXXER-150 [PZ]</t>
  </si>
  <si>
    <t>EMPAQUETADURA TAPA CULATA GN-125 [PZ]</t>
  </si>
  <si>
    <t>EMPAQUETADURA TAPA CULATA NV-400/VT-500 [PZ]</t>
  </si>
  <si>
    <t>EMPAQUETADURA TAPA CULATA XR-250 TORNADO [PZ]</t>
  </si>
  <si>
    <t>EMPAQUETADURA TAPA CULATA XR-250 TORNADO/CBX-250 [PZ]</t>
  </si>
  <si>
    <t>EMPAQUETADURA TAPA CULATA XRE-300 C/RETENES [PZ]</t>
  </si>
  <si>
    <t>EMPAQUETADURA TAPA CULATA XRE-300 [PZ]</t>
  </si>
  <si>
    <t>EMPAQUETADURA TAPA CULATA YZF-R15 [PZ]</t>
  </si>
  <si>
    <t>EMPAQUETADURAS. JGO COMPLETO CG-100 PASSION [PZ]</t>
  </si>
  <si>
    <t>EMPAQUETADURAS. JGO. ''A'' AX-4 [PZ]</t>
  </si>
  <si>
    <t>EMPAQUETADURAS. JGO. ''A'' CB-190/XR-190 [PZ]</t>
  </si>
  <si>
    <t>EMPAQUETADURAS. JGO. ''A'' CB1-125 [PZ]</t>
  </si>
  <si>
    <t>EMPAQUETADURAS. JGO. ''A'' CBF-125/ NEW-STORM [PZ]</t>
  </si>
  <si>
    <t>EMPAQUETADURAS. JGO. ''A'' CBF-125/NEW-STORM [PZ]</t>
  </si>
  <si>
    <t>EMPAQUETADURAS. JGO. ''A'' CBF-150 INVICTA/CG150/JOB [PZ]</t>
  </si>
  <si>
    <t>EMPAQUETADURAS. JGO. ''A'' CBX-250 TWISTER SIN TAPA [PZ]</t>
  </si>
  <si>
    <t>EMPAQUETADURAS. JGO. ''A'' CG-125 [PZ]</t>
  </si>
  <si>
    <t>EMPAQUETADURAS. JGO. ''A'' CG-125KS/ES TITAN [PZ]</t>
  </si>
  <si>
    <t>EMPAQUETADURAS. JGO. ''A'' CG-250 [PZ]</t>
  </si>
  <si>
    <t>EMPAQUETADURAS. JGO. ''A'' CGL-125 [PZ]</t>
  </si>
  <si>
    <t>EMPAQUETADURAS. JGO. ''A'' CR-250R [PZ]</t>
  </si>
  <si>
    <t>EMPAQUETADURAS. JGO. ''A'' CRF-230 /YS250/LX250 [PZ]</t>
  </si>
  <si>
    <t>EMPAQUETADURAS. JGO. ''A'' ELITE-125 [PZ]</t>
  </si>
  <si>
    <t>EMPAQUETADURAS. JGO. ''A'' EN-125/GS-125 [PZ]</t>
  </si>
  <si>
    <t>EMPAQUETADURAS. JGO. ''A'' FZ-250 FAZER [PZ]</t>
  </si>
  <si>
    <t>EMPAQUETADURAS. JGO. ''A'' GIXXER-150 [PZ]</t>
  </si>
  <si>
    <t>EMPAQUETADURAS. JGO. ''A'' GN-125 [PZ]</t>
  </si>
  <si>
    <t>EMPAQUETADURAS. JGO. ''A'' GS-150R [PZ]</t>
  </si>
  <si>
    <t>EMPAQUETADURAS. JGO. ''A'' GZ-150 [PZ]</t>
  </si>
  <si>
    <t>EMPAQUETADURAS. JGO. ''A'' KLR-250 [PZ]</t>
  </si>
  <si>
    <t>EMPAQUETADURAS. JGO. ''A'' MATRIX-150 [PZ]</t>
  </si>
  <si>
    <t>EMPAQUETADURAS. JGO. ''A'' NX-400 FALCON/XR-400R [PZ]</t>
  </si>
  <si>
    <t>EMPAQUETADURAS. JGO. ''A'' PULSAR-135LS [PZ]</t>
  </si>
  <si>
    <t>EMPAQUETADURAS. JGO. ''A'' PULSAR-180UG [PZ]</t>
  </si>
  <si>
    <t>EMPAQUETADURAS. JGO. ''A'' PULSAR-200NS [PZ]</t>
  </si>
  <si>
    <t>EMPAQUETADURAS. JGO. ''A'' RENEGADE-200 [PZ]</t>
  </si>
  <si>
    <t>EMPAQUETADURAS. JGO. ''A'' SCOOTER-125 [PZ]</t>
  </si>
  <si>
    <t>EMPAQUETADURAS. JGO. ''A'' SCOOTER-150 [PZ]</t>
  </si>
  <si>
    <t>EMPAQUETADURAS. JGO. ''A'' STORM-125 [PZ]</t>
  </si>
  <si>
    <t>EMPAQUETADURAS. JGO. ''A'' TRX-250 [PZ]</t>
  </si>
  <si>
    <t>EMPAQUETADURAS. JGO. ''A'' U.M. 200 (C/CADENA DIST) [PZ]</t>
  </si>
  <si>
    <t>EMPAQUETADURAS. JGO. ''A'' XL-200/XR-200 (BRASIL) [PZ]</t>
  </si>
  <si>
    <t>EMPAQUETADURAS. JGO. ''A'' XR-125L C/VARILLAS [PZ]</t>
  </si>
  <si>
    <t>EMPAQUETADURAS. JGO. ''A'' XR-150L [PZ]</t>
  </si>
  <si>
    <t>EMPAQUETADURAS. JGO. ''A'' XR-190 [PZ]</t>
  </si>
  <si>
    <t>EMPAQUETADURAS. JGO. ''A'' XR-20R (JAPON) [PZ]</t>
  </si>
  <si>
    <t>EMPAQUETADURAS. JGO. ''A'' XR-250 (1986-2004) [PZ]</t>
  </si>
  <si>
    <t>EMPAQUETADURAS. JGO. ''A'' XR-250 TORNADO [PZ]</t>
  </si>
  <si>
    <t>EMPAQUETADURAS. JGO. ''A'' XR-250R (86/95) XLR-250R [PZ]</t>
  </si>
  <si>
    <t>EMPAQUETADURAS. JGO. ''A'' XT-225/TTR-230 [PZ]</t>
  </si>
  <si>
    <t>EMPAQUETADURAS. JGO. ''A'' XTREET-230 [PZ]</t>
  </si>
  <si>
    <t>EMPAQUETADURAS. JGO. ''A'' XTZ-125 [PZ]</t>
  </si>
  <si>
    <t>EMPAQUETADURAS. JGO. ''A'' XTZ-250/YBR-250 [PZ]</t>
  </si>
  <si>
    <t>EMPAQUETADURAS. JGO. ''A'' XV-250 VIRAGO [PZ]</t>
  </si>
  <si>
    <t>EMPAQUETADURAS. JGO. ''A'' YBR-125/XTZ-125 [PZ]</t>
  </si>
  <si>
    <t>EMPAQUETADURAS. JGO. ''A'' YBR-125/XTZ-125/YBA-125 [PZ]</t>
  </si>
  <si>
    <t>EMPAQUETADURAS. JGO. ''A'' YW-100 BWS [PZ]</t>
  </si>
  <si>
    <t>EMPAQUETADURAS. JGO. ''A'' YW-125 BWS [PZ]</t>
  </si>
  <si>
    <t>EMPAQUETADURAS. JGO. ''A'' YZF-R15 [PZ]</t>
  </si>
  <si>
    <t>EMPAQUETADURAS. JGO. COMPLETO AX4 [PZ]</t>
  </si>
  <si>
    <t>EMPAQUETADURAS. JGO. COMPLETO BWS-125 [PZ]</t>
  </si>
  <si>
    <t>EMPAQUETADURAS. JGO. COMPLETO CB-160F [PZ]</t>
  </si>
  <si>
    <t>EMPAQUETADURAS. JGO. COMPLETO CB-190R/XR-190L [PZ]</t>
  </si>
  <si>
    <t>EMPAQUETADURAS. JGO. COMPLETO CB1-125 TWISTER [PZ]</t>
  </si>
  <si>
    <t>EMPAQUETADURAS. JGO. COMPLETO CBF-125 NEW-STORM [PZ]</t>
  </si>
  <si>
    <t>EMPAQUETADURAS. JGO. COMPLETO CBF-125 [PZ]</t>
  </si>
  <si>
    <t>EMPAQUETADURAS. JGO. COMPLETO CBF-150 INVICTA/XR-150L/RK-150 [PZ]</t>
  </si>
  <si>
    <t>EMPAQUETADURAS. JGO. COMPLETO CBF-150/XR-150L [PZ]</t>
  </si>
  <si>
    <t>EMPAQUETADURAS. JGO. COMPLETO CBF125/NEW STORM [PZ]</t>
  </si>
  <si>
    <t>EMPAQUETADURAS. JGO. COMPLETO CBP-250 [PZ]</t>
  </si>
  <si>
    <t>EMPAQUETADURAS. JGO. COMPLETO CBR-250 [PZ]</t>
  </si>
  <si>
    <t>EMPAQUETADURAS. JGO. COMPLETO CBX-250/TORNADO [PZ]</t>
  </si>
  <si>
    <t>EMPAQUETADURAS. JGO. COMPLETO CG-125/KS/TITAN [PZ]</t>
  </si>
  <si>
    <t>EMPAQUETADURAS. JGO. COMPLETO CG-150T/JOB/INVICTA [PZ]</t>
  </si>
  <si>
    <t>EMPAQUETADURAS. JGO. COMPLETO CG-150T/JOB/INVICTA/RK-150 [OF]</t>
  </si>
  <si>
    <t>EMPAQUETADURAS. JGO. COMPLETO CG-200 [PZ]</t>
  </si>
  <si>
    <t>EMPAQUETADURAS. JGO. COMPLETO CG-250 (C/VARILLAS) [PZ]</t>
  </si>
  <si>
    <t>EMPAQUETADURAS. JGO. COMPLETO CG-250 [PZ]</t>
  </si>
  <si>
    <t>EMPAQUETADURAS. JGO. COMPLETO CM-200T/JL250A [PZ]</t>
  </si>
  <si>
    <t>EMPAQUETADURAS. JGO. COMPLETO CRF-230F/YS250/LX250 [PZ]</t>
  </si>
  <si>
    <t>EMPAQUETADURAS. JGO. COMPLETO DOMINAR-400 [PZ]</t>
  </si>
  <si>
    <t>EMPAQUETADURAS. JGO. COMPLETO DR-200 [PZ]</t>
  </si>
  <si>
    <t>EMPAQUETADURAS. JGO. COMPLETO DUKE-200 [PZ]</t>
  </si>
  <si>
    <t>EMPAQUETADURAS. JGO. COMPLETO DUKE-390 [PZ]</t>
  </si>
  <si>
    <t>EMPAQUETADURAS. JGO. COMPLETO EXPRESS-100 [PZ]</t>
  </si>
  <si>
    <t>EMPAQUETADURAS. JGO. COMPLETO FZ-16 [PZ]</t>
  </si>
  <si>
    <t>EMPAQUETADURAS. JGO. COMPLETO FZ-25/YS-250 FAZER/XTZ-250 [PZ]</t>
  </si>
  <si>
    <t>EMPAQUETADURAS. JGO. COMPLETO GIXXER-150 [PZ]</t>
  </si>
  <si>
    <t>EMPAQUETADURAS. JGO. COMPLETO GN-250 [PZ]</t>
  </si>
  <si>
    <t>EMPAQUETADURAS. JGO. COMPLETO GS-125 [PZ]</t>
  </si>
  <si>
    <t>EMPAQUETADURAS. JGO. COMPLETO GS-150R [PZ]</t>
  </si>
  <si>
    <t>EMPAQUETADURAS. JGO. COMPLETO GXT-200QM200-2V [PZ]</t>
  </si>
  <si>
    <t>EMPAQUETADURAS. JGO. COMPLETO JL110/PIT-BIKE [PZ]</t>
  </si>
  <si>
    <t>EMPAQUETADURAS. JGO. COMPLETO JL150T-14B/ (GY6) [PZ]</t>
  </si>
  <si>
    <t>EMPAQUETADURAS. JGO. COMPLETO JL250GY [PZ]</t>
  </si>
  <si>
    <t>EMPAQUETADURAS. JGO. COMPLETO KLR-250 [PZ]</t>
  </si>
  <si>
    <t>EMPAQUETADURAS. JGO. COMPLETO KLR-650 [PZ]</t>
  </si>
  <si>
    <t>EMPAQUETADURAS. JGO. COMPLETO KLX-150 [PZ]</t>
  </si>
  <si>
    <t>EMPAQUETADURAS. JGO. COMPLETO NX-400/XR-400 [PZ]</t>
  </si>
  <si>
    <t>EMPAQUETADURAS. JGO. COMPLETO NXR-125 [PZ]</t>
  </si>
  <si>
    <t>EMPAQUETADURAS. JGO. COMPLETO PITBIKE-125 [PZ]</t>
  </si>
  <si>
    <t>EMPAQUETADURAS. JGO. COMPLETO PULSAR-160NS [PZ]</t>
  </si>
  <si>
    <t>EMPAQUETADURAS. JGO. COMPLETO PULSAR-180 [PZ]</t>
  </si>
  <si>
    <t>EMPAQUETADURAS. JGO. COMPLETO PULSAR-200NS/DUKE-200 [PZ]</t>
  </si>
  <si>
    <t>EMPAQUETADURAS. JGO. COMPLETO PULSAR-220 [PZ]</t>
  </si>
  <si>
    <t>EMPAQUETADURAS. JGO. COMPLETO PULSAR-220F [PZ]</t>
  </si>
  <si>
    <t>EMPAQUETADURAS. JGO. COMPLETO RE-200 TORITO [PZ]</t>
  </si>
  <si>
    <t>EMPAQUETADURAS. JGO. COMPLETO RENEGADE-200 [PZ]</t>
  </si>
  <si>
    <t>ANTIGUA</t>
  </si>
  <si>
    <t>NUEVA</t>
  </si>
  <si>
    <t>EMPAQUETADURAS. JGO. COMPLETO SCOOTER-125 [PZ]</t>
  </si>
  <si>
    <t>EMPAQUETADURAS. JGO. COMPLETO SCOOTER-150 [PZ]</t>
  </si>
  <si>
    <t>EMPAQUETADURAS. JGO. COMPLETO STORM-125 [PZ]</t>
  </si>
  <si>
    <t>EMPAQUETADURAS. JGO. COMPLETO TX-200 [PZ]</t>
  </si>
  <si>
    <t>EMPAQUETADURAS. JGO. COMPLETO XL-185 [PZ]</t>
  </si>
  <si>
    <t>EMPAQUETADURAS. JGO. COMPLETO XR-125L [PZ]</t>
  </si>
  <si>
    <t>EMPAQUETADURAS. JGO. COMPLETO XR-190 [PZ]</t>
  </si>
  <si>
    <t>EMPAQUETADURAS. JGO. COMPLETO XR-200R (JAPON) [PZ]</t>
  </si>
  <si>
    <t>EMPAQUETADURAS. JGO. COMPLETO XR-250 (1996-2004) [PZ]</t>
  </si>
  <si>
    <t>EMPAQUETADURAS. JGO. COMPLETO XRE-300 [PZ]</t>
  </si>
  <si>
    <t>EMPAQUETADURAS. JGO. COMPLETO XTZ-250/FZ-25 [PZ]</t>
  </si>
  <si>
    <t>EMPAQUETADURAS. JGO. COMPLETO XV-250 VIRAGO [PZ]</t>
  </si>
  <si>
    <t>EMPAQUETADURAS. JGO. COMPLETO YW-100 BWS [PZ]</t>
  </si>
  <si>
    <t>EMPAQUETADURAS. JGO. COMPLETO YZF-R15 [PZ]</t>
  </si>
  <si>
    <t>EMPAQUETADURAS. JGO. XTZ-125/YBA-125 ENTICER/YBR-125 [PZ]</t>
  </si>
  <si>
    <t>ESCAPE ''SC PROJECT'' ACERO INOXIDABLE ''TORNASOL'' [PZ]</t>
  </si>
  <si>
    <t>ESCAPE ACERO INOXIDABLE PUNTA DOBLE [PZ]</t>
  </si>
  <si>
    <t>ESCAPE ACERO INOXIDABLE PUNTA FIBRA CARBONO 3D [PZ]</t>
  </si>
  <si>
    <t>ESCAPE ACERO INOXIDABLE PUNTA REVOLVER [PZ]</t>
  </si>
  <si>
    <t>ESPEJO DERECHO 10MM DT-125E (HILO IZQ) NO PEDIR [PZ]</t>
  </si>
  <si>
    <t>ESPEJOS</t>
  </si>
  <si>
    <t>ESPEJO DERECHO 10MM VS-125 [PZ]</t>
  </si>
  <si>
    <t>ESPEJO DERECHO DR-160 [PZ]</t>
  </si>
  <si>
    <t>ESPEJO DERECHO KA-150/NK-150 [PZ]</t>
  </si>
  <si>
    <t>ESPEJO DERECHO KD-150J [PZ]</t>
  </si>
  <si>
    <t>ESPEJO DERECHO REX-150 [PZ]</t>
  </si>
  <si>
    <t>ESPEJO DERECHO TR-150S [PZ]</t>
  </si>
  <si>
    <t>ESPEJO IZQUIERDO 10MM VS-125 [PZ]</t>
  </si>
  <si>
    <t>ESPEJO IZQUIERDO DR-160 [PZ]</t>
  </si>
  <si>
    <t>ESPEJO IZQUIERDO KA-150/NK-150 [PZ]</t>
  </si>
  <si>
    <t>ESPEJO IZQUIERDO KD-150J [PZ]</t>
  </si>
  <si>
    <t>ESPEJO IZQUIERDO REX-150 [PZ]</t>
  </si>
  <si>
    <t>ESPEJO IZQUIERDO TR-150S [PZ]</t>
  </si>
  <si>
    <t>ESPEJO IZQUIERDO YZF-R15 [PZ]</t>
  </si>
  <si>
    <t>ESPEJOS. JGO. 08MM AX-100 ''VINI'' [IM]</t>
  </si>
  <si>
    <t>ESPEJOS. JGO. 08MM CHOPPER NEGRO (HILO IZQ) [PZ]</t>
  </si>
  <si>
    <t>ESPEJOS. JGO. 08MM CHOPPER NEGRO [PZ]</t>
  </si>
  <si>
    <t>ESPEJOS. JGO. 08MM ELITE-125 (HILO IZQ) [PZ]</t>
  </si>
  <si>
    <t>ESPEJOS. JGO. 08MM KEEWAY [PZ]</t>
  </si>
  <si>
    <t>ESPEJOS. JGO. 08MM RECTANGULAR [PZ]</t>
  </si>
  <si>
    <t>ESPEJOS. JGO. 08MM TIPO NAKED ''HQ'' [PZ]</t>
  </si>
  <si>
    <t>ESPEJOS. JGO. 08MM UNIVERSAL [PZ]</t>
  </si>
  <si>
    <t>ESPEJOS. JGO. 10MM AX-4 ''VINI'' [IM]</t>
  </si>
  <si>
    <t>ESPEJOS. JGO. 10MM BENELLI TNT-25/TNT-150/TNT-180/RKS-125/RKS-150/RK-150 ''HQ'' [PZ]</t>
  </si>
  <si>
    <t>ESPEJOS. JGO. 10MM CB-190R/CB-125F TWISTER (HILO INV) ''HQ'' [PZ]</t>
  </si>
  <si>
    <t>ESPEJOS. JGO. 10MM CB-190R/CB-125F TWISTER (HILO INV) [PZ]</t>
  </si>
  <si>
    <t>ESPEJOS. JGO. 10MM CG/TITAN NEGRO [PZ]</t>
  </si>
  <si>
    <t>ESPEJOS. JGO. 10MM FZ-16 ''VINI'' [IM]</t>
  </si>
  <si>
    <t>ESPEJOS. JGO. 10MM FZ-16/YBR-125 (HILO IZQ) [PZ]</t>
  </si>
  <si>
    <t>ESPEJOS. JGO. 10MM FZ-25 (HILO IZQ) [PZ]</t>
  </si>
  <si>
    <t>ESPEJOS. JGO. 10MM GIXXER-150 [PZ]</t>
  </si>
  <si>
    <t>ESPEJOS. JGO. 10MM GN-125/JL125-7 ''VINI'' [IM]</t>
  </si>
  <si>
    <t>ESPEJOS. JGO. 10MM GN-125/JL125-7 [PZ]</t>
  </si>
  <si>
    <t>ESPEJOS. JGO. 10MM GXT-200 ''HQ'' [PZ]</t>
  </si>
  <si>
    <t>ESPEJOS. JGO. 10MM HJ125-7/EN-125 ''VINI'' [IM]</t>
  </si>
  <si>
    <t>ESPEJOS. JGO. 10MM HJ125-7/EN-125 [PZ]</t>
  </si>
  <si>
    <t>ESPEJOS. JGO. 10MM KTM DUKE-200 [PZ]</t>
  </si>
  <si>
    <t>ESPEJOS. JGO. 10MM MT-03 [PZ]</t>
  </si>
  <si>
    <t>ESPEJOS. JGO. 10MM NEGRO CON SEÑALIZADORES (REDOND [PZ]</t>
  </si>
  <si>
    <t>ESPEJOS. JGO. 10MM NEW INVICTA-150 (HILO IZQ) [PZ]</t>
  </si>
  <si>
    <t>ESPEJOS. JGO. 10MM NINJA-300/NINJA-400 [PZ]</t>
  </si>
  <si>
    <t>ESPEJOS. JGO. 10MM OVALADO NEGRO [PZ]</t>
  </si>
  <si>
    <t>ESPEJOS. JGO. 10MM PULSAR-200NS ''VINI'' [IM]</t>
  </si>
  <si>
    <t>ESPEJOS. JGO. 10MM PULSAR-200NS [PZ]</t>
  </si>
  <si>
    <t>ESPEJOS. JGO. 10MM RECTANGULAR NEGRO [PZ]</t>
  </si>
  <si>
    <t>ESPEJOS. JGO. 10MM TIPO CG-100 (NEGRO) [PZ]</t>
  </si>
  <si>
    <t>ESPEJOS. JGO. 10MM TIPO ENDURO REDONDO ''VINI'' [IM]</t>
  </si>
  <si>
    <t>ESPEJOS. JGO. 10MM TIPO OVALADO ''JY-115'' ''VINI'' [IM]</t>
  </si>
  <si>
    <t>ESPEJOS. JGO. 10MM UNIVERSAL OVALADO NEGRO''VINI'' [IM]</t>
  </si>
  <si>
    <t>ESPEJOS. JGO. 10MM UNIVERSAL REDONDOS [PZ]</t>
  </si>
  <si>
    <t>ESPEJOS. JGO. 10MM UNIVERSAL [PZ]</t>
  </si>
  <si>
    <t>ESPEJOS. JGO. 10MM UNIVERSALES ''REDONDO'' [PZ]</t>
  </si>
  <si>
    <t>ESPEJOS. JGO. 10MM UNIVERSALES (HILO IZQ) [PZ]</t>
  </si>
  <si>
    <t>ESPEJOS. JGO. 10MM UNIVERSALES (NEGRO) [PZ]</t>
  </si>
  <si>
    <t>ESPEJOS. JGO. 10MM UNIVERSALES [PZ]</t>
  </si>
  <si>
    <t>ESPEJOS. JGO. 10MM XR-150L (HILO INV) ''HQ'' [PZ]</t>
  </si>
  <si>
    <t>ESPEJOS. JGO. 10MM XTZ-125 [PZ]</t>
  </si>
  <si>
    <t>ESPEJOS. JGO. 10MM YBR-125 (HILO IZQ) [PZ]</t>
  </si>
  <si>
    <t>ESPEJOS. JGO. CARENADO UNIVERSALES (ADAPTABLES) [PZ]</t>
  </si>
  <si>
    <t>ESPEJOS. JGO. CARENADO UNIVERSALES [PZ]</t>
  </si>
  <si>
    <t>ESPEJOS. JGO. PUNTA MANUBRIO (ROJO) [PZ]</t>
  </si>
  <si>
    <t>ESPEJOS. JGO. PUNTA MANUBRIO [PZ]</t>
  </si>
  <si>
    <t>NEGRO</t>
  </si>
  <si>
    <t>ESPEJOS. JGO. UNIVERSAL C/ADAPTADORES (AZUL) [PZ]</t>
  </si>
  <si>
    <t>ESPEJOS. JGO. UNIVERSAL C/ADAPTADORES (CROMADO) [PZ]</t>
  </si>
  <si>
    <t>ESPEJOS. JGO. UNIVERSAL C/ADAPTADORES (DORADO) [PZ]</t>
  </si>
  <si>
    <t>ESPEJOS. JGO. UNIVERSAL C/ADAPTADORES (NEGRO) [PZ]</t>
  </si>
  <si>
    <t>ESPEJOS. JGO. UNIVERSAL C/ADAPTADORES (ROJO) [PZ]</t>
  </si>
  <si>
    <t>ESPEJOS. JGO. UNIVERSAL C/ADAPTADORES [PZ]</t>
  </si>
  <si>
    <t>ESPEJOS. JGO. YZF-R15 (VERSION 2.0) [PZ]</t>
  </si>
  <si>
    <t>ESPEJOS. JGO. YZF-R15 (VERSION 3.0) [PZ]</t>
  </si>
  <si>
    <t>ESPUMA MANILLAS/PUÑOS UNIVERSAL [PZ]</t>
  </si>
  <si>
    <t>ESTANQUE BENCINA KA-150 ''NEGRO'' [PZ]</t>
  </si>
  <si>
    <t>ESTANQUES</t>
  </si>
  <si>
    <t>ESTANQUE YBR-125 [PZ]</t>
  </si>
  <si>
    <t>ESTATOR 06 BOBINAS C-100/BICIMOTO 49CC (ST-50)/EXPRESS-100 [PZ]</t>
  </si>
  <si>
    <t>ESTATORES</t>
  </si>
  <si>
    <t>ESTATOR 06 BOBINAS C-100/BICIMOTO [PZ]</t>
  </si>
  <si>
    <t>ESTATOR 06 BOBINAS SCOOTER-125 [PZ]</t>
  </si>
  <si>
    <t>ESTATOR 07 BOBINAS YBR-125 ''VINI'' [IM]</t>
  </si>
  <si>
    <t>ESTATOR 08 BOBINAS CB1-125 [OF]</t>
  </si>
  <si>
    <t>ESTATOR 08 BOBINAS CBF-125/CB1-125 (2 PERNOS) [PZ]</t>
  </si>
  <si>
    <t>ESTATOR 08 BOBINAS CBF-125/CB1-125 (3 PERNOS) [PZ]</t>
  </si>
  <si>
    <t>ESTATOR 08 BOBINAS CBF-150 ''VINI'' [IM]</t>
  </si>
  <si>
    <t>ESTATOR 08 BOBINAS CG-125 CHINA/REX-150 ''VINI'' [IM]</t>
  </si>
  <si>
    <t>ESTATOR 08 BOBINAS CG-125 [PZ]</t>
  </si>
  <si>
    <t>ESTATOR 08 BOBINAS CG-125/TTX-250/REX-150 ''VINI'' [IM]</t>
  </si>
  <si>
    <t>ESTATOR 08 BOBINAS ELITE-125 [PZ]</t>
  </si>
  <si>
    <t>ESTATOR 08 BOBINAS EXPRESS-100 [PZ]</t>
  </si>
  <si>
    <t>ESTATOR 08 BOBINAS HONDA ECO DELUXE [PZ]</t>
  </si>
  <si>
    <t>ESTATOR 08 BOBINAS HONDA SPLENDOR-100 [PZ]</t>
  </si>
  <si>
    <t>ESTATOR 08 BOBINAS PULSAR-135 [PZ]</t>
  </si>
  <si>
    <t>ESTATOR 08 BOBINAS PULSAR-150 [PZ]</t>
  </si>
  <si>
    <t>ESTATOR 08 BOBINAS YBR-125 ''VINI'' [IM]</t>
  </si>
  <si>
    <t>ESTATOR 11 BOBINAS SCOOTER-125 [PZ]</t>
  </si>
  <si>
    <t>ESTATOR 12 BOBINAS CRYSTAL-125 ''HAYPO'' [PZ]</t>
  </si>
  <si>
    <t>ESTATOR 12 BOBINAS FZ-16 ''VINI'' [IM]</t>
  </si>
  <si>
    <t>ESTATOR 12 BOBINAS FZ-16 2.0/FZ-25 [PZ]</t>
  </si>
  <si>
    <t>ESTATOR 12 BOBINAS FZ-16/2.0 ''VINI'' [IM]</t>
  </si>
  <si>
    <t>ESTATOR 12 BOBINAS GIXXER-150 ''VINI'' [IM]</t>
  </si>
  <si>
    <t>ESTATOR 12 BOBINAS PULSAR-150NS ''VINI'' [IM]</t>
  </si>
  <si>
    <t>ESTATOR 12 BOBINAS PULSAR-200NS ''VINI'' [IM]</t>
  </si>
  <si>
    <t>ESTATOR 12 BOBINAS PULSAR-200NS [PZ]</t>
  </si>
  <si>
    <t>ESTATOR 12 BOBINAS RE-250/TEKKEN 250/R25 MOTORRAD [PZ]</t>
  </si>
  <si>
    <t>ESTATOR 12 BOBINAS XR-150L ''VINI'' [IM]</t>
  </si>
  <si>
    <t>ESTATOR 12 BOBINAS XR-190L ''HONDA'' [OF]</t>
  </si>
  <si>
    <t>ESTATOR 12 BOBINAS YAMAHA [PZ]</t>
  </si>
  <si>
    <t>ESTATOR 18 BOBINAS CB-190R ''VINI'' [IM]</t>
  </si>
  <si>
    <t>ESTATOR 18 BOBINAS GN-125H [PZ]</t>
  </si>
  <si>
    <t>ESTATOR 18 BOBINAS GXT-200 [PZ]</t>
  </si>
  <si>
    <t>ESTATOR 18 BOBINAS NEW-STORM [PZ]</t>
  </si>
  <si>
    <t>ESTATOR 18 BOBINAS PULSAR-200NSFI (INYECTADA)/DUKE-200</t>
  </si>
  <si>
    <t>ESTATOR 18 BOBINAS SUZUKI-125 [PZ]</t>
  </si>
  <si>
    <t>EVITA SOLDADURA ACELERADOR (BRONCE) [PZ]</t>
  </si>
  <si>
    <t>EVITA SOLDADURA EMBRAGUE (BRONCE) [PZ]</t>
  </si>
  <si>
    <t>EVITA SOLDADURA EMBRAGUE (DORADO C/PUNTA) [PZ]</t>
  </si>
  <si>
    <t>EVITA SOLDADURA EMBRAGUE (GALVANIZADO) [PZ]</t>
  </si>
  <si>
    <t>EXTRACTOR EJE RUEDA [PZ]</t>
  </si>
  <si>
    <t>EXTRACTOR PIÑON CIGUEÑAL [PZ]</t>
  </si>
  <si>
    <t>EXTRACTOR TUERCA EMBRAGUE SCOOTER [PZ]</t>
  </si>
  <si>
    <t>EXTRACTOR TUERCA EMBRAGUE UNIVERSAL [PZ]</t>
  </si>
  <si>
    <t>EXTRACTOR VOLANTE CBF-150 INVICTA [PZ]</t>
  </si>
  <si>
    <t>EXTRACTOR VOLANTE UNIVERSAL [PZ]</t>
  </si>
  <si>
    <t>EXTRACTOR VOLANTE WY-125 [PZ]</t>
  </si>
  <si>
    <t>EXTRACTOR VOLANTE [PZ]</t>
  </si>
  <si>
    <t>EXTREMO DIRECCION. JGO ATV ''UNIVERSAL'' [PZ]</t>
  </si>
  <si>
    <t>EXTREMO DIRECCION. JGO. ATV ''UNIVERSAL'' [PZ]</t>
  </si>
  <si>
    <t>FILLER [PZ]</t>
  </si>
  <si>
    <t>FILTRO ACEITE ''K&amp;N'' BOMBARDIER [PZ]</t>
  </si>
  <si>
    <t>FILTROS</t>
  </si>
  <si>
    <t>FILTRO ACEITE ''K&amp;N'' DR/SX-200 [PZ]</t>
  </si>
  <si>
    <t>FILTRO ACEITE ''K&amp;N'' DUCATI 821 HIPERMOTARD [PZ]</t>
  </si>
  <si>
    <t>FILTRO ACEITE ''K&amp;N'' GPZ-400/600 [PZ]</t>
  </si>
  <si>
    <t>FILTRO ACEITE ''K&amp;N'' HARLEY SPORTSTER/HERITAJE [PZ]</t>
  </si>
  <si>
    <t>FILTRO ACEITE APRILIA [PZ]</t>
  </si>
  <si>
    <t>FILTRO ACEITE BENELLI TNT-25 [PZ]</t>
  </si>
  <si>
    <t>FILTRO ACEITE BENELLI TNT-302/TNT-300/TRK-502/RK6 [PZ]</t>
  </si>
  <si>
    <t>FILTRO ACEITE BMW F-650/F-800R [PZ]</t>
  </si>
  <si>
    <t>FILTRO ACEITE BMW G-310 ''PROTECH'' [PZ]</t>
  </si>
  <si>
    <t>FILTRO ACEITE BMW R-1200GS [PZ]</t>
  </si>
  <si>
    <t>FILTRO ACEITE CB-400F/550F/750F/GPZ-400/NINJA-250 [PZ]</t>
  </si>
  <si>
    <t>FILTRO ACEITE CF-400 (MM9) [PZ]</t>
  </si>
  <si>
    <t>FILTRO ACEITE CRF-250/450 [PZ]</t>
  </si>
  <si>
    <t>FILTRO ACEITE DR-200 ''VINI'' [IM]</t>
  </si>
  <si>
    <t>FILTRO ACEITE DR-200/ATV [PZ]</t>
  </si>
  <si>
    <t>FILTRO ACEITE DR-250/650/800/LS-650 [PZ]</t>
  </si>
  <si>
    <t>FILTRO ACEITE DRZ-400/LTZ-400/LTR-450/KLX-400 [PZ]</t>
  </si>
  <si>
    <t>FILTRO ACEITE FZ-16/FZN-150/XTZ-150/PULSAR-160NS/PULSAR-125NS/BENELLI TNT-150 [PZ]</t>
  </si>
  <si>
    <t>FILTRO ACEITE GIXXER-150 [PZ]</t>
  </si>
  <si>
    <t>FILTRO ACEITE GN-125H/EN-125/GIXXER/GT-250R/VS-125/BENELLI-180S/PULSAR-180 [PZ]</t>
  </si>
  <si>
    <t>FILTRO ACEITE GS-750 [PZ]</t>
  </si>
  <si>
    <t>FILTRO ACEITE GSXR-750/V-STROM 1000 [PZ]</t>
  </si>
  <si>
    <t>FILTRO ACEITE GSXR-750/V-STROM 250/650/1000/RZ3-CORSA [PZ]</t>
  </si>
  <si>
    <t>FILTRO ACEITE GT-650R (HYOSUNG) [PZ]</t>
  </si>
  <si>
    <t>FILTRO ACEITE GXT LARGO [PZ]</t>
  </si>
  <si>
    <t>FILTRO ACEITE KAWASAKI ANTIGUA [PZ]</t>
  </si>
  <si>
    <t>FILTRO ACEITE KTM DUKE-200 [PZ]</t>
  </si>
  <si>
    <t>FILTRO ACEITE KX-250/RMZ-250 [PZ]</t>
  </si>
  <si>
    <t>FILTRO ACEITE MT-03 (ANTIGUA)/XT-250/XT-660/XV-250 VIRAGO/400/550/750 [PZ]</t>
  </si>
  <si>
    <t>FILTRO ACEITE NC-250 [PZ]</t>
  </si>
  <si>
    <t>FILTRO ACEITE NINJA-250/GPZ-400 [PZ]</t>
  </si>
  <si>
    <t>FILTRO ACEITE NINJA-650 [PZ]</t>
  </si>
  <si>
    <t>FILTRO ACEITE NK-400 [PZ]</t>
  </si>
  <si>
    <t>FILTRO ACEITE PULSAR-125NS/150NS/160NS [PZ]</t>
  </si>
  <si>
    <t>FILTRO ACEITE PULSAR-180 ''HIBARI'' [PZ]</t>
  </si>
  <si>
    <t>FILTRO ACEITE PULSAR-200NS/PULSAR-200RS/DOMINAR-250/DOMINAR-400/DUKE-200/DUKE-390 [PZ]</t>
  </si>
  <si>
    <t>FILTRO ACEITE R1200GS 2013/2018 [PZ]</t>
  </si>
  <si>
    <t>FILTRO ACEITE SX-125/200 LT-160/ DR-200/ KN-132 [PZ]</t>
  </si>
  <si>
    <t>FILTRO ACEITE UNIVERSAL ''SENFINECO'' (MM9) [OF]</t>
  </si>
  <si>
    <t>FILTRO ACEITE VF-400/VF-750F [PZ]</t>
  </si>
  <si>
    <t>FILTRO ACEITE VS-125/GN-125H/AN-125/BENELLI-180S [PZ]</t>
  </si>
  <si>
    <t>FILTRO ACEITE XR-250 TORNADO/XRE-300/NX 250/NX 650/CBX TWISTER 250/CB 500 2 CILIN (HIBARI) [PZ]</t>
  </si>
  <si>
    <t>FILTRO ACEITE XR-250R/XLR-250R/CBX-250/XRE-300/CBR-250/CBR-300</t>
  </si>
  <si>
    <t>FILTRO ACEITE XR-250R/XLR-250R/CBX-250/XRE-300/CBR-250/CBR-300 C/O´RINES [PZ]</t>
  </si>
  <si>
    <t>FILTRO ACEITE XR-250R/XLR-250R/CBX-250/XRE-300/CBR-250/CBR-300 [PZ]</t>
  </si>
  <si>
    <t>FILTRO ACEITE XS-250/XS-750 (1L9) [PZ]</t>
  </si>
  <si>
    <t>FILTRO ACEITE XT-250/XV-250 VIRAGO/400/750/2HO [PZ]</t>
  </si>
  <si>
    <t>FILTRO ACEITE YZ-250F/YZF-R15/ZONGSHEN RX1/FZ-25 ''VINI'' [IM]</t>
  </si>
  <si>
    <t>FILTRO ACEITE YZF-250 (00/02)/YZF-R15 (MALLA) [PZ]</t>
  </si>
  <si>
    <t>FILTRO ACEITE YZF-R15/FZ-25 [PZ]</t>
  </si>
  <si>
    <t>FILTRO AIRE ''K&amp;N'' CBR-250 [PZ]</t>
  </si>
  <si>
    <t>FILTRO AIRE ''K&amp;N'' NINJA-250 [PZ]</t>
  </si>
  <si>
    <t>FILTRO AIRE ''K&amp;N'' PULSAR-200NS [PZ]</t>
  </si>
  <si>
    <t>FILTRO AIRE ''K&amp;N'' YZF-R15 [PZ]</t>
  </si>
  <si>
    <t>FILTRO AIRE AT-115 NOUVO [PZ]</t>
  </si>
  <si>
    <t>FILTRO AIRE BENELLI-180S [PZ]</t>
  </si>
  <si>
    <t>FILTRO AIRE BICIMOTO 49CC (ST-50) [PZ]</t>
  </si>
  <si>
    <t>FILTRO AIRE CB-190R [PZ]</t>
  </si>
  <si>
    <t>FILTRO AIRE CBF-125 STUNNER [PZ]</t>
  </si>
  <si>
    <t>FILTRO AIRE CBF-150 INVICTA ''VINI'' [IM]</t>
  </si>
  <si>
    <t>FILTRO AIRE CBF-150 INVICTA/NEW-INVICTA (HIBARI) [PZ]</t>
  </si>
  <si>
    <t>FILTRO AIRE CBR-250 ''HIBARI'' [PZ]</t>
  </si>
  <si>
    <t>FILTRO AIRE CBR-250/CBR-300 [PZ]</t>
  </si>
  <si>
    <t>FILTRO AIRE CBX-250 TWISTER [PZ]</t>
  </si>
  <si>
    <t>FILTRO AIRE CG-125 (ELEMENTO) [PZ]</t>
  </si>
  <si>
    <t>FILTRO AIRE CG-150 TITAN [PZ]</t>
  </si>
  <si>
    <t>FILTRO AIRE CONICO ''35MM  ROJO'' [PZ]</t>
  </si>
  <si>
    <t>FILTRO AIRE CONICO ''35MM'' [PZ]</t>
  </si>
  <si>
    <t>FILTRO AIRE CONICO ''38/39/40MM'' ''VINI HOT PARTS'' [IM]</t>
  </si>
  <si>
    <t>FILTRO AIRE CYGNUS RAY-ZR [PZ]</t>
  </si>
  <si>
    <t>FILTRO AIRE DISCOVER 100/125 [PZ]</t>
  </si>
  <si>
    <t>FILTRO AIRE DL-650 V-STROM [PZ]</t>
  </si>
  <si>
    <t>FILTRO AIRE DR-160 [PZ]</t>
  </si>
  <si>
    <t>FILTRO AIRE DR-200/ GXT-200 [PZ]</t>
  </si>
  <si>
    <t>FILTRO AIRE DR-650 [PZ]</t>
  </si>
  <si>
    <t>FILTRO AIRE DUKE-250/DUKE-390 [PZ]</t>
  </si>
  <si>
    <t>FILTRO AIRE ELITE-125 [PZ]</t>
  </si>
  <si>
    <t>FILTRO AIRE ELITE-125FI [PZ]</t>
  </si>
  <si>
    <t>FILTRO AIRE FZ-16 ''HIBARI'' [PZ]</t>
  </si>
  <si>
    <t>FILTRO AIRE FZ-16 ''VINI'' [IM]</t>
  </si>
  <si>
    <t>FILTRO AIRE FZ-16 [PZ]</t>
  </si>
  <si>
    <t>FILTRO AIRE FZ-25/YS-250 FAZER [PZ]</t>
  </si>
  <si>
    <t>FILTRO AIRE FZ-600/FZ6-N/FZ6-S [PZ]</t>
  </si>
  <si>
    <t>FILTRO AIRE FZ-S/FZ 2.0 [PZ]</t>
  </si>
  <si>
    <t>FILTRO AIRE FZN-150 (2.0) [PZ]</t>
  </si>
  <si>
    <t>FILTRO AIRE GIXXER-150 [PZ]</t>
  </si>
  <si>
    <t>FILTRO AIRE GN-125/EN-125/XTREET-180(ELEMENTO) [PZ]</t>
  </si>
  <si>
    <t>FILTRO AIRE GN-125H/GSX-150 (ELEMENTO) [PZ]</t>
  </si>
  <si>
    <t>FILTRO AIRE GPZ-400/GPZ-600 [PZ]</t>
  </si>
  <si>
    <t>FILTRO AIRE GS-150R [PZ]</t>
  </si>
  <si>
    <t>FILTRO AIRE GXT-200 [PZ]</t>
  </si>
  <si>
    <t>FILTRO AIRE GY200 [PZ]</t>
  </si>
  <si>
    <t>FILTRO AIRE GZ-150 [PZ]</t>
  </si>
  <si>
    <t>FILTRO AIRE HJ-150-9 COOL/KD-150J/REX-150/VINTAGE CAFÉ [PZ]</t>
  </si>
  <si>
    <t>FILTRO AIRE HONDA-NAVI [PZ]</t>
  </si>
  <si>
    <t>FILTRO AIRE JL125 [PZ]</t>
  </si>
  <si>
    <t>FILTRO AIRE KA-150 [PZ]</t>
  </si>
  <si>
    <t>FILTRO AIRE KLX-150 ''KAWASAKI'' [PZ]</t>
  </si>
  <si>
    <t>FILTRO AIRE KTM DUKE-200 [PZ]</t>
  </si>
  <si>
    <t>FILTRO AIRE KTM DUKE-250/390 [PZ]</t>
  </si>
  <si>
    <t>FILTRO AIRE MT-03/YZF-R3 [PZ]</t>
  </si>
  <si>
    <t>FILTRO AIRE MT-09 [PZ]</t>
  </si>
  <si>
    <t>FILTRO AIRE NEW-ELITE-125 (CARBURADA) [PZ]</t>
  </si>
  <si>
    <t>FILTRO AIRE NEW-STORM/CB1-125/GL-150/SHADOW-150/XTREET-250X/CB-125F TWISTER [PZ]</t>
  </si>
  <si>
    <t>FILTRO AIRE NK-150 [OF]</t>
  </si>
  <si>
    <t>FILTRO AIRE NK-150 [PZ]</t>
  </si>
  <si>
    <t>FILTRO AIRE NXR-150 BROS/XR-125L/LF150GY-4 ''VINI'' [IM]</t>
  </si>
  <si>
    <t>FILTRO AIRE NXR-150 BROS/XR-125L/LF150GY-4 [PZ]</t>
  </si>
  <si>
    <t>FILTRO AIRE PULSAR [PZ]</t>
  </si>
  <si>
    <t>FILTRO AIRE PULSAR-125NS/PULSAR-135 ''HIBARI'' [PZ]</t>
  </si>
  <si>
    <t>FILTRO AIRE PULSAR-180/220F/S ''HIBARI'' [PZ]</t>
  </si>
  <si>
    <t>FILTRO AIRE PULSAR-180/220F/S 125/135/150 [PZ]</t>
  </si>
  <si>
    <t>FILTRO AIRE PULSAR-200NS ''HIBARI'' [PZ]</t>
  </si>
  <si>
    <t>FILTRO AIRE PULSAR-200NS FI/PULSAR-160NS/RS-200/DOMINAR-250/400 (INYECTADA) [PZ]</t>
  </si>
  <si>
    <t>FILTRO AIRE PULSAR-200NS [PZ]</t>
  </si>
  <si>
    <t>FILTRO AIRE RK-150 [PZ]</t>
  </si>
  <si>
    <t>FILTRO AIRE SCOOTER (TRIANGULAR) [PZ]</t>
  </si>
  <si>
    <t>FILTRO AIRE SCOOTER 125/150 (REDONDO) [PZ]</t>
  </si>
  <si>
    <t>FILTRO AIRE SH-125/150 SUZUKI/KGF (SCOOTER) [PZ]</t>
  </si>
  <si>
    <t>FILTRO AIRE STORM 125 [PZ]</t>
  </si>
  <si>
    <t>FILTRO AIRE STORM-125/CGL-125 [PZ]</t>
  </si>
  <si>
    <t>FILTRO AIRE SUZUKI [PZ]</t>
  </si>
  <si>
    <t>FILTRO AIRE TR150-S [PZ]</t>
  </si>
  <si>
    <t>FILTRO AIRE UNIVERSAL (CONICO) 48MM [PZ]</t>
  </si>
  <si>
    <t>FILTRO AIRE UNIVERSAL 35MM [PZ]</t>
  </si>
  <si>
    <t>FILTRO AIRE UNIVERSAL 39MM (CURVO) [PZ]</t>
  </si>
  <si>
    <t>FILTRO AIRE UNIVERSAL 45MM [PZ]</t>
  </si>
  <si>
    <t>FILTRO AIRE UNIVERSAL 48MM (AZUL) [PZ]</t>
  </si>
  <si>
    <t>FILTRO AIRE UNIVERSAL 50MM [PZ]</t>
  </si>
  <si>
    <t>FILTRO AIRE VS-125 [PZ]</t>
  </si>
  <si>
    <t>FILTRO AIRE XBLADE-160 [PZ]</t>
  </si>
  <si>
    <t>FILTRO AIRE XF-650 FREEWIND [PZ]</t>
  </si>
  <si>
    <t>FILTRO AIRE XR-125L/XR-150L (DESDE EL 2013) [PZ]</t>
  </si>
  <si>
    <t>FILTRO AIRE XR-190L [PZ]</t>
  </si>
  <si>
    <t>FILTRO AIRE XR-250 TORNADO ''HIBARI'' [PZ]</t>
  </si>
  <si>
    <t>FILTRO AIRE XR-250 TORNADO [OF]</t>
  </si>
  <si>
    <t>FILTRO AIRE XR-250/XR-400/XR-600 [PZ]</t>
  </si>
  <si>
    <t>FILTRO AIRE XRE-300 ''HIBARI'' [PZ]</t>
  </si>
  <si>
    <t>FILTRO AIRE XRE-300 [PZ]</t>
  </si>
  <si>
    <t>FILTRO AIRE XTZ-125 [PZ]</t>
  </si>
  <si>
    <t>FILTRO AIRE XTZ-250 LANDER [PZ]</t>
  </si>
  <si>
    <t>FILTRO AIRE YBR-125 ''HIBARI'' (2010 ADELANTE) [PZ]</t>
  </si>
  <si>
    <t>FILTRO AIRE YBR-125 (01/09) [PZ]</t>
  </si>
  <si>
    <t>FILTRO AIRE YBR-125 [PZ]</t>
  </si>
  <si>
    <t>FILTRO AIRE YD-110 CRUX [PZ]</t>
  </si>
  <si>
    <t>FILTRO AIRE YW-100 BWS [PZ]</t>
  </si>
  <si>
    <t>FILTRO AIRE YW-125 BWS-125 [PZ]</t>
  </si>
  <si>
    <t>FILTRO AIRE YZF-R15 [PZ]</t>
  </si>
  <si>
    <t>FILTRO AIRE YZF-R3/MT-03 [PZ]</t>
  </si>
  <si>
    <t>FILTRO AIRE ZN-125T-22 [PZ]</t>
  </si>
  <si>
    <t>FILTRO BENCINA GN-125H [PZ]</t>
  </si>
  <si>
    <t>FILTRO BENCINA PULSAR-200RS/200NS/DOMINAR-250/DUKE-200/250/390 [PZ]</t>
  </si>
  <si>
    <t>FILTRO DE AIRE ALTO FLUJO APRILIA RS-660 ''DNA'' [PZ]</t>
  </si>
  <si>
    <t>FILTRO DE AIRE ALTO FLUJO APRILIA RSV4 SERIES ''DNA'' [PZ]</t>
  </si>
  <si>
    <t>FILTRO DE AIRE ALTO FLUJO BENELLI TNT-300/TNT-302S/TNT-302R ''DNA'' [PZ]</t>
  </si>
  <si>
    <t>FILTRO DE AIRE ALTO FLUJO BENELLI TNT-600 ''DNA'' [PZ]</t>
  </si>
  <si>
    <t>FILTRO DE AIRE ALTO FLUJO BENELLI TRK-502/TRK-502X ''DNA'' [PZ]</t>
  </si>
  <si>
    <t>FILTRO DE AIRE ALTO FLUJO BMW F-750GS/F-850GS/F-900 ''DNA'' [PZ]</t>
  </si>
  <si>
    <t>FILTRO DE AIRE ALTO FLUJO BMW F-800 ''DNA'' [PZ]</t>
  </si>
  <si>
    <t>FILTRO DE AIRE ALTO FLUJO BMW G-310R/G-310GS ''DNA'' [PZ]</t>
  </si>
  <si>
    <t>FILTRO DE AIRE ALTO FLUJO BMW R-1200GS/R-1250GS ''DNA'' [PZ]</t>
  </si>
  <si>
    <t>FILTRO DE AIRE ALTO FLUJO BMW S-1000R/S-1000RR/S-1000XR ''DNA'' [PZ]</t>
  </si>
  <si>
    <t>FILTRO DE AIRE ALTO FLUJO BMW S-1000R/S-1000RR/S-1000XR (2019-2022)''DNA'' [PZ]</t>
  </si>
  <si>
    <t>FILTRO DE AIRE ALTO FLUJO CF MOTO NK-250/NK-300/250SR/300SR ''DNA'' [PZ]</t>
  </si>
  <si>
    <t>FILTRO DE AIRE ALTO FLUJO CF MOTO NK-400/NK-650 ''DNA'' [PZ]</t>
  </si>
  <si>
    <t>FILTRO DE AIRE ALTO FLUJO HONDA CB-650 SERIES ''DNA'' [PZ]</t>
  </si>
  <si>
    <t>FILTRO DE AIRE ALTO FLUJO HONDA CBR-1000RR (2010-2015) ''DNA'' [PZ]</t>
  </si>
  <si>
    <t>FILTRO DE AIRE ALTO FLUJO HONDA CBR-1000RR (2017-2019) ''DNA'' [PZ]</t>
  </si>
  <si>
    <t>FILTRO DE AIRE ALTO FLUJO HONDA CBR-250/CBR-300 ''DNA'' [PZ]</t>
  </si>
  <si>
    <t>FILTRO DE AIRE ALTO FLUJO HONDA CBR-500R/CB-500X/CB-500F (2013-2018) ''DNA'' [PZ]</t>
  </si>
  <si>
    <t>FILTRO DE AIRE ALTO FLUJO HONDA CBR-500R/CB-500X/CB-500F (2019-2022) ''DNA'' [PZ]</t>
  </si>
  <si>
    <t>FILTRO DE AIRE ALTO FLUJO HONDA CBR-600RR ''DNA'' [PZ]</t>
  </si>
  <si>
    <t>FILTRO DE AIRE ALTO FLUJO HONDA NC-750 (2021-2023) ''DNA'' [PZ]</t>
  </si>
  <si>
    <t>FILTRO DE AIRE ALTO FLUJO KAWASAKI NINJA-250/NINJA-300 ''DNA'' [PZ]</t>
  </si>
  <si>
    <t>FILTRO DE AIRE ALTO FLUJO KAWASAKI NINJA-400/Z-400 ''DNA'' [PZ]</t>
  </si>
  <si>
    <t>FILTRO DE AIRE ALTO FLUJO KAWASAKI NINJA-650/VERSYS-650ABS/Z-650ABS ''DNA'' [PZ]</t>
  </si>
  <si>
    <t>FILTRO DE AIRE ALTO FLUJO KAWASAKI VERSYS-650/ER-6F/ER-6N (2007-2014) ''DNA'' [PZ]</t>
  </si>
  <si>
    <t>FILTRO DE AIRE ALTO FLUJO KAWASAKI Z-1000/VERSYS-1000 ''DNA'' [PZ]</t>
  </si>
  <si>
    <t>FILTRO DE AIRE ALTO FLUJO KAWASAKI Z-800 (2013-2016) ''DNA'' [PZ]</t>
  </si>
  <si>
    <t>FILTRO DE AIRE ALTO FLUJO KAWASAKI Z-900 (2017-2022) ''DNA'' [PZ]</t>
  </si>
  <si>
    <t>FILTRO DE AIRE ALTO FLUJO KAWASAKI ZX-10R (2016-2022) ''DNA'' [PZ]</t>
  </si>
  <si>
    <t>FILTRO DE AIRE ALTO FLUJO KAWASAKI ZX-6R ''DNA'' [PZ]</t>
  </si>
  <si>
    <t>FILTRO DE AIRE ALTO FLUJO KTM DUKE-200/250/390/HUSQVARNA SVARTPILEN 200/250/401 ''DNA'' [PZ]</t>
  </si>
  <si>
    <t>FILTRO DE AIRE ALTO FLUJO KTM DUKE-200/390/RC-200/390 ''DNA'' [PZ]</t>
  </si>
  <si>
    <t>FILTRO DE AIRE ALTO FLUJO KTM-790/890/1050/1090/1190/1290 ADVENTURE ''DNA'' [PZ]</t>
  </si>
  <si>
    <t>FILTRO DE AIRE ALTO FLUJO P-Y3S15-01 ''DNA'' [PZ]</t>
  </si>
  <si>
    <t>FILTRO DE AIRE ALTO FLUJO PULSAR-200RS FI/PULSAR-200RS/DOMINAR-250/DOMINAR-400 ''DNA'' [PZ]</t>
  </si>
  <si>
    <t>FILTRO DE AIRE ALTO FLUJO ROYAL ENFIELD HIMALAYAN-411 ''DNA'' [PZ]</t>
  </si>
  <si>
    <t>FILTRO DE AIRE ALTO FLUJO ROYALD ENFIELD CONTINENTAL GT-650/INTERCEPTOR-650 ''DNA'' [PZ]</t>
  </si>
  <si>
    <t>FILTRO DE AIRE ALTO FLUJO SUZUKI GSX-S-750 ''DNA'' [PZ]</t>
  </si>
  <si>
    <t>FILTRO DE AIRE ALTO FLUJO SUZUKI GSXR-1000 (2017-2022) ''DNA'' [PZ]</t>
  </si>
  <si>
    <t>FILTRO DE AIRE ALTO FLUJO SUZUKI GSXR-600/GSXR-750 ''DNA'' [PZ]</t>
  </si>
  <si>
    <t>FILTRO DE AIRE ALTO FLUJO SUZUKI GSXS-1000 (2016-2020)/GSXR-1000 (2009-2016) ''DNA'' [PZ]</t>
  </si>
  <si>
    <t>FILTRO DE AIRE ALTO FLUJO SUZUKI V-STROM-1000 (2014-2019) ''DNA'' [PZ]</t>
  </si>
  <si>
    <t>FILTRO DE AIRE ALTO FLUJO SUZUKI V-STROM-250/GSX-250R ''DNA'' [PZ]</t>
  </si>
  <si>
    <t>FILTRO DE AIRE ALTO FLUJO SUZUKI V-STROM-650 (2004-2022)/V-STROM-1000 (2002-2013) ''DNA'' [PZ]</t>
  </si>
  <si>
    <t>FILTRO DE AIRE ALTO FLUJO TRIUMPH DAYTONA-675/STREET TRIPLE ''DNA'' [PZ]</t>
  </si>
  <si>
    <t>FILTRO DE AIRE ALTO FLUJO TRIUMPH DAYTONA-675/STREET TRIPLE-675 (2009-2012) ''DNA'' [PZ]</t>
  </si>
  <si>
    <t>FILTRO DE AIRE ALTO FLUJO TRIUMPH SPEED TRIPLE-1050 ''DNA'' [PZ]</t>
  </si>
  <si>
    <t>FILTRO DE AIRE ALTO FLUJO TRIUMPH STREET TRIPLE-765 ''DNA'' [PZ]</t>
  </si>
  <si>
    <t>FILTRO DE AIRE ALTO FLUJO TRIUMPH TIGER EXPLORER-1200 ''DNA'' [PZ]</t>
  </si>
  <si>
    <t>FILTRO DE AIRE ALTO FLUJO TRIUMPH TIGER-800 ''DNA'' [PZ]</t>
  </si>
  <si>
    <t>FILTRO DE AIRE ALTO FLUJO TRIUMPH TIGER-850/TIGER-900 ''DNA'' [PZ]</t>
  </si>
  <si>
    <t>FILTRO DE AIRE ALTO FLUJO TRIUMPH TRIDENT-660/TIGER SPORT-660 ''DNA'' [PZ]</t>
  </si>
  <si>
    <t>FILTRO DE AIRE ALTO FLUJO YAMAHA MT-07 ''DNA'' [PZ]</t>
  </si>
  <si>
    <t>FILTRO DE AIRE ALTO FLUJO YAMAHA MT-09 ''DNA'' [PZ]</t>
  </si>
  <si>
    <t>FILTRO DE AIRE ALTO FLUJO YAMAHA XJ6 (2009-2016) ''DNA'' [PZ]</t>
  </si>
  <si>
    <t>FILTRO DE AIRE ALTO FLUJO YAMAHA XTZ-1200 ''DNA'' [PZ]</t>
  </si>
  <si>
    <t>FILTRO DE AIRE ALTO FLUJO YAMAHA YZF-R1 (2009-2014) ''DNA'' [PZ]</t>
  </si>
  <si>
    <t>FILTRO DE AIRE ALTO FLUJO YAMAHA YZF-R1 2015-2022 ''DNA'' [PZ]</t>
  </si>
  <si>
    <t>FILTRO DE AIRE ALTO FLUJO YAMAHA YZF-R15 V2 ''DNA'' [PZ]</t>
  </si>
  <si>
    <t>FILTRO DE AIRE ALTO FLUJO YAMAHA YZF-R6 ''DNA'' [PZ]</t>
  </si>
  <si>
    <t>FLASH 12V PULSAR-200NS [PZ]</t>
  </si>
  <si>
    <t>FLASHS</t>
  </si>
  <si>
    <t>FLASH 12V SCOOTER 125/150/LF150GY-4 [PZ]</t>
  </si>
  <si>
    <t>FLASH 12V SCOOTER-125 GY6 ''VINI'' [IM]</t>
  </si>
  <si>
    <t>FLASH 12V UNIVERSAL C/BOCINA [PZ]</t>
  </si>
  <si>
    <t>FLASH 12V UNIVERSAL LED ''VINI'' [IM]</t>
  </si>
  <si>
    <t>FLASH 12V UNIVERSAL LED [PZ]</t>
  </si>
  <si>
    <t>FLASH 12V UNIVERSAL REDONDO [PZ]</t>
  </si>
  <si>
    <t>FLASH INTERMITENTE RENEGADE-200 [PZ]</t>
  </si>
  <si>
    <t>FLASH INTERMITENTE SPEED 125 CLASIC [PZ]</t>
  </si>
  <si>
    <t>FLASH PULSAR-200NS [PZ]</t>
  </si>
  <si>
    <t>FLEXIBLE EMBRAGUE UNIVERSAL [PZ]</t>
  </si>
  <si>
    <t>FLEXIBLE FRENO DELANTERO 1.20MTS [PZ]</t>
  </si>
  <si>
    <t>FLEXIBLES</t>
  </si>
  <si>
    <t>FLEXIBLE FRENO DELANTERO CBX-250 [PZ]</t>
  </si>
  <si>
    <t>FLOTADOR ESTANQUE BENCINA AN-125 [PZ]</t>
  </si>
  <si>
    <t>FLOTADOR ESTANQUE BENCINA UNIVERSAL [PZ]</t>
  </si>
  <si>
    <t>FLOTADORES</t>
  </si>
  <si>
    <t>FLOTADOR ESTANQUE BENCINA YBR-125 [PZ]</t>
  </si>
  <si>
    <t>FLUSHING DE MOTOR ''SENFINECO'' 100ML [OF]</t>
  </si>
  <si>
    <t>FLUSHING DE MOTOR ''SENFINECO'' 443ML [OF]</t>
  </si>
  <si>
    <t>FOCO AUXILIAR (NEBLINERO) 9 LED OVALADO [PZ]</t>
  </si>
  <si>
    <t>FOCO AUXILIAR (NEBLINERO) C/PARLANTE Y BLUETOOTH [PZ]</t>
  </si>
  <si>
    <t>DORADO</t>
  </si>
  <si>
    <t>PLATEADO</t>
  </si>
  <si>
    <t>FOCO AUXILIAR (NEBLINERO) [PZ]</t>
  </si>
  <si>
    <t>FOCO AUXILIAR UNIVERSAL (3235) [PZ]</t>
  </si>
  <si>
    <t>FOCOS</t>
  </si>
  <si>
    <t>FOCO AUXILIAR UNIVERSAL 3 LED (BLANCO) (E03) [PZ]</t>
  </si>
  <si>
    <t>FOCO DELANTERO CB-125 TWISTER [OF]</t>
  </si>
  <si>
    <t>FOCO DELANTERO CB-125F TWISTER [PZ]</t>
  </si>
  <si>
    <t>FOCO DELANTERO CB-190 [PZ]</t>
  </si>
  <si>
    <t>FOCO DELANTERO CB-250 TWSITER C/MASCARA [PZ]</t>
  </si>
  <si>
    <t>FOCO DELANTERO CB1-125 [PZ]</t>
  </si>
  <si>
    <t>FOCO DELANTERO CBF-150 INVICTA (2009-2013) [PZ]</t>
  </si>
  <si>
    <t>FOCO DELANTERO CBF-150 NEW-INVICTA [PZ]</t>
  </si>
  <si>
    <t>FOCO DELANTERO CBX-250 [PZ]</t>
  </si>
  <si>
    <t>FOCO DELANTERO CHOPPER C/REJILLA [PZ]</t>
  </si>
  <si>
    <t>FOCO DELANTERO CHOPPER [PZ]</t>
  </si>
  <si>
    <t>FOCO DELANTERO DSR-200 [PZ]</t>
  </si>
  <si>
    <t>FOCO DELANTERO FASTWIND-220/JL250-A [PZ]</t>
  </si>
  <si>
    <t>FOCO DELANTERO FZ 2.0 [PZ]</t>
  </si>
  <si>
    <t>FOCO DELANTERO FZ-16 C/MASCARA [PZ]</t>
  </si>
  <si>
    <t>FOCO DELANTERO FZ-16 [PZ]</t>
  </si>
  <si>
    <t>FOCO DELANTERO FZ-25 C/TAPAS CUBRE FOCO [PZ]</t>
  </si>
  <si>
    <t>FOCO DELANTERO FZ-25 [PZ]</t>
  </si>
  <si>
    <t>FOCO DELANTERO GIXXER-150 [PZ]</t>
  </si>
  <si>
    <t>FOCO DELANTERO GN-125H [PZ]</t>
  </si>
  <si>
    <t>FOCO DELANTERO GXT-200 MOTARD [PZ]</t>
  </si>
  <si>
    <t>FOCO DELANTERO HONDA-NAVI [PZ]</t>
  </si>
  <si>
    <t>FOCO DELANTERO KA-150 [PZ]</t>
  </si>
  <si>
    <t>FOCO DELANTERO LATERAL CHOPPER [PZ]</t>
  </si>
  <si>
    <t>FOCO DELANTERO NK-150 C/MASCARA [PZ]</t>
  </si>
  <si>
    <t>BLANCO</t>
  </si>
  <si>
    <t>FOCO DELANTERO NK-150 [PZ]</t>
  </si>
  <si>
    <t>FOCO DELANTERO PULSAR-200NS [PZ]</t>
  </si>
  <si>
    <t>FOCO DELANTERO RK-150 [PZ]</t>
  </si>
  <si>
    <t>FOCO DELANTERO RKV-150 [PZ]</t>
  </si>
  <si>
    <t>FOCO DELANTERO ST-70 [OF]</t>
  </si>
  <si>
    <t>FOCO DELANTERO TIPO CAFE RACER (C/MALLA) [PZ]</t>
  </si>
  <si>
    <t>FOCO DELANTERO TIPO CHOPPER [PZ]</t>
  </si>
  <si>
    <t>FOCO DELANTERO UNIVERSAL CROMADO [PZ]</t>
  </si>
  <si>
    <t>FOCO DELANTERO V-MEN-125 [PZ]</t>
  </si>
  <si>
    <t>FOCO DELANTERO XR-150 C/MASCARA [PZ]</t>
  </si>
  <si>
    <t>FOCO DELANTERO XRE-300/TTX-250/TTX-300 [PZ]</t>
  </si>
  <si>
    <t>FOCO DELANTERO XTZ-125 C/MASCARA [PZ]</t>
  </si>
  <si>
    <t>FOCO DELANTERO XTZ-125 [PZ]</t>
  </si>
  <si>
    <t>FOCO DELANTERO YBR-125Z C/MASCARA [PZ]</t>
  </si>
  <si>
    <t>FOCO DELANTERO YBR-125Z [PZ]</t>
  </si>
  <si>
    <t>FOCO DELANTERO YZF-R15 ''VINI'' [PZ]</t>
  </si>
  <si>
    <t>FOCO SEÑALIZADOR CB-190 (DEL/DER) [PZ]</t>
  </si>
  <si>
    <t>SEÑALIZADORES</t>
  </si>
  <si>
    <t>FOCO SEÑALIZADOR CB-190 (DEL/IZQ) [PZ]</t>
  </si>
  <si>
    <t>FOCO SEÑALIZADOR CBF-150 INVICTA [PZ]</t>
  </si>
  <si>
    <t>FOCO SEÑALIZADOR CBF-150 NEW-INVICTA [PZ]</t>
  </si>
  <si>
    <t>DEL/DER-TRA/IZQ</t>
  </si>
  <si>
    <t>DEL/IZQ-TRA/DER</t>
  </si>
  <si>
    <t>FOCO SEÑALIZADOR CBX-250 (DER) [PZ]</t>
  </si>
  <si>
    <t>FOCO SEÑALIZADOR CBX-250 (IZQ) [PZ]</t>
  </si>
  <si>
    <t>FOCO SEÑALIZADOR CG-150T/JOB [PZ]</t>
  </si>
  <si>
    <t>FOCO SEÑALIZADOR DELANTERO  IZQUIERDO TX-200/TX-150 [PZ]</t>
  </si>
  <si>
    <t>FOCO SEÑALIZADOR DSR-200 (DEL/IZQ) [PZ]</t>
  </si>
  <si>
    <t>FOCO SEÑALIZADOR EN-125 [PZ]</t>
  </si>
  <si>
    <t>FOCO SEÑALIZADOR FZ-16 DEL/DER. [PZ]</t>
  </si>
  <si>
    <t>FOCO SEÑALIZADOR FZ-16 DEL/IZQ. [PZ]</t>
  </si>
  <si>
    <t>FOCO SEÑALIZADOR GIXXER-150 [PZ]</t>
  </si>
  <si>
    <t>FOCO SEÑALIZADOR GN-125/JL125-7 [PZ]</t>
  </si>
  <si>
    <t>FOCO SEÑALIZADOR GY-200 [PZ]</t>
  </si>
  <si>
    <t>FOCO SEÑALIZADOR HONDA-NAVI [PZ]</t>
  </si>
  <si>
    <t>FOCO SEÑALIZADOR JL150-16 CROMADO [PZ]</t>
  </si>
  <si>
    <t>FOCO SEÑALIZADOR KA-150 (DEL/DER) [PZ]</t>
  </si>
  <si>
    <t>FOCO SEÑALIZADOR KA-150/NK-150 (TRA/DER) [PZ]</t>
  </si>
  <si>
    <t>FOCO SEÑALIZADOR KA-150/NK-150 (TRA/IZQ) [PZ]</t>
  </si>
  <si>
    <t>FOCO SEÑALIZADOR KA-150/NK-150 [PZ]</t>
  </si>
  <si>
    <t>FOCO SEÑALIZADOR MOTOMEL SPEED-125 (TRA/DER) [PZ]</t>
  </si>
  <si>
    <t>FOCO SEÑALIZADOR MOTOMEL SPEED-125 (TRA/IZQ) [PZ]</t>
  </si>
  <si>
    <t>FOCO SEÑALIZADOR NX-400 FALCON/XRE-300 (DEL/DER) (TRA/IZQ) [PZ]</t>
  </si>
  <si>
    <t>FOCO SEÑALIZADOR NX-400 FALCON/XRE-300 (DEL/IZQ) (TRA/DER) [PZ]</t>
  </si>
  <si>
    <t>FOCO SEÑALIZADOR PULSAR-160NS/PULSAR-200NS [PZ]</t>
  </si>
  <si>
    <t>DERECHO</t>
  </si>
  <si>
    <t>IZQUIERDO</t>
  </si>
  <si>
    <t>FOCO SEÑALIZADOR RENEGADE (DEL/DER) [PZ]</t>
  </si>
  <si>
    <t>FOCO SEÑALIZADOR RENEGADE (REDONDO) [PZ]</t>
  </si>
  <si>
    <t>FOCO SEÑALIZADOR RENEGADE-200 [PZ]</t>
  </si>
  <si>
    <t>FOCO SEÑALIZADOR STORM-125 [PZ]</t>
  </si>
  <si>
    <t>FOCO SEÑALIZADOR STORM-125/XR-125L [PZ]</t>
  </si>
  <si>
    <t>FOCO SEÑALIZADOR TA125-5 [PZ]</t>
  </si>
  <si>
    <t>FOCO SEÑALIZADOR TRASERO FZ-16 [PZ]</t>
  </si>
  <si>
    <t>TRASERO-DERECHO</t>
  </si>
  <si>
    <t>TRASERO-IZQUIERDO</t>
  </si>
  <si>
    <t>FOCO SEÑALIZADOR UNIVERSAL (FS-5342-6) [PZ]</t>
  </si>
  <si>
    <t>FOCO SEÑALIZADOR UNIVERSAL (REDONDO) [PZ]</t>
  </si>
  <si>
    <t>FOCO SEÑALIZADOR UNIVERSAL JL200-II [PZ]</t>
  </si>
  <si>
    <t>FOCO SEÑALIZADOR UNIVERSAL MICA BLANCA [PZ]</t>
  </si>
  <si>
    <t>FOCO SEÑALIZADOR UNIVERSAL NEGRO [PZ]</t>
  </si>
  <si>
    <t>FOCO SEÑALIZADOR UNIVERSAL [PZ]</t>
  </si>
  <si>
    <t>FOCO SEÑALIZADOR XL-125/185S [PZ]</t>
  </si>
  <si>
    <t>FOCO SEÑALIZADOR XLR-250R [PZ]</t>
  </si>
  <si>
    <t>FOCO SEÑALIZADOR XR-150L/XR-190L/CB-125F TWISTER [PZ]</t>
  </si>
  <si>
    <t>FOCO SEÑALIZADOR YBR-125 (IZQ) [PZ]</t>
  </si>
  <si>
    <t>FOCO TRASERO  LED PULSAR-200NS [PZ]</t>
  </si>
  <si>
    <t>FOCO TRASERO 3 LED (ROJO STROBOSCOPICO) [PZ]</t>
  </si>
  <si>
    <t>FOCO TRASERO CB1-125 [PZ]</t>
  </si>
  <si>
    <t>FOCO TRASERO CBF-150 INVICTA [PZ]</t>
  </si>
  <si>
    <t>FOCO TRASERO CBX-250 TWISTER [PZ]</t>
  </si>
  <si>
    <t>FOCO TRASERO CG-125 [PZ]</t>
  </si>
  <si>
    <t>FOCO TRASERO CHOPPER [PZ]</t>
  </si>
  <si>
    <t>FOCO TRASERO FZ-16 2.0 [PZ]</t>
  </si>
  <si>
    <t>FOCO TRASERO FZ-16 [PZ]</t>
  </si>
  <si>
    <t>FOCO TRASERO FZ-16/DT-125LC/XT-250T [PZ]</t>
  </si>
  <si>
    <t>FOCO TRASERO GN-125H [PZ]</t>
  </si>
  <si>
    <t>FOCO TRASERO HONDA-NAVI [PZ]</t>
  </si>
  <si>
    <t>FOCO TRASERO KA-150 [PZ]</t>
  </si>
  <si>
    <t>FOCO TRASERO LED C/SEÑALIZADOR [PZ]</t>
  </si>
  <si>
    <t>FOCO TRASERO MB-100 [PZ]</t>
  </si>
  <si>
    <t>FOCO TRASERO NK-150 [PZ]</t>
  </si>
  <si>
    <t>FOCO TRASERO PULSAR-200NS [PZ]</t>
  </si>
  <si>
    <t>FOCO TRASERO REDONDO C/PORTA PATENTE [PZ]</t>
  </si>
  <si>
    <t>FOCO TRASERO RENEGADE-200 LIMITED/TIPO CHOPPER [PZ]</t>
  </si>
  <si>
    <t>FOCO TRASERO STORM-125 [PZ]</t>
  </si>
  <si>
    <t>FOCO TRASERO TK150 [PZ]</t>
  </si>
  <si>
    <t>FOCO TRASERO UNIVERSAL (HARLEY) [PZ]</t>
  </si>
  <si>
    <t>FOCO TRASERO UNIVERSAL (TIPO HARLEY )           . [PZ]</t>
  </si>
  <si>
    <t>FOCO TRASERO UNIVERSAL [PZ]</t>
  </si>
  <si>
    <t>FOCO TRASERO XR-150L [PZ]</t>
  </si>
  <si>
    <t>FOCO TRASERO XR-250R (96/04) [PZ]</t>
  </si>
  <si>
    <t>FOCO TRASERO XRE-300 [PZ]</t>
  </si>
  <si>
    <t>FOCO TRASERO YBR-125 [PZ]</t>
  </si>
  <si>
    <t>FOCOS SEÑALIZADORES JGO. (REDONDO CROMADO) [PZ]</t>
  </si>
  <si>
    <t>FOCOS SEÑALIZADORES METALICOS (NEGRO) [PZ]</t>
  </si>
  <si>
    <t>FOCOS SEÑALIZADORES. JGO. CB1-125/TWISTER-125 [PZ]</t>
  </si>
  <si>
    <t>FOCOS SEÑALIZADORES. JGO. CBF-150 NEW INVICTA [PZ]</t>
  </si>
  <si>
    <t>FOCOS SEÑALIZADORES. JGO. CBX-250 [PZ]</t>
  </si>
  <si>
    <t>FOCOS SEÑALIZADORES. JGO. DELANTERO BICIMOTO 49CC (ST-50) [PZ]</t>
  </si>
  <si>
    <t>FOCOS SEÑALIZADORES. JGO. DELANTERO FZ-16 2.0 [PZ]</t>
  </si>
  <si>
    <t>FOCOS SEÑALIZADORES. JGO. DELANTERO FZ-16 [PZ]</t>
  </si>
  <si>
    <t>FOCOS SEÑALIZADORES. JGO. DELANTERO GIXXER-150 [PZ]</t>
  </si>
  <si>
    <t>FOCOS SEÑALIZADORES. JGO. DSR-200 [PZ]</t>
  </si>
  <si>
    <t>FOCOS SEÑALIZADORES. JGO. HONDA-NAVI [PZ]</t>
  </si>
  <si>
    <t>FOCOS SEÑALIZADORES. JGO. LED (TIPO FLECHA) [PZ]</t>
  </si>
  <si>
    <t>FOCOS SEÑALIZADORES. JGO. LED CALAVERA [PZ]</t>
  </si>
  <si>
    <t>FOCOS SEÑALIZADORES. JGO. LED UNIVERSAL [PZ]</t>
  </si>
  <si>
    <t>FOCOS SEÑALIZADORES. JGO. MOTARD-200 [PZ]</t>
  </si>
  <si>
    <t>FOCOS SEÑALIZADORES. JGO. PULSAR-150TD/PULSAR-180 [PZ]</t>
  </si>
  <si>
    <t>FOCOS SEÑALIZADORES. JGO. PULSAR-160NS/PULSAR-200NS [PZ]</t>
  </si>
  <si>
    <t>FOCOS SEÑALIZADORES. JGO. RK-150/RKS-150/RKS-125 [PZ]</t>
  </si>
  <si>
    <t>FOCOS SEÑALIZADORES. JGO. RKV-150/RKV-200 [PZ]</t>
  </si>
  <si>
    <t>FOCOS SEÑALIZADORES. JGO. TRASERO BICIMOTO 49CC (ST-50) [PZ]</t>
  </si>
  <si>
    <t>FOCOS SEÑALIZADORES. JGO. TRASERO FZ-16 [PZ]</t>
  </si>
  <si>
    <t>FOCOS SEÑALIZADORES. JGO. TRASERO GIXXER-150 [PZ]</t>
  </si>
  <si>
    <t>FOCOS SEÑALIZADORES. JGO. TRASERO XR-250 [PZ]</t>
  </si>
  <si>
    <t>FOCOS SEÑALIZADORES. JGO. TX-150/TX-200 [PZ]</t>
  </si>
  <si>
    <t>FOCOS SEÑALIZADORES. JGO. UNIVERSAL (CROMADO) [PZ]</t>
  </si>
  <si>
    <t>FOCOS SEÑALIZADORES. JGO. UNIVERSAL (NEGRO) [PZ]</t>
  </si>
  <si>
    <t>FOCOS SEÑALIZADORES. JGO. UNIVERSAL [PZ]</t>
  </si>
  <si>
    <t>FOCOS SEÑALIZADORES. JGO. XTZ-125 [PZ]</t>
  </si>
  <si>
    <t>FRONTAL QUILLA KA-150 [PZ]</t>
  </si>
  <si>
    <t>FUNDA CABLE 30 METROS 4MM [PZ]</t>
  </si>
  <si>
    <t>FUNDA CUBRE ASIENTO BICIMOTO GEL [PZ]</t>
  </si>
  <si>
    <t>FUNDA PROTECTORA RAMAL-CABLES ''10MM X 10M'' [PZ]</t>
  </si>
  <si>
    <t>FUNDA PROTECTORA RAMAL-CABLES ''25MM X 10M'' [PZ]</t>
  </si>
  <si>
    <t>FUSIBLE 10 AMPERES [PZ]</t>
  </si>
  <si>
    <t>FUSIBLE 20 AMPERES [PZ]</t>
  </si>
  <si>
    <t>GOMA FILTRO AIRE AN-125 [PZ]</t>
  </si>
  <si>
    <t>GOMAS</t>
  </si>
  <si>
    <t>GOMA PEDAL PARTIDA MORADA [PZ]</t>
  </si>
  <si>
    <t>GOMA PEDALIN. JGO. CG-125 [PZ]</t>
  </si>
  <si>
    <t>GOMA PROTECTORA PEDAL CAMBIOS [PZ]</t>
  </si>
  <si>
    <t>GOMA TAPA LATERAL REDER-200 [PZ]</t>
  </si>
  <si>
    <t>GOMAS FUELLE HORQUILLA CG-125 [PZ]</t>
  </si>
  <si>
    <t>GOMAS FUELLE HORQUILLA XR-150 [PZ]</t>
  </si>
  <si>
    <t>GOMAS FUELLE HORQUILLA. JGO. XR-125/XR-150 (NEGRO) [PZ]</t>
  </si>
  <si>
    <t>GOMAS FUELLE HORQUILLA. JGO. XR-250 22 CM. [PZ]</t>
  </si>
  <si>
    <t>GOMAS FUELLE HORQUILLA. JGO. XR-250 36 CM. [PZ]</t>
  </si>
  <si>
    <t>GRASA MULTIPROPOSITO ''WOLVER'' 50 GRS. NLGI-2 [PZ]</t>
  </si>
  <si>
    <t>GRASA MULTIPROPOSITO ROJA [PZ]</t>
  </si>
  <si>
    <t>GUANTE CALLE ''+ RED'' NEGRO/AZUL [PZ]</t>
  </si>
  <si>
    <t>Estandar Azul</t>
  </si>
  <si>
    <t>GUANTE CALLE ''+ RED'' NEGRO/ROJO [PZ]</t>
  </si>
  <si>
    <t>Estandar Rojo</t>
  </si>
  <si>
    <t>GUANTE CALLE ''HX'' (XL) NEGRO/ROJO [PZ]</t>
  </si>
  <si>
    <t>XL Rojo</t>
  </si>
  <si>
    <t>GUANTE CALLE ''PRO-BIKER'' [PZ]</t>
  </si>
  <si>
    <t>GUANTES</t>
  </si>
  <si>
    <t>AZUL-XL</t>
  </si>
  <si>
    <t>AZUL-XXL</t>
  </si>
  <si>
    <t>GRIS-XXL</t>
  </si>
  <si>
    <t>ROJO-XL</t>
  </si>
  <si>
    <t>GUANTE CALLE ''REMO'' (L) NEGRO/FLUOR [PZ]</t>
  </si>
  <si>
    <t>L Flúor</t>
  </si>
  <si>
    <t>GUANTE CALLE ''SEVEN''  FLUOR (M) [PZ]</t>
  </si>
  <si>
    <t>Flúor</t>
  </si>
  <si>
    <t>GUANTE CALLE ''SEVEN''  FLUOR (XL) [PZ]</t>
  </si>
  <si>
    <t>XL Flúor</t>
  </si>
  <si>
    <t>GUANTE CALLE ''SEVEN''  NARANJO (L) [PZ]</t>
  </si>
  <si>
    <t>L Naranja</t>
  </si>
  <si>
    <t>GUANTE CALLE ''SEVEN''  NARANJO (M) [PZ]</t>
  </si>
  <si>
    <t>M Naranja</t>
  </si>
  <si>
    <t>GUANTE CALLE ''SEVEN''  NARANJO (XL) [PZ]</t>
  </si>
  <si>
    <t>XL Naranja</t>
  </si>
  <si>
    <t>GUANTE CALLE ''SEVEN'' [PZ]</t>
  </si>
  <si>
    <t>L FLUOR</t>
  </si>
  <si>
    <t>GUANTE CALLE ''SHENGDONG'' NARANJO [PZ]</t>
  </si>
  <si>
    <t>Estandar Naranja</t>
  </si>
  <si>
    <t>GUANTE CALLE ''SRAM'' BLANCO/ROJO/NEGRO (M) [PZ]</t>
  </si>
  <si>
    <t>M Rojo</t>
  </si>
  <si>
    <t>GUANTE CALLE NEGRO [PZ]</t>
  </si>
  <si>
    <t>GUANTE CALLE UNIVERSAL [PZ]</t>
  </si>
  <si>
    <t>L Amarillo</t>
  </si>
  <si>
    <t>L Azul</t>
  </si>
  <si>
    <t>L Gris</t>
  </si>
  <si>
    <t>Rojo</t>
  </si>
  <si>
    <t>XL Azul</t>
  </si>
  <si>
    <t>XL Gris</t>
  </si>
  <si>
    <t>XL Verde</t>
  </si>
  <si>
    <t>XXL Azul</t>
  </si>
  <si>
    <t>XXL Rojo</t>
  </si>
  <si>
    <t>XXL Verde</t>
  </si>
  <si>
    <t>GUANTES CALLE  (AZUL) [PZ]</t>
  </si>
  <si>
    <t>GUANTES CALLE  (ROJO) [PZ]</t>
  </si>
  <si>
    <t>GUANTES CALLE ''ARAÑA'' (NARANJO) [PZ]</t>
  </si>
  <si>
    <t>Estándar Naranja</t>
  </si>
  <si>
    <t>GUANTES CALLE ''ARAÑA'' (VERDE) [PZ]</t>
  </si>
  <si>
    <t>Estandar Verde</t>
  </si>
  <si>
    <t>GUANTES CALLE ''CITY'' AZUL [PZ]</t>
  </si>
  <si>
    <t>TALLA: L</t>
  </si>
  <si>
    <t>TALLA: XL</t>
  </si>
  <si>
    <t>GUANTES CALLE ''CITY'' ROJO [PZ]</t>
  </si>
  <si>
    <t>GUANTES CALLE ''CITY'' VERDE [PZ]</t>
  </si>
  <si>
    <t>GUANTES CALLE ''MAD-BIKE'' NEGRO/NARANJO (XL) [PZ]</t>
  </si>
  <si>
    <t>GUANTES CALLE ''MAD-BIKE'' NEGRO/NARANJO (XXL) [PZ]</t>
  </si>
  <si>
    <t>GUANTES CALLE ''OUTDOOR SPORT'' (AZUL) [PZ]</t>
  </si>
  <si>
    <t>GUANTES CALLE ''OUTDOOR SPORT'' (ROJO) [PZ]</t>
  </si>
  <si>
    <t>GUANTES CALLE ''OUTDOOR'' (AZUL) [PZ]</t>
  </si>
  <si>
    <t>GUANTES CALLE ''OUTDOOR'' (ROJO) [PZ]</t>
  </si>
  <si>
    <t>GUANTES CALLE ''OUTDOOR'' (VERDE) [PZ]</t>
  </si>
  <si>
    <t>GUANTES CALLE ''PRO-BIKER'' NEGRO [PZ]</t>
  </si>
  <si>
    <t>GUANTES CALLE ''REMO'' ROJO XL [PZ]</t>
  </si>
  <si>
    <t>GUANTES CALLE ''RIDE A BIKE''(MORADO) [PZ]</t>
  </si>
  <si>
    <t>GUANTES CALLE ''RIDE A BIKE''(VERDE) [PZ]</t>
  </si>
  <si>
    <t>GUANTES CALLE ''SHENGDONG'' VERDE [PZ]</t>
  </si>
  <si>
    <t>GUANTES CALLE ''SPORT'' (AZUL) [PZ]</t>
  </si>
  <si>
    <t>GUANTES CALLE ''SPORT'' (GRIS) [PZ]</t>
  </si>
  <si>
    <t>GUANTES CALLE ''SPORT'' (ROJO) [PZ]</t>
  </si>
  <si>
    <t>GUANTES CALLE ''TIPO TACTIL'' AZUL [PZ]</t>
  </si>
  <si>
    <t>GUANTES CALLE ''TIPO TACTIL'' NEGRO [PZ]</t>
  </si>
  <si>
    <t>GUANTES CALLE ''TIPO TACTIL'' ROJO [PZ]</t>
  </si>
  <si>
    <t>GUANTES CALLE ''VERANO'' AZUL [PZ]</t>
  </si>
  <si>
    <t>GUANTES CALLE ''VERANO'' NEGRO [PZ]</t>
  </si>
  <si>
    <t>GUANTES CALLE ''VERANO'' ROJO [PZ]</t>
  </si>
  <si>
    <t>GUANTES CALLE CUERO ''MOTO-X'' [PZ]</t>
  </si>
  <si>
    <t>GUANTES CALLE CUERO ''TAICHI'' [PZ]</t>
  </si>
  <si>
    <t>GUANTES CALLE UNIVERSAL [PZ]</t>
  </si>
  <si>
    <t>GUANTES FRIO ''UNIVERSAL'' [PZ]</t>
  </si>
  <si>
    <t>GUANTES FRIO PARA NIÑO [PZ]</t>
  </si>
  <si>
    <t>GUANTES FRIO UNIVERSAL ''PANGUS-AXE'' WP-01 [PZ]</t>
  </si>
  <si>
    <t>GUANTES FRIO UNIVERSAL ''PANGUS-AXE'' WP-02 [PZ]</t>
  </si>
  <si>
    <t>GUANTES MECHANIX TALLA L [PZ]</t>
  </si>
  <si>
    <t>GUARDA POLVO HORQUILLA XR-250 (41-54-11) [PZ]</t>
  </si>
  <si>
    <t>HORQUILLAS</t>
  </si>
  <si>
    <t>GUIA CADENA DIST. CG-150T/JOB/INVICTA [PZ]</t>
  </si>
  <si>
    <t>GUIA CADENA DIST. DR-200 [PZ]</t>
  </si>
  <si>
    <t>GUIA CADENA DIST. FZ-16 [PZ]</t>
  </si>
  <si>
    <t>GUIA CADENA DIST. GS-125 [PZ]</t>
  </si>
  <si>
    <t>GUIA CADENA DIST. XR-250 TORNADO/CBX-250</t>
  </si>
  <si>
    <t>GUIA CADENA TRANSMISION DSR-200/DSRX-200 [PZ]</t>
  </si>
  <si>
    <t>GUIA Y TENSOR CADENA DIST. XR-250 TORNADO/CBX-250 [PZ]</t>
  </si>
  <si>
    <t>GUIA Y TENSOR DIST. CBP-250/CB-200/XTREET-180 [PZ]</t>
  </si>
  <si>
    <t>GUIA Y TENSOR DIST. FZ-16 [PZ]</t>
  </si>
  <si>
    <t>GUIA Y TENSOR DIST. GN-125 [PZ]</t>
  </si>
  <si>
    <t>GUIA Y TENSOR DIST. GXT-200 [PZ]</t>
  </si>
  <si>
    <t>KITS DE DISTRIBUCIÓN</t>
  </si>
  <si>
    <t>GUIA Y TENSOR DIST. PULSAR-135 [PZ]</t>
  </si>
  <si>
    <t>GUIA Y TENSOR DIST. PULSAR-200NS [PZ]</t>
  </si>
  <si>
    <t>GUIA Y TENSOR DIST. PULSAR-220 [PZ]</t>
  </si>
  <si>
    <t>GUIA Y TENSOR DIST. XL-125/185 [PZ]</t>
  </si>
  <si>
    <t>GUIA Y TENSOR DIST. XR-250 TORNADO [PZ]</t>
  </si>
  <si>
    <t>GUIA Y TENSOR DOMINAR-400 [PZ]</t>
  </si>
  <si>
    <t>HEBILLA PARA CASCO UNIVERSAL [PZ]</t>
  </si>
  <si>
    <t>HERRAMIENTA MONTADOR RETENES (24X10CM) [PZ]</t>
  </si>
  <si>
    <t>HORQUILLA CAJA CAMBIO BW-125 (DER) [PZ]</t>
  </si>
  <si>
    <t>HORQUILLAS DELANTERAS. JGO. CB1-125 [PZ]</t>
  </si>
  <si>
    <t>HORQUILLAS DELANTERAS. JGO. EXPRESS-100 [PZ]</t>
  </si>
  <si>
    <t>HORQUILLAS DELANTERAS. JGO. FZ-16 [PZ]</t>
  </si>
  <si>
    <t>HORQUILLAS DELANTERAS. JGO. GN-125/TZ-150 [PZ]</t>
  </si>
  <si>
    <t>HORQUILLAS DELANTERAS. JGO. MOTO 49CC. [PZ]</t>
  </si>
  <si>
    <t>HORQUILLAS DELANTERAS. JGO. XR-125L [PZ]</t>
  </si>
  <si>
    <t>HORQUILLAS DELANTERAS. JGO. XR-150L [PZ]</t>
  </si>
  <si>
    <t>HORQUILLAS DELANTERAS. JGO. XTZ-125 [PZ]</t>
  </si>
  <si>
    <t>HORQUILLAS DELANTERAS. JGO. YBR-125 [PZ]</t>
  </si>
  <si>
    <t>HUINCHA REFLECTANTE AMARILLA ''10 CM'' [PZ]</t>
  </si>
  <si>
    <t>HUINCHA REFLECTANTE AMARILLA ''30 CM'' [PZ]</t>
  </si>
  <si>
    <t>HUINCHA REFLECTANTE ROJA ''10 CM'' [PZ]</t>
  </si>
  <si>
    <t>HUINCHA REFLECTANTE ROJA ''30 CM'' [PZ]</t>
  </si>
  <si>
    <t>INSCRIPCIÓN E INSTALACIÓN DE PLACA PATENTE</t>
  </si>
  <si>
    <t>SERVICIOS</t>
  </si>
  <si>
    <t>INSULADOR CARBURADOR FIBRA (C/EMPA. Y O´RING) [PZ]</t>
  </si>
  <si>
    <t>INSULADOR CARBURADOR JL-125 [PZ]</t>
  </si>
  <si>
    <t>INSULADOR CARBURADOR RENEGADE [PZ]</t>
  </si>
  <si>
    <t>INSULADOR CARBURADOR SCOOTER-125/150 [PZ]</t>
  </si>
  <si>
    <t>INSULADORES</t>
  </si>
  <si>
    <t>INSULADOR CARBURADOR STORM-125 [PZ]</t>
  </si>
  <si>
    <t>INSULADOR CARBURADOR TX-200 [PZ]</t>
  </si>
  <si>
    <t>INSULADOR CARBURADOR XL-125/185S [PZ]</t>
  </si>
  <si>
    <t>INSULADOR CARBURADOR XR-150L [PZ]</t>
  </si>
  <si>
    <t>INSULADOR CARBURADOR YBR-125 [PZ]</t>
  </si>
  <si>
    <t>INSULADOR CARBURADOR YZF-R15 [PZ]</t>
  </si>
  <si>
    <t>INSULADOR DAX (ADAPTADOR) [PZ]</t>
  </si>
  <si>
    <t>INSULADOR UNIVERSAL [PZ]</t>
  </si>
  <si>
    <t>INSULADORES CARBURADOR. JGO. CHOPPER [PZ]</t>
  </si>
  <si>
    <t>INTERRUPTOR CON LUZ PILOTO [PZ]</t>
  </si>
  <si>
    <t>KA-150</t>
  </si>
  <si>
    <t>MOTOCICLETA: NUEVA&lt;br&gt;MARCA: HAOJUE&lt;br&gt;MODELO: KA-150&lt;br&gt;COMBUSTIBLE: 93 OCTANOS&lt;br&gt;COLOR: AZUL&lt;br&gt;PESO BRUTO VEHICULAR: 136 KG&lt;br&gt;AÑO DE FABRICACIÓN: 2023&lt;br&gt;ESTADO: NUEVA SIN USO&lt;br&gt;Nº DE CHASIS: LC6PCKBE5N0003537&lt;br&gt;Nº DE MOTOR: 157FMJY1N03837</t>
  </si>
  <si>
    <t>MOTOCICLETA: NUEVA&lt;br&gt;MARCA: HAOJUE&lt;br&gt;MODELO: KA-150&lt;br&gt;COMBUSTIBLE: 93 OCTANOS&lt;br&gt;COLOR: NEGRO&lt;br&gt;PESO BRUTO VEHICULAR: 136 KG&lt;br&gt;AÑO DE FABRICACIÓN: 2023&lt;br&gt;ESTADO: NUEVA SIN USO&lt;br&gt;Nº DE CHASIS: LC6PCKBE3N0003830&lt;br&gt;Nº DE MOTOR: 157FMJY1N04086</t>
  </si>
  <si>
    <t>MOTOCICLETA: NUEVA&lt;br&gt;MARCA: HAOJUE&lt;br&gt;MODELO: KA-150&lt;br&gt;COMBUSTIBLE: 93 OCTANOS&lt;br&gt;COLOR: NEGRO&lt;br&gt;PESO BRUTO VEHICULAR: 136 KG&lt;br&gt;AÑO DE FABRICACIÓN: 2023&lt;br&gt;ESTADO: NUEVA SIN USO&lt;br&gt;Nº DE CHASIS: LC6PCKBE3N0003844&lt;br&gt;Nº DE MOTOR: 157FMJY1N04077</t>
  </si>
  <si>
    <t>MOTOCICLETA: NUEVA&lt;br&gt;MARCA: HAOJUE&lt;br&gt;MODELO: KA-150&lt;br&gt;COMBUSTIBLE: 93 OCTANOS&lt;br&gt;COLOR: NEGRO&lt;br&gt;PESO BRUTO VEHICULAR: 136 KG&lt;br&gt;AÑO DE FABRICACIÓN: 2023&lt;br&gt;ESTADO: NUEVA SIN USO&lt;br&gt;Nº DE CHASIS: LC6PCKBE7N0003815&lt;br&gt;Nº DE MOTOR: 157FMJY1N04102</t>
  </si>
  <si>
    <t>MOTOCICLETA: NUEVA&lt;br&gt;MARCA: HAOJUE&lt;br&gt;MODELO: KA-150&lt;br&gt;COMBUSTIBLE: GASOLINA&lt;br&gt;COLOR: NARANJO&lt;br&gt;PESO BRUTO VEHICULAR: 136 KG&lt;br&gt;AÑO DE FABRICACIÓN: 2023&lt;br&gt;ESTADO: NUEVA SIN USO&lt;br&gt;Nº DE CHASIS: LC6PCKBEXN0003632&lt;br&gt;Nº DE MOTOR: 157FMJY1N03991</t>
  </si>
  <si>
    <t>KD-150J</t>
  </si>
  <si>
    <t>MOTOCICLETA: NUEVA&lt;br&gt;MARCA: EUROMOT&lt;br&gt;MODELO: KD-150J&lt;br&gt;COMBUSTIBLE: 93 OCTANOS&lt;br&gt;COLOR: NEGRO&lt;br&gt;PESO BRUTO VEHICULAR: 136 KG&lt;br&gt;AÑO DE FABRICACIÓN: 2023&lt;br&gt;ESTADO: NUEVA SIN USO&lt;br&gt;Nº DE CHASIS: LD3PCK6J0N1316366&lt;br&gt;Nº DE MOTOR: KD162FMJ22435952</t>
  </si>
  <si>
    <t>MOTOCICLETA: NUEVA&lt;br&gt;MARCA: EUROMOT&lt;br&gt;MODELO: KD-150J&lt;br&gt;COMBUSTIBLE: GASOLINA&lt;br&gt;COLOR: NEGRO&lt;br&gt;PESO BRUTO VEHICULAR: 136 KG&lt;br&gt;AÑO DE FABRICACIÓN: 2023&lt;br&gt;ESTADO: NUEVA SIN USO&lt;br&gt;Nº DE CHASIS: LD3PCK6J3N1316281&lt;br&gt;Nº DE MOTOR: KD162FMJ22435904</t>
  </si>
  <si>
    <t>KIT 2 FILTROS DE AIRE ALTO FLUJO HONDA CRF-1000 AFRICA TWIN ''DNA'' [PZ]</t>
  </si>
  <si>
    <t>KIT 2 FILTROS DE AIRE ALTO FLUJO HONDA CRF-1100 AFRICA TWIN  ''DNA'' [PZ]</t>
  </si>
  <si>
    <t>KIT CATALINA Y PIÑON CBF-150 INVICTA (43-15) [PZ]</t>
  </si>
  <si>
    <t>KITS DE TRANSMISIÓN</t>
  </si>
  <si>
    <t>KIT CILINDRO Y PISTON CG-200 (63MM/15MM) [PZ]</t>
  </si>
  <si>
    <t>KITS DE CILINDRO-PISTON</t>
  </si>
  <si>
    <t>KIT CILINDRO/PISTON/EMPAQ. AN-125 (STD) [PZ]</t>
  </si>
  <si>
    <t>KIT CILINDRO/PISTON/EMPAQ. APRILIA STX-150/MOTORRAD R-150/ MOTORRAD ZX-150 (62MM/15MM) [PZ]</t>
  </si>
  <si>
    <t>KIT CILINDRO/PISTON/EMPAQ. BICIMOTO 49CC (ST-50) (STD) [PZ]</t>
  </si>
  <si>
    <t>KIT CILINDRO/PISTON/EMPAQ. BICIMOTO 49CC (ST-50) [PZ]</t>
  </si>
  <si>
    <t>KIT CILINDRO/PISTON/EMPAQ. CB-190R/XR-190L (61MM/14MM) ''VINI'' [IM]</t>
  </si>
  <si>
    <t>KIT CILINDRO/PISTON/EMPAQ. CB-250/CRF-230/DSR-200 (65.5MM/15MM) ''VINI'' [IM]</t>
  </si>
  <si>
    <t>KIT CILINDRO/PISTON/EMPAQ. CB1-125 ''VINI'' [IM]</t>
  </si>
  <si>
    <t>KIT CILINDRO/PISTON/EMPAQ. CB1-125 (STD) [PZ]</t>
  </si>
  <si>
    <t>KIT CILINDRO/PISTON/EMPAQ. CB1-125/CB-125F TWISTER (STD) [PZ]</t>
  </si>
  <si>
    <t>KIT CILINDRO/PISTON/EMPAQ. CBF-150 (64.5MM/14MM) ''VINI HOT PARTS'' [IM]</t>
  </si>
  <si>
    <t>KIT CILINDRO/PISTON/EMPAQ. CBF150 (STD) (57MM/14MM) ''VINI'' [IM]</t>
  </si>
  <si>
    <t>KIT CILINDRO/PISTON/EMPAQ. CBX-250/XR-250 TORNADO (STD) (73MM/17MM) [PZ]</t>
  </si>
  <si>
    <t>KIT CILINDRO/PISTON/EMPAQ. CG-125 (63.5MM/15MM) ''VINI HOT PARTS'' [IM]</t>
  </si>
  <si>
    <t>KIT CILINDRO/PISTON/EMPAQ. CG-125 [PZ]</t>
  </si>
  <si>
    <t>KIT CILINDRO/PISTON/EMPAQ. CG-150/RK-150 (62MM/15MM) ''HQ'' [PZ]</t>
  </si>
  <si>
    <t>KIT CILINDRO/PISTON/EMPAQ. CG-200 (65MM/15MM) ''VINI HOT PARTS'' [IM]</t>
  </si>
  <si>
    <t>KIT CILINDRO/PISTON/EMPAQ. CG-250 (VARILLAS) [PZ]</t>
  </si>
  <si>
    <t>KIT CILINDRO/PISTON/EMPAQ. CYGNUS-125 [PZ]</t>
  </si>
  <si>
    <t>KIT CILINDRO/PISTON/EMPAQ. EN-125/GS-125 (STD) [PZ]</t>
  </si>
  <si>
    <t>KIT CILINDRO/PISTON/EMPAQ. FZ 2.0 (STD) [PZ]</t>
  </si>
  <si>
    <t>KIT CILINDRO/PISTON/EMPAQ. FZ 2.0/XTZ-150 (STD) [PZ]</t>
  </si>
  <si>
    <t>KIT CILINDRO/PISTON/EMPAQ. FZ-16 (58MM/15MM) ''HQ'' [PZ]</t>
  </si>
  <si>
    <t>KIT CILINDRO/PISTON/EMPAQ. FZ-16 (58MM/15MM) ''PROTECH'' [PZ]</t>
  </si>
  <si>
    <t>KIT CILINDRO/PISTON/EMPAQ. FZ-16 (58MM/15MM) ''SEACUBE'' [PZ]</t>
  </si>
  <si>
    <t>KIT CILINDRO/PISTON/EMPAQ. FZ-16 (63.5MM/15MM) ''VINI HOT PARTS'' [IM]</t>
  </si>
  <si>
    <t>KIT CILINDRO/PISTON/EMPAQ. FZ-25/YS-250 FAZER (STD) [OF]</t>
  </si>
  <si>
    <t>KIT CILINDRO/PISTON/EMPAQ. GIXXER (58MM/14MM) ''VINI HOT PARTS'' [IM]</t>
  </si>
  <si>
    <t>KIT CILINDRO/PISTON/EMPAQ. GIXXER-150 ''VINI'' [IM]</t>
  </si>
  <si>
    <t>KIT CILINDRO/PISTON/EMPAQ. GIXXER-150 [PZ]</t>
  </si>
  <si>
    <t>KIT CILINDRO/PISTON/EMPAQ. GN-125/RKS-125/RKS-150/TX-150 (62MM/14MM) ''VINI HOT PARTS'' [IM]</t>
  </si>
  <si>
    <t>KIT CILINDRO/PISTON/EMPAQ. GN-125H [PZ]</t>
  </si>
  <si>
    <t>KIT CILINDRO/PISTON/EMPAQ. GS-150R (57MM/15MM) ''VINI'' [IM]</t>
  </si>
  <si>
    <t>KIT CILINDRO/PISTON/EMPAQ. GXT-200/DR-200/QM-200 (66MM/16MM) ''VINI'' [IM]</t>
  </si>
  <si>
    <t>KIT CILINDRO/PISTON/EMPAQ. GXT-200/QM-200 (STD) 66MM [PZ]</t>
  </si>
  <si>
    <t>KIT CILINDRO/PISTON/EMPAQ. JL200GY (STD) 63.5MM [PZ]</t>
  </si>
  <si>
    <t>KIT CILINDRO/PISTON/EMPAQ. KINLON JL-150 (STD) [PZ]</t>
  </si>
  <si>
    <t>KIT CILINDRO/PISTON/EMPAQ. MOTORRAD-200 [PZ]</t>
  </si>
  <si>
    <t>KIT CILINDRO/PISTON/EMPAQ. PULSAR-160NS ''VINI'' [IM]</t>
  </si>
  <si>
    <t>KIT CILINDRO/PISTON/EMPAQ. PULSAR-200NS ''VINI HOT PARTS'' [OF]</t>
  </si>
  <si>
    <t>KIT CILINDRO/PISTON/EMPAQ. PULSAR-200NS ''VINI'' [IM]</t>
  </si>
  <si>
    <t>KIT CILINDRO/PISTON/EMPAQ. PULSAR-200NS (STD) [PZ]</t>
  </si>
  <si>
    <t>KIT CILINDRO/PISTON/EMPAQ. SCOOTER-125 (STD) 52.4M [PZ]</t>
  </si>
  <si>
    <t>KIT CILINDRO/PISTON/EMPAQ. SCOOTER-125 GY6 ''VINI'' [IM]</t>
  </si>
  <si>
    <t>KIT CILINDRO/PISTON/EMPAQ. SCOOTER-150 (STD) 57.4M [PZ]</t>
  </si>
  <si>
    <t>KIT CILINDRO/PISTON/EMPAQ. XR-125L (STD) [PZ]</t>
  </si>
  <si>
    <t>KIT CILINDRO/PISTON/EMPAQ. YBR-125 ''VINI HOT PARTS'' [IM]</t>
  </si>
  <si>
    <t>KIT CILINDRO/PISTON/EMPAQ. YBR-125 (STD) ''VINI'' [IM]</t>
  </si>
  <si>
    <t>KIT CILINDRO/PISTON/EMPAQ. YW-125 BWS (STD) ''VINI'' [IM]</t>
  </si>
  <si>
    <t>KIT CILINDRO/PISTON/EMPAQ. YZF-R15 ''VINI'' [IM]</t>
  </si>
  <si>
    <t>KIT CILINDRO/PISTON/EMPAQ. YZF-R15 (STD) 57MM [PZ]</t>
  </si>
  <si>
    <t>KIT DADOS DE IMPACTO (DE8 A 24MM) [PZ]</t>
  </si>
  <si>
    <t>KIT DE LIMPIEZA FILTROS DE AIRE ''DNA'' [PZ]</t>
  </si>
  <si>
    <t>KIT DISTRIBUCION CB-190 ''VINI'' [IM]</t>
  </si>
  <si>
    <t>KIT DISTRIBUCION CB1-125 (25H-90L) ''VINI'' [IM]</t>
  </si>
  <si>
    <t>KIT DISTRIBUCION CB1-125 [PZ]</t>
  </si>
  <si>
    <t>KIT DISTRIBUCION CBF-150 INVICTA/XR-150 ''VINI'' [IM]</t>
  </si>
  <si>
    <t>KIT DISTRIBUCION CG-100 (CON CADENA) [PZ]</t>
  </si>
  <si>
    <t>KIT DISTRIBUCION CG-100/EXPRESS-100/BICIMOTO 49CC ''VINI'' [IM]</t>
  </si>
  <si>
    <t>KIT DISTRIBUCION CG-125 CHINA ''VINI'' [IM]</t>
  </si>
  <si>
    <t>KIT DISTRIBUCION FZN-150 ''VINI'' [IM]</t>
  </si>
  <si>
    <t>KIT DISTRIBUCION GIXXER-150 ''VINI'' [IM]</t>
  </si>
  <si>
    <t>KIT DISTRIBUCION GN-125 ''VINI'' [IM]</t>
  </si>
  <si>
    <t>KIT DISTRIBUCION XR-250 TORNADO ''VINI'' [IM]</t>
  </si>
  <si>
    <t>KIT DISTRIBUCION YBR-125/XTZ-125 ''VINI'' [IM]</t>
  </si>
  <si>
    <t>KIT MANTENIMIENTO FZ 2.0/FZ-S FI/FZN-150 BÁSICO [PZ]</t>
  </si>
  <si>
    <t>Pack/Promocion</t>
  </si>
  <si>
    <t>KITS DE MANTENIMIENTO BÁSICO</t>
  </si>
  <si>
    <t>KIT MANTENIMIENTO FZ 2.0/FZ-S FI/FZN-150 FULL [PZ]</t>
  </si>
  <si>
    <t>KITS DE MANTENIMIENTO FULL</t>
  </si>
  <si>
    <t>KIT MANTENIMIENTO FZ 2.0/FZ-S FI/FZN-150 INTERMEDIO [PZ]</t>
  </si>
  <si>
    <t>KITS DE MANTENIMIENTO INTERMEDIO</t>
  </si>
  <si>
    <t>KIT RAPARA PINCHAZO [PZ]</t>
  </si>
  <si>
    <t>KIT REMOVEDOR DE RETENES (4PCS) [PZ]</t>
  </si>
  <si>
    <t>KIT TRANSMISION  CB1-125/CB-125F TWISTER ''RIFFEL''</t>
  </si>
  <si>
    <t>C43 / P14 / 428H - 122L Plata [PZ]</t>
  </si>
  <si>
    <t>KIT TRANSMISION BAJAJ DISCOVER-125ST [PZ]</t>
  </si>
  <si>
    <t>C45 / P14 / 428H - 132L Gris</t>
  </si>
  <si>
    <t>KIT TRANSMISION BENELLI TNT-250 ''RIFFEL'' [PZ]</t>
  </si>
  <si>
    <t>KIT TRANSMISION BENELLI-180S C/O'RING ''RIFFEL'' [PZ]</t>
  </si>
  <si>
    <t>KIT TRANSMISION CB-190 [PZ]</t>
  </si>
  <si>
    <t>KIT TRANSMISION CB-190R ''RIFFEL'' [PZ]</t>
  </si>
  <si>
    <t>C45 / P14 / 428H - 132L DORADO</t>
  </si>
  <si>
    <t>C45 / P14 / 428H - 132L GRIS</t>
  </si>
  <si>
    <t>KIT TRANSMISION CB1-125/CB-125 TWISTER [PZ]</t>
  </si>
  <si>
    <t>KIT TRANSMISION CB1-125/CB-125F TWISTER [PZ]</t>
  </si>
  <si>
    <t>C42 / P14 / 428H - 132L GRIS</t>
  </si>
  <si>
    <t>KIT TRANSMISION CBF-150 INVICTA/NEW-INVICTA (14/45) [PZ]</t>
  </si>
  <si>
    <t>KIT TRANSMISION CBF-150 INVICTA/NEW-INVICTA [PZ]</t>
  </si>
  <si>
    <t>C42 / P15 / 428H - 132L GRIS</t>
  </si>
  <si>
    <t>KIT TRANSMISION CBF-150 INVICTA/NEW-INVICTA/GL-150 [PZ]</t>
  </si>
  <si>
    <t>C43 / P15 / 428H - 132L GRIS</t>
  </si>
  <si>
    <t>KIT TRANSMISION CBR-250 (520H-120L)(38Z-14Z) [PZ]</t>
  </si>
  <si>
    <t>KIT TRANSMISION CBR-300 [PZ]</t>
  </si>
  <si>
    <t>C36 / P14 / 520H - 108L GRIS</t>
  </si>
  <si>
    <t>KIT TRANSMISION CBX-250 TWISTER ''RIFFEL'' [PZ]</t>
  </si>
  <si>
    <t>KIT TRANSMISION CG-125 (14/45) [PZ]</t>
  </si>
  <si>
    <t>KIT TRANSMISION CG-125 (14Z/38Z) [PZ]</t>
  </si>
  <si>
    <t>KIT TRANSMISION CG-125 (15/35) 428H-136 [PZ]</t>
  </si>
  <si>
    <t>KIT TRANSMISION CG-125 (15/35) [PZ]</t>
  </si>
  <si>
    <t>C35 / P15 / 428H - 120L GRIS</t>
  </si>
  <si>
    <t>KIT TRANSMISION CG-125 (15/37) 428H-136 [PZ]</t>
  </si>
  <si>
    <t>KIT TRANSMISION CG-125 (15/37) [PZ]</t>
  </si>
  <si>
    <t>KIT TRANSMISION CG-125 (15/38) [PZ]</t>
  </si>
  <si>
    <t>KIT TRANSMISION CG-125 (15/43) [PZ]</t>
  </si>
  <si>
    <t>KIT TRANSMISION CG-125 (16/38) [PZ]</t>
  </si>
  <si>
    <t>KIT TRANSMISION CG-125 (16/39) [PZ]</t>
  </si>
  <si>
    <t>KIT TRANSMISION CG-125 (17/39) [PZ]</t>
  </si>
  <si>
    <t>KIT TRANSMISION CG-125 (CHINA) (15/38) [PZ]</t>
  </si>
  <si>
    <t>KIT TRANSMISION CG-125 TITAN/CARGO [PZ]</t>
  </si>
  <si>
    <t>C44 / P14 / 428H - 120L GRIS</t>
  </si>
  <si>
    <t>KIT TRANSMISION CGL-125 [PZ]</t>
  </si>
  <si>
    <t>C39 / P15 / 428H - 124L Gris</t>
  </si>
  <si>
    <t>KIT TRANSMISION DOMINAR-400 (15Z-45Z)(520HO-120L) ''RIFFEL'' [PZ]</t>
  </si>
  <si>
    <t>KIT TRANSMISION DR-200 C/O'RING [PZ]</t>
  </si>
  <si>
    <t>C45 / P15 / 520H C/O'RING - 120L GRIS</t>
  </si>
  <si>
    <t>KIT TRANSMISION DR-200 [PZ]</t>
  </si>
  <si>
    <t>KIT TRANSMISION DUKE-390/RC-390 ''RIFFEL'' [PZ]</t>
  </si>
  <si>
    <t>KIT TRANSMISION EN-125/GS-125 [PZ]</t>
  </si>
  <si>
    <t>C45 / P14 / 428H - 120L GRIS</t>
  </si>
  <si>
    <t>KIT TRANSMISION FZ-16 ''DORADA'' [PZ]</t>
  </si>
  <si>
    <t>C40 / P14 / 428H - 128L DORADA</t>
  </si>
  <si>
    <t>KIT TRANSMISION FZ-16 ''RIFFEL'' [PZ]</t>
  </si>
  <si>
    <t>C40 / P14 / 428H - 128L GRIS</t>
  </si>
  <si>
    <t>KIT TRANSMISION FZ-16 [PZ]</t>
  </si>
  <si>
    <t>KIT TRANSMISION FZ-25 (46Z-15Z)(428H-136L) ''RIFFEL'' [PZ]</t>
  </si>
  <si>
    <t>KIT TRANSMISION GIXXER-150 [PZ]</t>
  </si>
  <si>
    <t>C45 / P15 / 428H - 132L GRIS</t>
  </si>
  <si>
    <t>KIT TRANSMISION GN-125 [PZ]</t>
  </si>
  <si>
    <t>C41 / P15 / 428H - 120L GRIS</t>
  </si>
  <si>
    <t>KIT TRANSMISION GN-125/RKV/RKS [PZ]</t>
  </si>
  <si>
    <t>C38 / P14 / 428H - 120L GRIS</t>
  </si>
  <si>
    <t>KIT TRANSMISION GN-125H CHINA [PZ]</t>
  </si>
  <si>
    <t>KIT TRANSMISION GN-125H [PZ]</t>
  </si>
  <si>
    <t>C38 / P15 / 428H - 120L Gris</t>
  </si>
  <si>
    <t>C41 / P14 / 428H - 120L GRIS</t>
  </si>
  <si>
    <t>C43 / P14 / 428H - 120L GRIS</t>
  </si>
  <si>
    <t>KIT TRANSMISION GS-150R [PZ]</t>
  </si>
  <si>
    <t>C41 / P14 / 428H - 132L GRIS</t>
  </si>
  <si>
    <t>KIT TRANSMISION GS-500/GS-400 [PZ]</t>
  </si>
  <si>
    <t>C39 / P16 / 520H - 120L GRIS</t>
  </si>
  <si>
    <t>KIT TRANSMISION GW-250 INAZUMA [PZ]</t>
  </si>
  <si>
    <t>C46 / P14 / 520H C/O'RING - 120L GRIS</t>
  </si>
  <si>
    <t>KIT TRANSMISION GXT-200 [PZ]</t>
  </si>
  <si>
    <t>C40 / P15 / 428H - 136L gris</t>
  </si>
  <si>
    <t>C48 / P15 / 428H - 136L gris</t>
  </si>
  <si>
    <t>KIT TRANSMISION GZ-150 [PZ]</t>
  </si>
  <si>
    <t>KIT TRANSMISION HJ125-7/JL125-7 [PZ]</t>
  </si>
  <si>
    <t>C38 / P15 / 428H - 120L GRIS</t>
  </si>
  <si>
    <t>KIT TRANSMISION JL-125 [PZ]</t>
  </si>
  <si>
    <t>C38 / P15 / 428 - 120L GRIS</t>
  </si>
  <si>
    <t>KIT TRANSMISION KA-150 [PZ]</t>
  </si>
  <si>
    <t>KIT TRANSMISION KEEWAY [PZ]</t>
  </si>
  <si>
    <t>C43 / P15 / 428H - 120L GRIS</t>
  </si>
  <si>
    <t>KIT TRANSMISION KINLON JL-200 [PZ]</t>
  </si>
  <si>
    <t>C44 / P16 / 428H - 132L GRIS</t>
  </si>
  <si>
    <t>KIT TRANSMISION KINLON JL110 [PZ]</t>
  </si>
  <si>
    <t>C36 / P14 / 428H - 110L GRIS</t>
  </si>
  <si>
    <t>KIT TRANSMISION KINLON [PZ]</t>
  </si>
  <si>
    <t>C36 / P15 / 428H - 110L GRIS</t>
  </si>
  <si>
    <t>KIT TRANSMISION KTM DUKE-200 ''PROTECH'' [PZ]</t>
  </si>
  <si>
    <t>C43 / P14 / 520 - 118L GRIS</t>
  </si>
  <si>
    <t>KIT TRANSMISION KTM DUKE-200 [PZ]</t>
  </si>
  <si>
    <t>KIT TRANSMISION LONCIN [PZ]</t>
  </si>
  <si>
    <t>C40 / P14 / 428H - 120L GRIS</t>
  </si>
  <si>
    <t>KIT TRANSMISION MOTO CHINA ''NPC'' [PZ]</t>
  </si>
  <si>
    <t>C43 / P14 / 420H - 120L GRIS</t>
  </si>
  <si>
    <t>KIT TRANSMISION NK-150 [PZ]</t>
  </si>
  <si>
    <t>KIT TRANSMISION NXR-150 BROS/XR-125L/XR-150L [PZ]</t>
  </si>
  <si>
    <t>C50 / P17 / 428H - 130L Gris</t>
  </si>
  <si>
    <t>C54 / P17 / 428H - 132L GRIS</t>
  </si>
  <si>
    <t>KIT TRANSMISION PEGASUS DAKAR-250 [PZ]</t>
  </si>
  <si>
    <t>C43 / P16 / 428H - 136L GRIS</t>
  </si>
  <si>
    <t>KIT TRANSMISION PULSAR-125NS/PULSAR-135 [PZ]</t>
  </si>
  <si>
    <t>KIT TRANSMISION PULSAR-135 (428H-132L)(43Z-15Z) [PZ]</t>
  </si>
  <si>
    <t>KIT TRANSMISION PULSAR-150NS [PZ]</t>
  </si>
  <si>
    <t>KIT TRANSMISION PULSAR-150NS/PULSAR-160NS [PZ]</t>
  </si>
  <si>
    <t>C45 / P15 / 428H - 136L GRIS</t>
  </si>
  <si>
    <t>KIT TRANSMISION PULSAR-180 [PZ]</t>
  </si>
  <si>
    <t>KIT TRANSMISION PULSAR-180/ 6 PERNOS (428H-132)(42T/15T) [PZ]</t>
  </si>
  <si>
    <t>KIT TRANSMISION PULSAR-200NS [PZ]</t>
  </si>
  <si>
    <t>KIT TRANSMISION PULSAR-220F/S PULSAR-180 (14/36) [PZ]</t>
  </si>
  <si>
    <t>KIT TRANSMISION RKV-150 [PZ]</t>
  </si>
  <si>
    <t>KIT TRANSMISION SHARK-200 [PZ]</t>
  </si>
  <si>
    <t>C43 / P16 / 428H - 132L GRIS</t>
  </si>
  <si>
    <t>KIT TRANSMISION STORM-125/REX-150/CGL-125 [PZ]</t>
  </si>
  <si>
    <t>KIT TRANSMISION T-110 CRYPTON [PZ]</t>
  </si>
  <si>
    <t>KIT TRANSMISION TVS APACHE RTR-160 [PZ]</t>
  </si>
  <si>
    <t>C44 / P13 / 428H - 132L GRIS</t>
  </si>
  <si>
    <t>KIT TRANSMISION TVS SPORT-100 [PZ]</t>
  </si>
  <si>
    <t>C39 / P13 / 428H - 120L GRIS</t>
  </si>
  <si>
    <t>KIT TRANSMISION TX-200/JL-125TT (46/15) [PZ]</t>
  </si>
  <si>
    <t>KIT TRANSMISION TX-200/JL-125TT (46/17) [PZ]</t>
  </si>
  <si>
    <t>KIT TRANSMISION XBLADE-160 [PZ]</t>
  </si>
  <si>
    <t>C47 / P15 / 428H - 132L GRIS</t>
  </si>
  <si>
    <t>KIT TRANSMISION XL-125/LX125-4/XLR-125 (14/56) [PZ]</t>
  </si>
  <si>
    <t>KIT TRANSMISION XL-125/XL-185S [PZ]</t>
  </si>
  <si>
    <t>KIT TRANSMISION XLR-125 (14/50) [PZ]</t>
  </si>
  <si>
    <t>KIT TRANSMISION XR-190L [PZ]</t>
  </si>
  <si>
    <t>KIT TRANSMISION XR-200 (BRASIL)/XL 200 (13/43) [PZ]</t>
  </si>
  <si>
    <t>KIT TRANSMISION XR-250 TORNADO (13/38) [PZ]</t>
  </si>
  <si>
    <t>KIT TRANSMISION XRE-300 [PZ]</t>
  </si>
  <si>
    <t>KIT TRANSMISION XT-225 [PZ]</t>
  </si>
  <si>
    <t>KIT TRANSMISION XTZ-125 [PZ]</t>
  </si>
  <si>
    <t>KIT TRANSMISION XTZ-150 ''PROTECH'' [PZ]</t>
  </si>
  <si>
    <t>KIT TRANSMISION XTZ-150 (428H-41-14) [PZ]</t>
  </si>
  <si>
    <t>KIT TRANSMISION XTZ-250 (13/40) [PZ]</t>
  </si>
  <si>
    <t>KIT TRANSMISION YBR-125 (14/45) CADENA NORMAL [PZ]</t>
  </si>
  <si>
    <t>KIT TRANSMISION YBR-125 (14/45) [PZ]</t>
  </si>
  <si>
    <t>KIT TRANSMISION YBR-125 [PZ]</t>
  </si>
  <si>
    <t>KIT TRANSMISION YD-110 CRUX [PZ]</t>
  </si>
  <si>
    <t>KIT TRANSMISION YS-250 FAZER/YBR-250/FZ 25 (45Z-15Z) (428H-132L) [PZ]</t>
  </si>
  <si>
    <t>KIT TRANSMISION YZF-R15 [PZ]</t>
  </si>
  <si>
    <t>KIT TRANSMISION YZF-R3 ''RIFFEL'' [PZ]</t>
  </si>
  <si>
    <t>KIT TRANSMISION YZF-R3/MT-03 ''CADENA CON ORING'' [PZ]</t>
  </si>
  <si>
    <t>LASER LED UNIVERSAL [PZ]</t>
  </si>
  <si>
    <t>LEVA BALANCIN ALZA VALVULA TIPO CG-125 [PZ]</t>
  </si>
  <si>
    <t>LEVA FRENO TRASERO YBR-125 [PZ]</t>
  </si>
  <si>
    <t>LIMPIA CARBURADOR ''ARLON'' [PZ]</t>
  </si>
  <si>
    <t>LIMPIA CARBURADOR ''JP ONE'' [PZ]</t>
  </si>
  <si>
    <t>LIMPIA CARBURADOR ''MEGA'' [PZ]</t>
  </si>
  <si>
    <t>LIMPIA CARBURADOR ''SENFINECO'' 650ML [OF]</t>
  </si>
  <si>
    <t>LIMPIA CONTACTOS ''MEGA'' [PZ]</t>
  </si>
  <si>
    <t>LIMPIA CONTACTOS ''REX'' 400ML [PZ]</t>
  </si>
  <si>
    <t>LIMPIA CONTACTOS ''SENFINECO'' 400ML [OF]</t>
  </si>
  <si>
    <t>LIMPIA FRENO ''IPONE'' [PZ]</t>
  </si>
  <si>
    <t>LIMPIA INYECTORES ''JP ONE''  354 ML [PZ]</t>
  </si>
  <si>
    <t>LIMPIA INYECTORES ''SENFINECO'' 300ML [OF]</t>
  </si>
  <si>
    <t>LIMPIADOR DE FRENO [PZ]</t>
  </si>
  <si>
    <t>LIMPIADOR DE FRENOS ''SENFINECO'' 600ML [OF]</t>
  </si>
  <si>
    <t>LIMPIADOR DE LLANTAS ''SENFINECO'' 380ML [OF]</t>
  </si>
  <si>
    <t>LIMPIADOR DE MOTOR EN ESPUMA ''SENFINECO'' 500ML [OF]</t>
  </si>
  <si>
    <t>LIMPIADOR DE VISERA ANTIEMPAÑANTE ''LIQUI MOLY'' [OF]</t>
  </si>
  <si>
    <t>LIMPIADOR M1 DE CASCO Y VISERA ''MOTUL'' 250ML [OF]</t>
  </si>
  <si>
    <t>LIMPIADOR M2 DE CASCO ANTIBACTERIAL ''MOTUL'' 250ML [OF]</t>
  </si>
  <si>
    <t>LIMPIEZA: CARBURADOR</t>
  </si>
  <si>
    <t>LIQUIDO FRENO ''LIQUI MOLY'' DOT 4 [PZ]</t>
  </si>
  <si>
    <t>LIQUIDO FRENO ''LIQUI MOLY'' DOT 5.1 [PZ]</t>
  </si>
  <si>
    <t>LIQUIDO FRENO ''MOTUL'' DOT3/4 [OF]</t>
  </si>
  <si>
    <t>LIQUIDO FRENO ''MOTUL'' DOT5.1 [OF]</t>
  </si>
  <si>
    <t>LIQUIDO FRENO ''REPSOL'' DOT 4 [OF]</t>
  </si>
  <si>
    <t>LIQUIDO FRENO ''SENFINECO'' DOT 3 250ML [OF]</t>
  </si>
  <si>
    <t>LIQUIDO FRENO ''SENFINECO'' DOT 4 250ML [OF]</t>
  </si>
  <si>
    <t>LIQUIDO FRENOS ''IPONE'' DOT-4 SEMI/SINTETICO [PZ]</t>
  </si>
  <si>
    <t>LIQUIDO FRENOS ABS ''LIQUI MOLY'' DOT-4 SINTÉTICO [OF]</t>
  </si>
  <si>
    <t>LLANTA DELANTERA CGL-125 [OF]</t>
  </si>
  <si>
    <t>LLANTAS</t>
  </si>
  <si>
    <t>LLANTA DELANTERA KA-150 [PZ]</t>
  </si>
  <si>
    <t>LLANTA DELANTERA STORM-125 [PZ]</t>
  </si>
  <si>
    <t>LLANTA TRASERA RENEGADE XTREET-250X [PZ]</t>
  </si>
  <si>
    <t>LLAVE APRIETA RAYOS [PZ]</t>
  </si>
  <si>
    <t>LLAVES</t>
  </si>
  <si>
    <t>LLAVE BENCINA BICIMOTO 49CC (ST-50) [PZ]</t>
  </si>
  <si>
    <t>LLAVE BENCINA CG-125 [PZ]</t>
  </si>
  <si>
    <t>LLAVE BENCINA CGL-125 [PZ]</t>
  </si>
  <si>
    <t>LLAVE BENCINA GN-125 ''VINI'' [IM]</t>
  </si>
  <si>
    <t>LLAVE BENCINA GN-125 [PZ]</t>
  </si>
  <si>
    <t>LLAVE BENCINA SCOOTER-125 [PZ]</t>
  </si>
  <si>
    <t>LLAVE BENCINA SCOOTER-150 (3 CONDUCTOS) [PZ]</t>
  </si>
  <si>
    <t>LLAVE BENCINA TIPO CG [PZ]</t>
  </si>
  <si>
    <t>LLAVE BENCINA UNIVERSAL (FLOTANTE) [PZ]</t>
  </si>
  <si>
    <t>LLAVE BENCINA XL-250 [PZ]</t>
  </si>
  <si>
    <t>LLAVE BUJIA UNIVERSAL (CORTA) [PZ]</t>
  </si>
  <si>
    <t>LLAVE FIJADOR EMBRAGUE CENTRIFUGO Y VARIADOR [PZ]</t>
  </si>
  <si>
    <t>LLAVE FILTRO ACEITE UNIVERSAL [PZ]</t>
  </si>
  <si>
    <t>LLAVE PRENSA EMBRAGUE [PZ]</t>
  </si>
  <si>
    <t>LLAVE PUNTA CORONA 39/41MM. [PZ]</t>
  </si>
  <si>
    <t>LLAVE PUNTA CORONA C/CHICHARRA 10 MM. [PZ]</t>
  </si>
  <si>
    <t>LLAVE PUNTA CORONA C/CHICHARRA 12 MM. [PZ]</t>
  </si>
  <si>
    <t>LLAVE PUNTA CORONA C/CHICHARRA 14 MM. [PZ]</t>
  </si>
  <si>
    <t>LLAVE PUNTA CORONA C/CHICHARRA 17 MM. [PZ]</t>
  </si>
  <si>
    <t>LLAVE PUNTA CORONA C/CHICHARRA 8 MM. [PZ]</t>
  </si>
  <si>
    <t>LLAVE REGULDORA AMORTIGUADOR (PICO LORO) [PZ]</t>
  </si>
  <si>
    <t>LLAVERO UNIVERSAL MULTIMARCA [PZ]</t>
  </si>
  <si>
    <t>LUBRICANTE CADENA ''CASTROL'' 400ML [OF]</t>
  </si>
  <si>
    <t>LUBRICANTE CADENA ''IPONE' 250ML [PZ]</t>
  </si>
  <si>
    <t>LUBRICANTE CADENA ''LIQUI MOLY'' (BLANCO) 400ML. [PZ]</t>
  </si>
  <si>
    <t>LUBRICANTE CADENA ''LIQUI MOLY'' (BLANCO) 50ML. [PZ]</t>
  </si>
  <si>
    <t>LUBRICANTE CADENA ''REPSOL'' QUALIFIER 400ML [OF]</t>
  </si>
  <si>
    <t>LUBRICANTE CADENA ''REPSOL'' ROAD 400ML [OF]</t>
  </si>
  <si>
    <t>LUBRICANTE CADENA ''SENFINECO'' 200ML [OF]</t>
  </si>
  <si>
    <t>LUBRICANTE CADENA ''SENFINECO'' 650ML [OF]</t>
  </si>
  <si>
    <t>LUBRICANTE CADENA C/LITIO ''SENFINECO'' 450ML [OF]</t>
  </si>
  <si>
    <t>LUBRICANTE CADENA C2 ''MOTUL'' ROAD O'RING 400 ML [OF]</t>
  </si>
  <si>
    <t>LUBRICANTE CADENA C3 ''MOTUL'' OFF ROAD 400 ML [OF]</t>
  </si>
  <si>
    <t>LUBRICANTE CADENA C4 ''MOTUL'' RACING ROAD 400 ML [OF]</t>
  </si>
  <si>
    <t>LUZ LED TRASERA UNIVERSAL [PZ]</t>
  </si>
  <si>
    <t>LX150GY-8</t>
  </si>
  <si>
    <t>MOTOCICLETA: NUEVA&lt;br&gt;MARCA: LONCIN&lt;br&gt;MODELO: LX150GY-8&lt;br&gt;COMBUSTIBLE: GASOLINA&lt;br&gt;COLOR: ROJO&lt;br&gt;PESO BRUTO VEHICULAR: 200 KG&lt;br&gt;AÑO DE FABRICACIÓN: 2023&lt;br&gt;ESTADO: NUEVA SIN USO&lt;br&gt;Nº DE CHASIS: LLCLGJ809PA100064&lt;br&gt;Nº DE MOTOR: LC162FMJ089491Q3</t>
  </si>
  <si>
    <t>LUBRICANTE CADENA ''MAXIMA'' [PZ]</t>
  </si>
  <si>
    <t>MALETA CENTRAL HONDA-NAVI [PZ]</t>
  </si>
  <si>
    <t>MALETA TRASERA UNIVERSAL [PZ]</t>
  </si>
  <si>
    <t>MALLA CUBRE ASIENTO MOTO (XL) [PZ]</t>
  </si>
  <si>
    <t>MALLA CUBRE ASIENTO MOTO (XXL) [PZ]</t>
  </si>
  <si>
    <t>MANGUERA COMBUSTIBLE 1M [PZ]</t>
  </si>
  <si>
    <t>MANGUERAS</t>
  </si>
  <si>
    <t>MANGUERA COMBUSTIBLE 20M [PZ]</t>
  </si>
  <si>
    <t>ESTANQUE</t>
  </si>
  <si>
    <t>MANGUERA COMBUSTIBLE 50CM [PZ]</t>
  </si>
  <si>
    <t>MANGUERA RADIADOR RECTA UNIVERSAL 30CM [PZ]</t>
  </si>
  <si>
    <t>MANGUERA RADIADOR UNIVERSAL 30CM [PZ]</t>
  </si>
  <si>
    <t>MANILLA EMBRAGUE BAJAJ DISCOVER-150 ''VINI'' [IM]</t>
  </si>
  <si>
    <t>MANILLAS</t>
  </si>
  <si>
    <t>MANILLA EMBRAGUE CG-100/NEW-INVICTA [PZ]</t>
  </si>
  <si>
    <t>MANILLA EMBRAGUE CR-190R [PZ]</t>
  </si>
  <si>
    <t>MANILLA EMBRAGUE DOMINAR-400/PULSAR-180/160NS/200NS [PZ]</t>
  </si>
  <si>
    <t>MANILLA EMBRAGUE DRZ-250 [PZ]</t>
  </si>
  <si>
    <t>MANILLA EMBRAGUE FZ-16/FZN-150 (2.0)/YBR-125/FZ-25 ''VINI'' [IM]</t>
  </si>
  <si>
    <t>MANILLA EMBRAGUE FZ-25 [PZ]</t>
  </si>
  <si>
    <t>MANILLA EMBRAGUE FZR-400/600 [PZ]</t>
  </si>
  <si>
    <t>MANILLA EMBRAGUE GIXXER-150 [PZ]</t>
  </si>
  <si>
    <t>MANILLA EMBRAGUE GN-125 CHINA ''VINI'' [IM]</t>
  </si>
  <si>
    <t>MANILLA EMBRAGUE GPZ-400R [PZ]</t>
  </si>
  <si>
    <t>MANILLA EMBRAGUE GSX-400R [PZ]</t>
  </si>
  <si>
    <t>MANILLA EMBRAGUE GSX-600F [PZ]</t>
  </si>
  <si>
    <t>MANILLA EMBRAGUE KA-150 [PZ]</t>
  </si>
  <si>
    <t>MANILLA EMBRAGUE KX-250F (06/16) [PZ]</t>
  </si>
  <si>
    <t>MANILLA EMBRAGUE NK-150 [PZ]</t>
  </si>
  <si>
    <t>MANILLA EMBRAGUE PULSAR-200NS [PZ]</t>
  </si>
  <si>
    <t>MANILLA EMBRAGUE RENEGADE [PZ]</t>
  </si>
  <si>
    <t>MANILLA EMBRAGUE RS-100 [PZ]</t>
  </si>
  <si>
    <t>MANILLA EMBRAGUE STORM-125 ''VINI'' [IM]</t>
  </si>
  <si>
    <t>MANILLA EMBRAGUE VF-400/750 [OF]</t>
  </si>
  <si>
    <t>MANILLA EMBRAGUE VT250F/VF400 [PZ]</t>
  </si>
  <si>
    <t>MANILLA EMBRAGUE WR-250F/WR-450F (05/07) [PZ]</t>
  </si>
  <si>
    <t>MANILLA EMBRAGUE XL-250M/XR-250 TORNADO [PZ]</t>
  </si>
  <si>
    <t>MANILLA EMBRAGUE XL-250R ''TIPO KB7'' [PZ]</t>
  </si>
  <si>
    <t>MANILLA EMBRAGUE XR-250 TORNADO/XRE-300 [PZ]</t>
  </si>
  <si>
    <t>MANILLA EMBRAGUE XR-70/80/100R [PZ]</t>
  </si>
  <si>
    <t>MANILLA EMBRAGUE XTZ-125 ''VINI'' [IM]</t>
  </si>
  <si>
    <t>MANILLA EMBRAGUE XTZ-150 ''VINI'' [IM]</t>
  </si>
  <si>
    <t>MANILLA EMBRAGUE YZ-250F/450F [PZ]</t>
  </si>
  <si>
    <t>MANILLA FRENO BICIMOTO 49CC (ST-50) (IZQ) [PZ]</t>
  </si>
  <si>
    <t>MANILLA FRENO CB-190R/CBF-150 INVICTA/ X-BLADE-160/CB-125F TWISTER [PZ]</t>
  </si>
  <si>
    <t>MANILLA FRENO CG-100 PASSION [PZ]</t>
  </si>
  <si>
    <t>MANILLA FRENO CG-125 (TIPO KB7) (CROMADA) [PZ]</t>
  </si>
  <si>
    <t>MANILLA FRENO CR-250R (92/95) [PZ]</t>
  </si>
  <si>
    <t>MANILLA FRENO CR-80 [PZ]</t>
  </si>
  <si>
    <t>MANILLA FRENO CRF-80/100/XR-80 [PZ]</t>
  </si>
  <si>
    <t>MANILLA FRENO DELANTERO ATV-125 [PZ]</t>
  </si>
  <si>
    <t>MANILLA FRENO DERECHO VS-125 [PZ]</t>
  </si>
  <si>
    <t>MANILLA FRENO DOMINAR-400 [PZ]</t>
  </si>
  <si>
    <t>MANILLA FRENO FZ-16/FZN-150 (2.0) ''VINI'' [IM]</t>
  </si>
  <si>
    <t>MANILLA FRENO FZ-25 [PZ]</t>
  </si>
  <si>
    <t>MANILLA FRENO FZR-400/600/V-STAR/DRAG-STAR [PZ]</t>
  </si>
  <si>
    <t>MANILLA FRENO GIXXER-150/PULSAR-200NS/DUKE-200/FZ-25 ''VINI'' [IM]</t>
  </si>
  <si>
    <t>MANILLA FRENO GN-125 ''VINI'' [IM]</t>
  </si>
  <si>
    <t>MANILLA FRENO GSX-400R [PZ]</t>
  </si>
  <si>
    <t>MANILLA FRENO IZQUIERDO VS-125 [PZ]</t>
  </si>
  <si>
    <t>MANILLA FRENO KA-150 [PZ]</t>
  </si>
  <si>
    <t>MANILLA FRENO KD-150J/VINTAGE CAFÉ [PZ]</t>
  </si>
  <si>
    <t>MANILLA FRENO KDX-250 [PZ]</t>
  </si>
  <si>
    <t>MANILLA FRENO KLR-250 [PZ]</t>
  </si>
  <si>
    <t>MANILLA FRENO KTM-250/450 [PZ]</t>
  </si>
  <si>
    <t>MANILLA FRENO KX-80/125/250 [PZ]</t>
  </si>
  <si>
    <t>MANILLA FRENO NK-150/DR-160S [PZ]</t>
  </si>
  <si>
    <t>MANILLA FRENO PULSAR-200NS/PULSAR-180/GIXXER-150/FZ-25/DUKE-200 [PZ]</t>
  </si>
  <si>
    <t>MANILLA FRENO REX-150/GN-125H [PZ]</t>
  </si>
  <si>
    <t>MANILLA FRENO RMZ-250 [PZ]</t>
  </si>
  <si>
    <t>MANILLA FRENO SCOOTER 125/150 (IZQ) [PZ]</t>
  </si>
  <si>
    <t>MANILLA FRENO SCOOTER-125/150 [PZ]</t>
  </si>
  <si>
    <t>MANILLA FRENO TRASERO ATV-125 [PZ]</t>
  </si>
  <si>
    <t>MANILLA FRENO TRASERO CG-125 (CROMADA) [PZ]</t>
  </si>
  <si>
    <t>MANILLA FRENO XL-250R [PZ]</t>
  </si>
  <si>
    <t>MANILLA FRENO XR-250 [PZ]</t>
  </si>
  <si>
    <t>MANILLA FRENO XR-250L (ANTIGUA) [PZ]</t>
  </si>
  <si>
    <t>MANILLA FRENO XTZ-125 ''VINI'' [IM]</t>
  </si>
  <si>
    <t>MANILLA FRENO XTZ-150 ''VINI'' [IM]</t>
  </si>
  <si>
    <t>MANILLA FRENO XV-400 VIRAGO [PZ]</t>
  </si>
  <si>
    <t>MANILLA FRENO YBR-125 ''VINI'' [IM]</t>
  </si>
  <si>
    <t>MANILLA FRENO YBR-125 ANTIGUA [PZ]</t>
  </si>
  <si>
    <t>MANILLA FRENO YZF-R15 [PZ]</t>
  </si>
  <si>
    <t>MANILLA FRENO YZF-R15/YBRZ-125 [PZ]</t>
  </si>
  <si>
    <t>MANILLAR EMBRAGUE CB1-125/TWISTER-125 [PZ]</t>
  </si>
  <si>
    <t>MANILLARES</t>
  </si>
  <si>
    <t>MANILLAR EMBRAGUE CGL-125 ''VINI'' [IM]</t>
  </si>
  <si>
    <t>MANILLAR EMBRAGUE CGL-125 [PZ]</t>
  </si>
  <si>
    <t>MANILLAR EMBRAGUE GIXXER-150 [PZ]</t>
  </si>
  <si>
    <t>MANILLAR EMBRAGUE GXT-200/WY-200 [PZ]</t>
  </si>
  <si>
    <t>MANILLAR EMBRAGUE KA-150 [PZ]</t>
  </si>
  <si>
    <t>MANILLAR EMBRAGUE KD-150J/VINTAGE CAFÉ [PZ]</t>
  </si>
  <si>
    <t>MANILLAR EMBRAGUE REX-150 [PZ]</t>
  </si>
  <si>
    <t>MANILLAR EMBRAGUE UNIVERSAL [PZ]</t>
  </si>
  <si>
    <t>MANILLAR FRENO CB1-125/TWISTER-125 [PZ]</t>
  </si>
  <si>
    <t>MANILLAR FRENO CGL-125 [PZ]</t>
  </si>
  <si>
    <t>MANILLAR FRENO PITBIKE/ATV [PZ]</t>
  </si>
  <si>
    <t>MANILLAS JGO. PITBIKE [PZ]</t>
  </si>
  <si>
    <t>MANILLAS JGO. XR-150L [PZ]</t>
  </si>
  <si>
    <t>MANILLAS REGULABLES. ABATIBLES. JGO. NEW-INVICTA [PZ]</t>
  </si>
  <si>
    <t>MANILLAS REGULABLES. JGO. CBR-300/CB-300 [PZ]</t>
  </si>
  <si>
    <t>MANILLAS REGULABLES. JGO. DUKE-200 [PZ]</t>
  </si>
  <si>
    <t>MANILLAS REGULABLES. JGO. FZ-16 [PZ]</t>
  </si>
  <si>
    <t>MANILLAS REGULABLES. JGO. KTM DUKE-200 (NEGRO) [OF]</t>
  </si>
  <si>
    <t>MANILLAS REGULABLES. JGO. MT-03/YZF-R3 [PZ]</t>
  </si>
  <si>
    <t>MANILLAS REGULABLES. JGO. PULSAR-180 (NEGRO) [PZ]</t>
  </si>
  <si>
    <t>MANILLAS REGULABLES. JGO. PULSAR-200NS (NEGRO) [PZ]</t>
  </si>
  <si>
    <t>MANILLAS REGULABLES. JGO. YZF-R15 (ROJO) [PZ]</t>
  </si>
  <si>
    <t>MANILLAS RETRACTIL. JGO. GT-250R (AZUL) [PZ]</t>
  </si>
  <si>
    <t>MANILLAS RETRACTIL. JGO. GT-250R (ROJO) [PZ]</t>
  </si>
  <si>
    <t>MANILLAS RETRACTIL. JGO. GT-650R (AZUL) [PZ]</t>
  </si>
  <si>
    <t>MANILLAS RETRACTIL. JGO. GT-650R (ROJO) [PZ]</t>
  </si>
  <si>
    <t>MANILLAS RETRACTIL. JGO. KTM DUKE-390 (AZUL) [PZ]</t>
  </si>
  <si>
    <t>MANILLAS RETRACTIL. JGO. KX-250 (05-08)/YZ-250F [PZ]</t>
  </si>
  <si>
    <t>MANILLAS RETRACTIL. JGO. PULSAR-200 AS (AZUL) [PZ]</t>
  </si>
  <si>
    <t>MANILLAS RETRACTIL. JGO. PULSAR-200 AS (ROJO) [PZ]</t>
  </si>
  <si>
    <t>MANILLAS RETRACTIL. JGO. PULSAR-200 RS (ROJO) [PZ]</t>
  </si>
  <si>
    <t>MANILLAS RETRACTIL. JGO. YBR-125 (DORADA) [PZ]</t>
  </si>
  <si>
    <t>MANILLAS RETRACTIL. JGO. YBR-125 (NEGRO) [PZ]</t>
  </si>
  <si>
    <t>MANILLAS RETRACTIL. JGO. YBR-125 (VERDE) [PZ]</t>
  </si>
  <si>
    <t>MANUBRIO ALUMINIO ENDURO [PZ]</t>
  </si>
  <si>
    <t>MANUBRIOS</t>
  </si>
  <si>
    <t>NARANJA</t>
  </si>
  <si>
    <t>MANUBRIO ALUMINIO UNIVERSAL [PZ]</t>
  </si>
  <si>
    <t>MANUBRIO BICIMOTO 49CC [PZ]</t>
  </si>
  <si>
    <t>MANUBRIO CAFE RACER [PZ]</t>
  </si>
  <si>
    <t>MANUBRIO CALLE UNIVERSAL (GRIS) [PZ]</t>
  </si>
  <si>
    <t>MANUBRIO CB1-125/CB125F TWISTER/CG-125/WY-125 (NEGRO) [PZ]</t>
  </si>
  <si>
    <t>MANUBRIO CBF-150 [PZ]</t>
  </si>
  <si>
    <t>MANUBRIO CG-125 (NEGRO) [PZ]</t>
  </si>
  <si>
    <t>MANUBRIO CHOPPER (CROMADO) [PZ]</t>
  </si>
  <si>
    <t>MANUBRIO CM-185T (TIPO CHOPPER) [PZ]</t>
  </si>
  <si>
    <t>MANUBRIO DERECHO YZF-R15 [PZ]</t>
  </si>
  <si>
    <t>MANUBRIO ENDURO GY-125/150/200 (NEGRO) [PZ]</t>
  </si>
  <si>
    <t>MANUBRIO ENDURO UNIVERSAL [PZ]</t>
  </si>
  <si>
    <t>MANUBRIO EXPRESS-100 [PZ]</t>
  </si>
  <si>
    <t>MANUBRIO FZ-16/FZN-150 (2.0) [PZ]</t>
  </si>
  <si>
    <t>MANUBRIO FZ-25 [PZ]</t>
  </si>
  <si>
    <t>MANUBRIO GIXXER-150 [PZ]</t>
  </si>
  <si>
    <t>MANUBRIO GN-125H (NEGRO) [PZ]</t>
  </si>
  <si>
    <t>MANUBRIO GN-125H [PZ]</t>
  </si>
  <si>
    <t>MANUBRIO GS-125 [PZ]</t>
  </si>
  <si>
    <t>MANUBRIO KA-150 [PZ]</t>
  </si>
  <si>
    <t>MANUBRIO MOTOMEL NEW SKUA [PZ]</t>
  </si>
  <si>
    <t>MANUBRIO NK-150 [PZ]</t>
  </si>
  <si>
    <t>MANUBRIO RENEGADE CHOPPER [PZ]</t>
  </si>
  <si>
    <t>MANUBRIO SCOOTER MOTOMEL SURFER [PZ]</t>
  </si>
  <si>
    <t>MANUBRIO SEMIRECTO 22MM. [PZ]</t>
  </si>
  <si>
    <t>MANUBRIO TIPO PRO-TAPER CALLE [PZ]</t>
  </si>
  <si>
    <t>MANUBRIO UNIVERSAL 28MM [PZ]</t>
  </si>
  <si>
    <t>MANUBRIO UNIVERSAL [PZ]</t>
  </si>
  <si>
    <t>MANUBRIO XL-200R [PZ]</t>
  </si>
  <si>
    <t>MANUBRIO XR-250/GXT-200/TTX-150 [PZ]</t>
  </si>
  <si>
    <t>MANUBRIO XTZ-125 [PZ]</t>
  </si>
  <si>
    <t>MANUBRIO YBR-125 [PZ]</t>
  </si>
  <si>
    <t>MANURIO TIPO RENEGADE (NEGRO) [PZ]</t>
  </si>
  <si>
    <t>MAQUINA CORTA CADENA ''CHOHO'' [PZ]</t>
  </si>
  <si>
    <t>MAQUINA CORTA CADENA DISTRIBUCION [PZ]</t>
  </si>
  <si>
    <t>MAQUINA CORTA CADENA TRANSMISION [PZ]</t>
  </si>
  <si>
    <t>MAQUINA LUBRICANTE DE CABLES UNIVERSAL [PZ]</t>
  </si>
  <si>
    <t>MAQUINA PARA CORTAR Y REMACHAR CADENA [PZ]</t>
  </si>
  <si>
    <t>MASCARA ANTI-SMOG (POLVO/FRIO) NEGRO [PZ]</t>
  </si>
  <si>
    <t>MASCARA FOCO DELANTERO CB-125F TWISTER [PZ]</t>
  </si>
  <si>
    <t>MASCARA FOCO DELANTERO CBX-250 [PZ]</t>
  </si>
  <si>
    <t>MASCARA FOCO DELANTERO FASTWIND-250/JL250-A [PZ]</t>
  </si>
  <si>
    <t>MASCARA FOCO DELANTERO NK-150 [PZ]</t>
  </si>
  <si>
    <t>MASCARA FOCO DELANTERO PULSAR-200NS [PZ]</t>
  </si>
  <si>
    <t>MASCARA FOCO DELANTERO XR-190 [PZ]</t>
  </si>
  <si>
    <t>MASCARA FOCO DELANTERO XRE-300 [PZ]</t>
  </si>
  <si>
    <t>MAZA TRASERA GXT-200/DR-200 [PZ]</t>
  </si>
  <si>
    <t>MAZA TRASERA XL-200 [OF]</t>
  </si>
  <si>
    <t>MEMBRANA CARBURADOR GN-125/EN-125 [PZ]</t>
  </si>
  <si>
    <t>MEMBRANA CARBURADOR SCOOTER 22 MM [PZ]</t>
  </si>
  <si>
    <t>MEMBRANA CARBURADOR SCOOTER 24 MM. [PZ]</t>
  </si>
  <si>
    <t>MEMBRANA CARBURADOR SCOOTER [PZ]</t>
  </si>
  <si>
    <t>MICA ANTIEMPAÑANTE ''PINLOCK'' [PZ]</t>
  </si>
  <si>
    <t>MICA FOCO SEÑALIZADOR ST-70 [PZ]</t>
  </si>
  <si>
    <t>MICA MASCARA DELANTERA STORM-125 [PZ]</t>
  </si>
  <si>
    <t>MICROFILTRO BENCINA UNIVERSAL (METALICO) [PZ]</t>
  </si>
  <si>
    <t>MICROFILTRO BENCINA UNIVERSAL [PZ]</t>
  </si>
  <si>
    <t>MOCHILA CAMELBACK (CELESTE) [PZ]</t>
  </si>
  <si>
    <t>MOCHILA PARA CASCO [OF]</t>
  </si>
  <si>
    <t>MOTOR PARTIDA ATV (2 PERNOS) [PZ]</t>
  </si>
  <si>
    <t>MOTORES DE PARTIDA</t>
  </si>
  <si>
    <t>MOTOR PARTIDA ATV (3 PERNOS) ''VINI'' [IM]</t>
  </si>
  <si>
    <t>MOTOR PARTIDA ATV/EXPRESS-100/BICIMOTO (3 PERNOS) [PZ]</t>
  </si>
  <si>
    <t>MOTOR PARTIDA BICIMOTO 49CC (ST-50) [PZ]</t>
  </si>
  <si>
    <t>MOTOR PARTIDA CB-190R/XR-190L ''VINI'' [IM]</t>
  </si>
  <si>
    <t>MOTOR PARTIDA CB1-125 [PZ]</t>
  </si>
  <si>
    <t>MOTOR PARTIDA CBF-150 INVICTA ''VINI'' [IM]</t>
  </si>
  <si>
    <t>MOTOR PARTIDA CBF-150 INVICTA [PZ]</t>
  </si>
  <si>
    <t>MOTOR PARTIDA CBT-250 [PZ]</t>
  </si>
  <si>
    <t>MOTOR PARTIDA CG-100 PASSION ''VINI'' [IM]</t>
  </si>
  <si>
    <t>MOTOR PARTIDA CG-100 PASSION-PRO [PZ]</t>
  </si>
  <si>
    <t>MOTOR PARTIDA CG-125/HJ125-7 [PZ]</t>
  </si>
  <si>
    <t>MOTOR PARTIDA DR-200 ''VINI'' [IM]</t>
  </si>
  <si>
    <t>MOTOR PARTIDA DR-200 [PZ]</t>
  </si>
  <si>
    <t>MOTOR PARTIDA FZ-16 (2014)/FZN-150 [PZ]</t>
  </si>
  <si>
    <t>MOTOR PARTIDA FZ-16 (HASTA 2013) ''VINI'' [IM]</t>
  </si>
  <si>
    <t>MOTOR PARTIDA FZ-16/2.0/YZF-R15 V1 ''VINI'' [IM]</t>
  </si>
  <si>
    <t>MOTOR PARTIDA GIXXER-150 [PZ]</t>
  </si>
  <si>
    <t>MOTOR PARTIDA PULSAR 200NS/200RS HIBARI [PZ]</t>
  </si>
  <si>
    <t>MOTOR PARTIDA PULSAR-135 [PZ]</t>
  </si>
  <si>
    <t>MOTOR PARTIDA PULSAR-150NS ''VINI'' [IM]</t>
  </si>
  <si>
    <t>MOTOR PARTIDA PULSAR-180 [PZ]</t>
  </si>
  <si>
    <t>MOTOR PARTIDA PULSAR-200/220 [PZ]</t>
  </si>
  <si>
    <t>MOTOR PARTIDA PULSAR-200NS ''VINI'' [IM]</t>
  </si>
  <si>
    <t>MOTOR PARTIDA RENEGADE-200 ''VINI'' [IM]</t>
  </si>
  <si>
    <t>MOTOR PARTIDA SCOOTER 125/150 (GY6) [PZ]</t>
  </si>
  <si>
    <t>MOTOR PARTIDA STORM-125/CGL-125 [PZ]</t>
  </si>
  <si>
    <t>MOTOR PARTIDA T-105 CRYPTON [PZ]</t>
  </si>
  <si>
    <t>MOTOR PARTIDA XL/XR-200/NXR-150 [PZ]</t>
  </si>
  <si>
    <t>MOTOR PARTIDA XR-250 TORNADO/CBX-250 ''VINI'' [PZ]</t>
  </si>
  <si>
    <t>MOTOR PARTIDA YBR-125 [PZ]</t>
  </si>
  <si>
    <t>MOTOR PARTIDA YBR-125/XTZ-125 [PZ]</t>
  </si>
  <si>
    <t>MOTORBIKE DETAILER ''LIQUI MOLY'' 500ML [OF]</t>
  </si>
  <si>
    <t>NEUMATICO ATV (06) ''DURO'' HF-240B 2PR [PZ]</t>
  </si>
  <si>
    <t>NEUMÁTICOS</t>
  </si>
  <si>
    <t>NEUMATICO ATV (06) (P-333-03) ''APEX'' [PZ]</t>
  </si>
  <si>
    <t>NEUMATICO ATV (06) (P-336-01) ''APEX'' [PZ]</t>
  </si>
  <si>
    <t>NEUMATICO ATV (06) [PZ]</t>
  </si>
  <si>
    <t>NEUMATICO ATV (07) ''JUNKAI'' 200-55-7 4PR [PZ]</t>
  </si>
  <si>
    <t>NEUMATICO ATV (07) (P-361-04) ''APEX'' [PZ]</t>
  </si>
  <si>
    <t>NEUMATICO ATV (08) ''DURO'' HF-240 KNOBBY 2PR [PZ]</t>
  </si>
  <si>
    <t>NEUMATICO ATV (08) ''DURO'' HF-246 KNOBBY 2PR [PZ]</t>
  </si>
  <si>
    <t>NEUMATICO ATV (08) (P-361-02) ''APEX'' [PZ]</t>
  </si>
  <si>
    <t>NEUMATICO ATV (08) (P-361-04) ''APEX'' [PZ]</t>
  </si>
  <si>
    <t>NEUMATICO ATV (10) ''SUPER RUN'' [PZ]</t>
  </si>
  <si>
    <t>NEUMATICO ATV (10) ''WANDA'' P306A [PZ]</t>
  </si>
  <si>
    <t>NEUMATICO ATV (10) ''WANDA'' P311 [PZ]</t>
  </si>
  <si>
    <t>NEUMATICO ATV (10) ''WANDA'' P321 [PZ]</t>
  </si>
  <si>
    <t>NEUMATICO ATV (10) ''WANDA'' P348 [PZ]</t>
  </si>
  <si>
    <t>NEUMATICO ATV (10) ''WANDA'' P356 [PZ]</t>
  </si>
  <si>
    <t>NEUMATICO ATV (10) ''WANDA'' P357 [PZ]</t>
  </si>
  <si>
    <t>NEUMATICO ATV (10) (P-361-01) ''APEX'' [PZ]</t>
  </si>
  <si>
    <t>NEUMATICO ATV (10) (P-361-10) ''APEX'' [PZ]</t>
  </si>
  <si>
    <t>NEUMATICO ATV (11) ''WANDA'' P306 [PZ]</t>
  </si>
  <si>
    <t>NEUMATICO ATV (11) ''WANDA'' P375 [PZ]</t>
  </si>
  <si>
    <t>NEUMATICO ATV (11) (P-341-01) ''APEX'' [PZ]</t>
  </si>
  <si>
    <t>NEUMATICO ATV (12) ''WANDA'' P306 [PZ]</t>
  </si>
  <si>
    <t>NEUMATICO ATV (12) (P-341-01) ''APEX'' [PZ]</t>
  </si>
  <si>
    <t>NEUMATICO ATV (6) ''WANDA'' P319 [PZ]</t>
  </si>
  <si>
    <t>NEUMATICO ATV (7) ''WANDA'' P319 [PZ]</t>
  </si>
  <si>
    <t>NEUMATICO ATV (8) ''WANDA'' P311 [PZ]</t>
  </si>
  <si>
    <t>NEUMATICO ATV (8) ''WANDA'' P316 [PZ]</t>
  </si>
  <si>
    <t>NEUMATICO ATV (8) ''WANDA'' P322 [PZ]</t>
  </si>
  <si>
    <t>NEUMATICO ATV (9) ''WANDA'' P347 [PZ]</t>
  </si>
  <si>
    <t>NEUMATICO ATV (9) ''WANDA'' P357 [PZ]</t>
  </si>
  <si>
    <t>NEUMATICO CALLE (10) ''CST'' C924 [PZ]</t>
  </si>
  <si>
    <t>NEUMATICO CALLE (10) ''DURO'' HF-291A [PZ]</t>
  </si>
  <si>
    <t>NEUMATICO CALLE (10) ''DURO'' HF-297 [PZ]</t>
  </si>
  <si>
    <t>NEUMATICO CALLE (10) ''DURO'' HF-913TL [PZ]</t>
  </si>
  <si>
    <t>NEUMATICO CALLE (10) ''JIN DUN'' [PZ]</t>
  </si>
  <si>
    <t>NEUMATICO CALLE (10) ''SUPER RUN'' HKW-801 [PZ]</t>
  </si>
  <si>
    <t>NEUMATICO CALLE (10) ''SUPER RUN'' HKW-8043B [PZ]</t>
  </si>
  <si>
    <t>NEUMATICO CALLE (10) ''SUPER RUN'' HKW-8065 [PZ]</t>
  </si>
  <si>
    <t>NEUMATICO CALLE (12) ''CEAT'' ZOOM [PZ]</t>
  </si>
  <si>
    <t>NEUMATICO CALLE (12) ''DURO'' HF-908F [PZ]</t>
  </si>
  <si>
    <t>NEUMATICO CALLE (12) ''GUANGBO'' SL-626 [PZ]</t>
  </si>
  <si>
    <t>NEUMATICO CALLE (12) ''MOZUKI'' 243KG/300KPA [PZ]</t>
  </si>
  <si>
    <t>NEUMATICO CALLE (12) ''SUPER RUN'' HKW-1031 [PZ]</t>
  </si>
  <si>
    <t>NEUMATICO CALLE (12) ''SUPER RUN'' HKW1017 [PZ]</t>
  </si>
  <si>
    <t>NEUMATICO CALLE (13) ''SUPER RUN'' HKW-8017 [PZ]</t>
  </si>
  <si>
    <t>NEUMATICO CALLE (13) ''WANDA'' P297 SCOOTER [PZ]</t>
  </si>
  <si>
    <t>NEUMATICO CALLE (14) ''CHINO'' BICIMOTO 49CC (ST-50) [PZ]</t>
  </si>
  <si>
    <t>NEUMATICO CALLE (15) ''DURO'' HF-918 [PZ]</t>
  </si>
  <si>
    <t>NEUMATICO CALLE (15) ''SUPER RUN'' HKW-010 [PZ]</t>
  </si>
  <si>
    <t>NEUMATICO CALLE (15) ''WANDA'' P265 [PZ]</t>
  </si>
  <si>
    <t>NEUMATICO CALLE (16) ''CEAT'' GRIPP CRUZ [PZ]</t>
  </si>
  <si>
    <t>NEUMATICO CALLE (16) ''CEAT'' GRIPP X3 [PZ]</t>
  </si>
  <si>
    <t>NEUMATICO CALLE (16) ''SHINKO'' SR-777 [PZ]</t>
  </si>
  <si>
    <t>NEUMATICO CALLE (16) ''SHINKO'' SR-777WW BANDA BLANC [PZ]</t>
  </si>
  <si>
    <t>NEUMATICO CALLE (16) ''SUPER RUN'' HKW-1054 [PZ]</t>
  </si>
  <si>
    <t>NEUMATICO CALLE (16) ''WANDA'' P265 [PZ]</t>
  </si>
  <si>
    <t>NEUMATICO CALLE (17) ''CEAT'' ZOOM PLUS [PZ]</t>
  </si>
  <si>
    <t>NEUMATICO CALLE (17) ''CEAT'' ZOOM RAD X1 [PZ]</t>
  </si>
  <si>
    <t>NEUMATICO CALLE (17) ''CEAT'' ZOOM RAD [PZ]</t>
  </si>
  <si>
    <t>NEUMATICO CALLE (17) ''CEAT'' ZOOM XL [PZ]</t>
  </si>
  <si>
    <t>NEUMATICO CALLE (17) ''CEAT'' ZOOM [PZ]</t>
  </si>
  <si>
    <t>NEUMATICO CALLE (17) ''CHAOYANG'' H-626 [PZ]</t>
  </si>
  <si>
    <t>NEUMATICO CALLE (17) ''DURO'' HF-319 [PZ]</t>
  </si>
  <si>
    <t>NEUMATICO CALLE (17) ''DURO'' HF-918 [OF]</t>
  </si>
  <si>
    <t>NEUMATICO CALLE (17) ''DURO'' HF-918 [PZ]</t>
  </si>
  <si>
    <t>NEUMATICO CALLE (17) ''IRC'' S99 [PZ]</t>
  </si>
  <si>
    <t>NEUMATICO CALLE (17) ''KINGTYRE'' K-905 [PZ]</t>
  </si>
  <si>
    <t>NEUMATICO CALLE (17) ''KINGTYRE'' K-97 [PZ]</t>
  </si>
  <si>
    <t>NEUMATICO CALLE (17) ''MOZUKI'' 200KG/32PSI [PZ]</t>
  </si>
  <si>
    <t>RM458</t>
  </si>
  <si>
    <t>NEUMATICO CALLE (17) ''MOZUKI'' 300KG/225 KPA [PZ]</t>
  </si>
  <si>
    <t>UR030</t>
  </si>
  <si>
    <t>NEUMATICO CALLE (17) ''MOZUKI'' 300KG/225KPA [PZ]</t>
  </si>
  <si>
    <t>NEUMATICO CALLE (17) ''MOZUKI'' 300KG/280 KPA [PZ]</t>
  </si>
  <si>
    <t>NEUMATICO CALLE (17) ''PNEUS-TECHNIC'' DUALSPORT [PZ]</t>
  </si>
  <si>
    <t>NEUMATICO CALLE (17) ''PNEUS-TECHNIC'' SPORT [PZ]</t>
  </si>
  <si>
    <t>NEUMATICO CALLE (17) ''PNEUS-TECHNIC'' STROKER CITY [PZ]</t>
  </si>
  <si>
    <t>NEUMATICO CALLE (17) ''PNEUS-TECHNIC'' STROKER [PZ]</t>
  </si>
  <si>
    <t>NEUMATICO CALLE (17) ''PNEUS-TECHNIC'' [PZ]</t>
  </si>
  <si>
    <t>NEUMATICO CALLE (17) ''SHINKO'' F-016 DOB. COMPUESTO [PZ]</t>
  </si>
  <si>
    <t>NEUMATICO CALLE (17) ''SHINKO'' R-016 DOB. COMPUESTO [PZ]</t>
  </si>
  <si>
    <t>NEUMATICO CALLE (17) ''SHINKO'' SR-777WW BANDA B [PZ]</t>
  </si>
  <si>
    <t>NEUMATICO CALLE (17) ''SUPER RUN'' HKW-1031 [PZ]</t>
  </si>
  <si>
    <t>NEUMATICO CALLE (17) ''SUPER RUN'' HKW-1054 [PZ]</t>
  </si>
  <si>
    <t>NEUMATICO CALLE (17) ''SUPER RUN'' HKW-1059 [PZ]</t>
  </si>
  <si>
    <t>NEUMATICO CALLE (17) ''SUPER RUN'' HKW-400 [PZ]</t>
  </si>
  <si>
    <t>NEUMATICO CALLE (17) ''SUPER RUN'' HKW-407 [PZ]</t>
  </si>
  <si>
    <t>NEUMATICO CALLE (17) ''SUPER RUN'' HKW-4080 [PZ]</t>
  </si>
  <si>
    <t>NEUMATICO CALLE (17) ''SUPER RUN'' HKW024B [PZ]</t>
  </si>
  <si>
    <t>NEUMATICO CALLE (17) ''WANDA'' P225 [PZ]</t>
  </si>
  <si>
    <t>NEUMATICO CALLE (17) ''WANDA'' P298 [PZ]</t>
  </si>
  <si>
    <t>NEUMATICO CALLE (17) ''WANDA'' P6050 [PZ]</t>
  </si>
  <si>
    <t>NEUMATICO CALLE (17) ''WANDA'' SR30F [PZ]</t>
  </si>
  <si>
    <t>NEUMATICO CALLE (18) ''CEAT'' MILAZE [PZ]</t>
  </si>
  <si>
    <t>NEUMATICO CALLE (18) ''CEAT'' SECURA ZOOM TT [OF]</t>
  </si>
  <si>
    <t>NEUMATICO CALLE (18) ''CEAT'' SEGURA ZOOM [PZ]</t>
  </si>
  <si>
    <t>NEUMATICO CALLE (18) ''CEAT'' ZOOM PLUS [PZ]</t>
  </si>
  <si>
    <t>NEUMATICO CALLE (18) ''CHAOYANG'' H-626 [PZ]</t>
  </si>
  <si>
    <t>NEUMATICO CALLE (18) ''CST'' C6011 [PZ]</t>
  </si>
  <si>
    <t>NEUMATICO CALLE (18) ''DURO'' HF-261B [PZ]</t>
  </si>
  <si>
    <t>NEUMATICO CALLE (18) ''DURO'' HF-319 [PZ]</t>
  </si>
  <si>
    <t>NEUMATICO CALLE (18) ''DURO'' HF-329 [PZ]</t>
  </si>
  <si>
    <t>NEUMATICO CALLE (18) ''MOZUKI'' 230KG/280 KPA [PZ]</t>
  </si>
  <si>
    <t>UR2305</t>
  </si>
  <si>
    <t>NEUMATICO CALLE (18) ''MOZUKI'' 230KG/280KPA [PZ]</t>
  </si>
  <si>
    <t>NEUMATICO CALLE (18) ''PNEUS-TECHNIC'' CITY TURBO [PZ]</t>
  </si>
  <si>
    <t>NEUMATICO CALLE (18) ''PNEUS-TECHNIC'' SPEED [PZ]</t>
  </si>
  <si>
    <t>NEUMATICO CALLE (18) ''PNEUS-TECHNIC'' SPORT [PZ]</t>
  </si>
  <si>
    <t>NEUMATICO CALLE (18) ''SUPER RUN'' HKW-1003 [PZ]</t>
  </si>
  <si>
    <t>NEUMATICO CALLE (18) ''SUPER RUN'' HKW-1054 [PZ]</t>
  </si>
  <si>
    <t>NEUMATICO CALLE (18) ''SUPER RUN'' HKW-401B [PZ]</t>
  </si>
  <si>
    <t>NEUMATICO CALLE (18) ''SUPER RUN'' KTO-1013S [PZ]</t>
  </si>
  <si>
    <t>NEUMATICO CALLE (18) ''SUPER RUN'' KTO-9003 [PZ]</t>
  </si>
  <si>
    <t>NEUMATICO CALLE (18) ''WANDA'' P227 [PZ]</t>
  </si>
  <si>
    <t>NEUMATICO CALLE (18) ''WANDA'' P253 [PZ]</t>
  </si>
  <si>
    <t>NEUMATICO CALLE (18) ''WANDA'' P273 [PZ]</t>
  </si>
  <si>
    <t>NEUMATICO CALLE (18) ''WANDA'' P6011 [PZ]</t>
  </si>
  <si>
    <t>NEUMATICO CALLE (18) ''WANDA'' P6012 [PZ]</t>
  </si>
  <si>
    <t>NEUMATICO CALLE (19) ''CEAT'' ZOOM PLUS TT [PZ]</t>
  </si>
  <si>
    <t>NEUMATICO CALLE (19) ''CHAOYANG'' H-626 [PZ]</t>
  </si>
  <si>
    <t>NEUMATICO CROSS (14) ''IRC'' IX-05H [PZ]</t>
  </si>
  <si>
    <t>NEUMATICO CROSS (14) R CM703 [PZ]</t>
  </si>
  <si>
    <t>NEUMATICO CROSS (16) ''IRC'' IX-05H [PZ]</t>
  </si>
  <si>
    <t>NEUMATICO CROSS (16) C755 4PR [PZ]</t>
  </si>
  <si>
    <t>NEUMATICO CROSS (17) ''IRC'' IX-05H [PZ]</t>
  </si>
  <si>
    <t>NEUMATICO CROSS (17) ''IRC'' VE33 [PZ]</t>
  </si>
  <si>
    <t>NEUMATICO CROSS (18) ''DURO'' HF-333 [PZ]</t>
  </si>
  <si>
    <t>NEUMATICO CROSS (18) ''IRC'' VE33 [PZ]</t>
  </si>
  <si>
    <t>NEUMATICO CROSS (18) ''PNEUS-TECHNIC'' CROSS [PZ]</t>
  </si>
  <si>
    <t>NEUMATICO CROSS (18) ''WANDA'' P2001 AGX-63 [PZ]</t>
  </si>
  <si>
    <t>NEUMATICO CROSS (18) ''WANDA'' P2002 MTX-78 [PZ]</t>
  </si>
  <si>
    <t>NEUMATICO CROSS (18) ''WANDA'' P2006 [PZ]</t>
  </si>
  <si>
    <t>NEUMATICO CROSS (19) ''IRC'' IX-05H [PZ]</t>
  </si>
  <si>
    <t>NEUMATICO CROSS (19) ''IRC'' M62 [PZ]</t>
  </si>
  <si>
    <t>NEUMATICO CROSS (19) ''IRC'' VE33 [PZ]</t>
  </si>
  <si>
    <t>NEUMATICO CROSS (19) ''PNEUS-TECHNIC'' CROSS [PZ]</t>
  </si>
  <si>
    <t>NEUMATICO CROSS (19) ''SHINKO'' SR-546 [PZ]</t>
  </si>
  <si>
    <t>NEUMATICO CROSS (19) ''SUPER RUN'' KTO-1407S [OF]</t>
  </si>
  <si>
    <t>NEUMATICO CROSS (19) ''WANDA'' P2002 MTX-78 [PZ]</t>
  </si>
  <si>
    <t>NEUMATICO CROSS (19) ''WANDA'' P2006 MTX-80 [PZ]</t>
  </si>
  <si>
    <t>NEUMATICO CROSS (19) ''WANDA'' P2006 [PZ]</t>
  </si>
  <si>
    <t>NEUMATICO CROSS (21) ''IRC'' VE35 [PZ]</t>
  </si>
  <si>
    <t>NEUMATICO CROSS (21) ''PNEUS-TECHNIC'' CROSS [PZ]</t>
  </si>
  <si>
    <t>NEUMATICO CROSS (21) ''WANDA'' P2007 MTX-77 [PZ]</t>
  </si>
  <si>
    <t>NEUMATICO CROSS (21) ''WANDA'' P262 MTX-73 [PZ]</t>
  </si>
  <si>
    <t>NEUMATICO DELANTERO (18) ''DURO'' HF-301E 4PR</t>
  </si>
  <si>
    <t>NEUMATICO DUAL (17) ''DURO'' HF-903 [PZ]</t>
  </si>
  <si>
    <t>NEUMATICO DUAL SPORT (10) ''SUPER RUN'' HKW-8043B-02 [PZ]</t>
  </si>
  <si>
    <t>NEUMATICO DUAL SPORT (17) ''KINGTYRE'' K-66 [PZ]</t>
  </si>
  <si>
    <t>NEUMATICO DUAL SPORT (17) ''PNEUS-TECHNIC'' STROKER TRIAL [PZ]</t>
  </si>
  <si>
    <t>NEUMATICO DUAL SPORT (17) ''SUPER RUN'' HKW1054 [PZ]</t>
  </si>
  <si>
    <t>NEUMATICO DUAL SPORT (18) ''KINGTYRE'' K-66 [PZ]</t>
  </si>
  <si>
    <t>NEUMATICO DUAL SPORT (18) ''PNEUS-TECHNIC'' ENDURANCE DUAL [PZ]</t>
  </si>
  <si>
    <t>NEUMATICO DUAL SPORT (18) ''SHINKO'' E-705 [PZ]</t>
  </si>
  <si>
    <t>NEUMATICO DUAL SPORT (18) ''SHINKO'' E-805 [PZ]</t>
  </si>
  <si>
    <t>NEUMATICO DUAL SPORT (18) ''SUPER RUN'' HKW-046 [PZ]</t>
  </si>
  <si>
    <t>NEUMATICO DUAL SPORT (18) ''SUPER RUN'' HKW-1017 [PZ]</t>
  </si>
  <si>
    <t>NEUMATICO DUAL SPORT (18) ''SUPER RUN'' HKW-1054 [OF]</t>
  </si>
  <si>
    <t>NEUMATICO DUAL SPORT (18) ''SUPER RUN'' HKW-1054 [PZ]</t>
  </si>
  <si>
    <t>NEUMATICO DUAL SPORT (18) ''SUPER RUN'' HKW-1072 [PZ]</t>
  </si>
  <si>
    <t>NEUMATICO DUAL SPORT (18) ''SUPER RUN'' HKW-1072B [PZ]</t>
  </si>
  <si>
    <t>NEUMATICO DUAL SPORT (19) ''KINGTYRE'' K-66 [PZ]</t>
  </si>
  <si>
    <t>NEUMATICO DUAL SPORT (19) ''PNEUS-TECHNIC'' DUAL TC [PZ]</t>
  </si>
  <si>
    <t>NEUMATICO DUAL SPORT (19) ''PNEUS-TECHNIC'' STROKER TRIAL [PZ]</t>
  </si>
  <si>
    <t>NEUMATICO DUAL SPORT (19) ''SHINKO'' E-705 [PZ]</t>
  </si>
  <si>
    <t>NEUMATICO DUAL SPORT (19) ''SUPER RUN'' HKW-1054 [OF]</t>
  </si>
  <si>
    <t>NEUMATICO DUAL SPORT (19) ''SUPER RUN'' HKW-1059 [OF]</t>
  </si>
  <si>
    <t>NEUMATICO DUAL SPORT (21) ''CEAT'' GRIPP XL TT [OF]</t>
  </si>
  <si>
    <t>NEUMATICO DUAL SPORT (21) ''KINGTYRE'' K-66 [PZ]</t>
  </si>
  <si>
    <t>NEUMATICO DUAL SPORT (21) ''MOZUKI'' 236KG [PZ]</t>
  </si>
  <si>
    <t>NEUMATICO DUAL SPORT (21) ''PNEUS-TECHNIC'' ENDURANCE DUAL [PZ]</t>
  </si>
  <si>
    <t>NEUMATICO DUAL SPORT (21) ''PNEUS-TECHNIC'' STROKER TRIAL [PZ]</t>
  </si>
  <si>
    <t>NEUMATICO DUAL SPORT (21) ''PNEUS-TECHNIC'' T&amp;C [PZ]</t>
  </si>
  <si>
    <t>NEUMATICO DUAL SPORT (21) ''SUPER RUN'' HKW1246 [PZ]</t>
  </si>
  <si>
    <t>NEUMATICO TRIAL (17) ''PNEUS-TECHNIC'' TMX TRILHA [PZ]</t>
  </si>
  <si>
    <t>NEUMATICO TRIAL (17) ''SUPER RUN'' KTO-1207 [PZ]</t>
  </si>
  <si>
    <t>NEUMATICO TRIAL (18) ''PNEUS-TECHNIC'' TK BLOCK [PZ]</t>
  </si>
  <si>
    <t>NEUMATICO TRIAL (18) ''PNEUS-TECHNIC'' TMX TRILHA [PZ]</t>
  </si>
  <si>
    <t>NEUMATICO TRIAL (18) ''WANDA'' P2008 [PZ]</t>
  </si>
  <si>
    <t>NEUMATICO TRIAL (18) ''WANDA'' P217 [PZ]</t>
  </si>
  <si>
    <t>NEUMATICO TRIAL (19) ''PNEUS-TECHNIC'' TMX TRILHA [PZ]</t>
  </si>
  <si>
    <t>NEUMATICO TRIAL (21) ''PNEUS-TECHNIC'' TK BLOCK [PZ]</t>
  </si>
  <si>
    <t>NEUMATICO TRIAL (21) ''SUPER RUN'' HKW-46 [PZ]</t>
  </si>
  <si>
    <t>NK-150</t>
  </si>
  <si>
    <t>MOTOCICLETA: NUEVA&lt;br&gt;MARCA: HAOJUE&lt;br&gt;MODELO: NK-150&lt;br&gt;COMBUSTIBLE: 93 OCTANOS&lt;br&gt;COLOR: BLANCO&lt;br&gt;PESO BRUTO VEHICULAR: 156 KG&lt;br&gt;AÑO DE FABRICACIÓN: 2023&lt;br&gt;ESTADO: NUEVA SIN USO&lt;br&gt;Nº DE CHASIS: LC6JCK4P0N0020234&lt;br&gt;Nº DE MOTOR: 157FMJ3G2S08118</t>
  </si>
  <si>
    <t>MOTOCICLETA: NUEVA&lt;br&gt;MARCA: HAOJUE&lt;br&gt;MODELO: NK-150&lt;br&gt;COMBUSTIBLE: 93 OCTANOS&lt;br&gt;COLOR: NEGRO&lt;br&gt;PESO BRUTO VEHICULAR: 156 KG&lt;br&gt;AÑO DE FABRICACIÓN: 2023&lt;br&gt;ESTADO: NUEVA SIN USO&lt;br&gt;Nº DE CHASIS:  LC6JCK4P9N0020412&lt;br&gt;Nº DE MOTOR: 157FMJ3G2S08305</t>
  </si>
  <si>
    <t>MOTOCICLETA: NUEVA&lt;br&gt;MARCA: HAOJUE&lt;br&gt;MODELO: NK-150&lt;br&gt;COMBUSTIBLE: GASOLINA&lt;br&gt;COLOR: NEGRO&lt;br&gt;PESO BRUTO VEHICULAR: 156 KG&lt;br&gt;AÑO DE FABRICACIÓN: 2023&lt;br&gt;ESTADO: NUEVA SIN USO&lt;br&gt;Nº DE CHASIS: LC6JCK4P4N0020396&lt;br&gt;Nº DE MOTOR: 157FMJ3G2S08288</t>
  </si>
  <si>
    <t>O RING BOMBA COMBUSTIBLE YZF-R15 [PZ]</t>
  </si>
  <si>
    <t>O RING TAPON CARTER YZF-R15 [PZ]</t>
  </si>
  <si>
    <t>OBTURADOR CAMBIOS CG-125 [PZ]</t>
  </si>
  <si>
    <t>OBTURADOR CAMBIOS CR1 SPORT/LX150 [PZ]</t>
  </si>
  <si>
    <t>OJOS DE GATO. JGO. REDONDOS (AMARILLO) [PZ]</t>
  </si>
  <si>
    <t>OVEROL LIQUI MOLY</t>
  </si>
  <si>
    <t>OVEROL LUBRAX</t>
  </si>
  <si>
    <t>Gris</t>
  </si>
  <si>
    <t>OVEROL VINI ROJO/NEGRO</t>
  </si>
  <si>
    <t>PACK LUBRICANTE DE CADENA + LIMPIADOR DE CADENA + CEPILLO ''SENFINECO'' [OF]</t>
  </si>
  <si>
    <t>PACK NEUMÁTICOS CALLE (17) ''KINGTYRE'' 120/70ZR-17/K-905 &amp; 180/55ZR-17/K-905 [PZ]</t>
  </si>
  <si>
    <t>PALANCA CAMBIOS BICIMOTO 49CC (ST-50) [PZ]</t>
  </si>
  <si>
    <t>PALANCA EMBRAGUE RE-250 [PZ]</t>
  </si>
  <si>
    <t>PALANCA FRENO TRASERO BICIMOTO 49CC (ST-50) [PZ]</t>
  </si>
  <si>
    <t>PALANCA FRENO TRASERO C/LEVA GN-125H [PZ]</t>
  </si>
  <si>
    <t>PALANCAS DE FRENO</t>
  </si>
  <si>
    <t>PALANCA FRENO TRASERO DISCOVER 125ST/150ST/110 [PZ]</t>
  </si>
  <si>
    <t>PALANCA FRENO TRASERO UNIVERSAL [PZ]</t>
  </si>
  <si>
    <t>PALANCA FRENO TRASERO YBR-125 [PZ]</t>
  </si>
  <si>
    <t>PARCHES. JGO. (48) UNIDADES [PZ]</t>
  </si>
  <si>
    <t>PARRILLA PULSAR-125NS [PZ]</t>
  </si>
  <si>
    <t>PASADOR PEDALIN ''UNIVERSAL 42 LARGO POR 08 MM) [PZ]</t>
  </si>
  <si>
    <t>PASADOR PISTON 14X39.5 CB-190/XR-150 [PZ]</t>
  </si>
  <si>
    <t>PASTILLAS FRENO (112) ''AP'' [PZ]</t>
  </si>
  <si>
    <t>PASTILLAS DE FRENO</t>
  </si>
  <si>
    <t>PASTILLAS FRENO (124) ''ICHIBAN'' [PZ]</t>
  </si>
  <si>
    <t>PASTILLAS FRENO (136) ''ICHIBAN'' DR-200 DEL [PZ]</t>
  </si>
  <si>
    <t>PASTILLAS FRENO (136) DR-200 DEL [PZ]</t>
  </si>
  <si>
    <t>PASTILLAS FRENO (142) ''AP'' [PZ]</t>
  </si>
  <si>
    <t>PASTILLAS FRENO (144) ''VINI'' AN-125/VS-125 [IM]</t>
  </si>
  <si>
    <t>PASTILLAS FRENO (146) ''ICHIBAN'' (IGUAL 186) [PZ]</t>
  </si>
  <si>
    <t>PASTILLAS FRENO (150) ''ICHIBAN'' [PZ]</t>
  </si>
  <si>
    <t>PASTILLAS FRENO (151) EXPRESS-100/REX-150 ''VINI'' [IM]</t>
  </si>
  <si>
    <t>PASTILLAS FRENO (156) ''OSAKA'' GSXR-600/SV-650/GSXR-1300 TRA [PZ]</t>
  </si>
  <si>
    <t>PASTILLAS FRENO (158) ''CBF MOTORS'' [PZ]</t>
  </si>
  <si>
    <t>PASTILLAS FRENO (158) ''ICHIBAN'' [PZ]</t>
  </si>
  <si>
    <t>PASTILLAS FRENO (158) ELITE-125 ''VINI'' [IM]</t>
  </si>
  <si>
    <t>PASTILLAS FRENO (159) ''OSAKA'' XT-125 TRA [PZ]</t>
  </si>
  <si>
    <t>PASTILLAS FRENO (172) ''AP'' DEL. [PZ]</t>
  </si>
  <si>
    <t>PASTILLAS FRENO (175) ''OSAKA'' YBR-125 ANTIGUA DEL/XTZ-660 TENERE TRA. [PZ]</t>
  </si>
  <si>
    <t>PASTILLAS FRENO (175) YBR-125 ANTIGUA DEL/XTZ-660 TENERE TRA. [PZ]</t>
  </si>
  <si>
    <t>PASTILLAS FRENO (184) ''AP'' [PZ]</t>
  </si>
  <si>
    <t>PASTILLAS FRENO (185) ''ICHIBAN''  RK-150/GN-125/HJ-125-7 [PZ]</t>
  </si>
  <si>
    <t>PASTILLAS FRENO (185) RK-150/GN-125/HJ-125-7 ''VINI'' [IM]</t>
  </si>
  <si>
    <t>PASTILLAS FRENO (185) RK-150/GN-125/HJ-125-7 [PZ]</t>
  </si>
  <si>
    <t>PASTILLAS FRENO (193) ''AP'' DEL. [PZ]</t>
  </si>
  <si>
    <t>PASTILLAS FRENO (203) ''CHINA'' XR-250 (86/95) DEL. [PZ]</t>
  </si>
  <si>
    <t>PASTILLAS FRENO (203) ''OSAKA'' DEL. [PZ]</t>
  </si>
  <si>
    <t>PASTILLAS FRENO (204) ''CHINA'' XR-250R (86/04) TRAS [PZ]</t>
  </si>
  <si>
    <t>ORGÁNICA</t>
  </si>
  <si>
    <t>PASTILLAS FRENO (204) ''OSAKA'' TRAS. [PZ]</t>
  </si>
  <si>
    <t>PASTILLAS FRENO (204) XR-250 (86/04) TRA ''VINI'' [IM]</t>
  </si>
  <si>
    <t>PASTILLAS FRENO (204) XR-250R (TRA) [PZ]</t>
  </si>
  <si>
    <t>PASTILLAS FRENO (211) ''VINI'' XTZ-125/GXT-200 [IM]</t>
  </si>
  <si>
    <t>PASTILLAS FRENO (211) GXT-200/XTZ-125 ''CHINA'' [PZ]</t>
  </si>
  <si>
    <t>PASTILLAS FRENO (211) GXT-200/XTZ-125 [PZ]</t>
  </si>
  <si>
    <t>PASTILLAS FRENO (211) XTZ-125/GXT-200 ''ICHIBAN'' CERAMICA [PZ]</t>
  </si>
  <si>
    <t>PASTILLAS FRENO (211) XTZ-125/GXT-200 OSAKA [PZ]</t>
  </si>
  <si>
    <t>PASTILLAS FRENO (214) ''ICHIBAN'' [PZ]</t>
  </si>
  <si>
    <t>PASTILLAS FRENO (214) ''JAPAN'' [PZ]</t>
  </si>
  <si>
    <t>PASTILLAS FRENO (214) ZONGSHEN RX-1 (TRA)/RX-3 (TRA)/NC-750 (TRA) ''VINI'' [IM]</t>
  </si>
  <si>
    <t>PASTILLAS FRENO (219) ''ICHIBAN'' BWS-100 [PZ]</t>
  </si>
  <si>
    <t>PASTILLAS FRENO (222) ''AP'' [PZ]</t>
  </si>
  <si>
    <t>PASTILLAS FRENO (224) ''AP'' [PZ]</t>
  </si>
  <si>
    <t>PASTILLAS FRENO (226) ''AP'' [PZ]</t>
  </si>
  <si>
    <t>PASTILLAS FRENO (227) NK-150/GZ-150/VERSYS-300/ZONGSHEN RX-1/V-STROM-250 (DEL) ''VINI'' [IM]</t>
  </si>
  <si>
    <t>PASTILLAS FRENO (231) ''YONGLI'' SV-650/ZXR-400 [PZ]</t>
  </si>
  <si>
    <t>PASTILLAS FRENO (232) FZ-25/R-15 V3/XTZ-250/YBR-250 TRAS ''VINI'' [IM]</t>
  </si>
  <si>
    <t>PASTILLAS FRENO (232) TRAS FZ-25/R-15 V3/XTZ-250 LANDER/YBR-250 [PZ]</t>
  </si>
  <si>
    <t>PASTILLAS FRENO (234) ''AP'' [PZ]</t>
  </si>
  <si>
    <t>PASTILLAS FRENO (238) BENELLI TNT-150 (TRA)/CB125F TWISTER/CB-190/STORM(DEL) ''ICHIBAN'' CERÁMICA [P</t>
  </si>
  <si>
    <t>PASTILLAS FRENO (238) BENELLI TNT-150 (TRA)/CB125F TWISTER/CB-190/STORM/KPT-200 (DEL) ''VINI'' [IM]</t>
  </si>
  <si>
    <t>PASTILLAS FRENO (238) BENELLI TNT-150 TRA ''EBC'' [PZ]</t>
  </si>
  <si>
    <t>PASTILLAS FRENO (238) BENELLI TNT-150 TRA [PZ]</t>
  </si>
  <si>
    <t>PASTILLAS FRENO (239) ''VD'' [PZ]</t>
  </si>
  <si>
    <t>PASTILLAS FRENO (257) ''EBC'' [PZ]</t>
  </si>
  <si>
    <t>PASTILLAS FRENO (257) ''VINI'' [IM]</t>
  </si>
  <si>
    <t>PASTILLAS FRENO (257) DL-650/250 V-STROM (TRA) ''AP-RACING'' [PZ]</t>
  </si>
  <si>
    <t>PASTILLAS FRENO (267) ''ICHIBAN'' [PZ]</t>
  </si>
  <si>
    <t>PASTILLAS FRENO (271) FZ-16/FZN-150 (2.0)/PULSAR-135/PULSAR-200N ''PROTECH'' [PZ]</t>
  </si>
  <si>
    <t>PASTILLAS FRENO (271) FZ-16/FZN-150 (2.0)/PULSAR-135/PULSAR-200N [PZ]</t>
  </si>
  <si>
    <t>PASTILLAS FRENO (274) ''AP'' [OF]</t>
  </si>
  <si>
    <t>PASTILLAS FRENO (274) CBR-250 (DEL) [PZ]</t>
  </si>
  <si>
    <t>PASTILLAS FRENO (274) CBR-250 DEL ''VINI'' [IM]</t>
  </si>
  <si>
    <t>PASTILLAS FRENO (275) ''AP'' [PZ]</t>
  </si>
  <si>
    <t>PASTILLAS FRENO (275) PULSAR-200NS (TRA)/NK-150/250 CF MOTO ''PROTECH'' [PZ]</t>
  </si>
  <si>
    <t>PASTILLAS FRENO (275) PULSAR-200NS (TRA)/NK-150/250 CF MOTO ''VINI'' [IM]</t>
  </si>
  <si>
    <t>PASTILLAS FRENO (285) DR-160 [PZ]</t>
  </si>
  <si>
    <t>PASTILLAS FRENO (286) ''EBC'' [PZ]</t>
  </si>
  <si>
    <t>PASTILLAS FRENO (287) ''AP'' [PZ]</t>
  </si>
  <si>
    <t>PASTILLAS FRENO (291) V-STAR 250 ''ICHIBAN'' [PZ]</t>
  </si>
  <si>
    <t>PASTILLAS FRENO (294)  XR-250R/XR-150L ''VINI'' [IM]</t>
  </si>
  <si>
    <t>PASTILLAS FRENO (294) ''OSAKA'' XR-250R/XR-150L/XR-190L [PZ]</t>
  </si>
  <si>
    <t>PASTILLAS FRENO (294) XR TODAS DELANTERA [PZ]</t>
  </si>
  <si>
    <t>PASTILLAS FRENO (294) XR TODAS DELANTERAS [PZ]</t>
  </si>
  <si>
    <t>PASTILLAS FRENO (300) ''AP'' [PZ]</t>
  </si>
  <si>
    <t>PASTILLAS FRENO (300) CB-500X ''VINI'' [IM]</t>
  </si>
  <si>
    <t>PASTILLAS FRENO (304) ''ICHIBAN'' XF-650 (DEL) [PZ]</t>
  </si>
  <si>
    <t>PASTILLAS FRENO (305) ''EBC'' [PZ]</t>
  </si>
  <si>
    <t>PASTILLAS FRENO (308) ''ICHIBAN'' [PZ]</t>
  </si>
  <si>
    <t>PASTILLAS FRENO (316) ''AP'' [PZ]</t>
  </si>
  <si>
    <t>PASTILLAS FRENO (325) ''H &amp; T'' [PZ]</t>
  </si>
  <si>
    <t>PASTILLAS FRENO (328) ''ICHIBAN'' YZF-600 [PZ]</t>
  </si>
  <si>
    <t>PASTILLAS FRENO (342) PULSAR-125/160/200NS/DOMINAR-250 ''VINI'' [IM]</t>
  </si>
  <si>
    <t>PASTILLAS FRENO (342) PULSAR-200N/135/FZ [PZ]</t>
  </si>
  <si>
    <t>PASTILLAS FRENO (343) ''EBC'' [PZ]</t>
  </si>
  <si>
    <t>PASTILLAS FRENO (347) TX-200 KEEWAY [PZ]</t>
  </si>
  <si>
    <t>PASTILLAS FRENO (347) TX-200/RKS-200 [PZ]</t>
  </si>
  <si>
    <t>PASTILLAS FRENO (347) TX-200/RKV-200 TRA KEEWAY ''VINI'' [IM]</t>
  </si>
  <si>
    <t>PASTILLAS FRENO (367) ''AP'' [PZ]</t>
  </si>
  <si>
    <t>PASTILLAS FRENO (369) ''AP'' [PZ]</t>
  </si>
  <si>
    <t>PASTILLAS FRENO (377) CRF-250/450 (TRA) ''AP'' [PZ]</t>
  </si>
  <si>
    <t>PASTILLAS FRENO (377) CRF-250/450 (TRA) [PZ]</t>
  </si>
  <si>
    <t>PASTILLAS FRENO (384) ''OSAKA''  YZF-R15  (TRAS) [PZ]</t>
  </si>
  <si>
    <t>PASTILLAS FRENO (384) ''VINI'' YZF-R15 (TRA) [IM]</t>
  </si>
  <si>
    <t>PASTILLAS FRENO (391) ''EVERESTT'' [PZ]</t>
  </si>
  <si>
    <t>PASTILLAS FRENO (391) ''OSAKA'' [PZ]</t>
  </si>
  <si>
    <t>PASTILLAS FRENO (396) ''AP'' [PZ]</t>
  </si>
  <si>
    <t>PASTILLAS FRENO (397) ''ICHIBAN'' NEW-INVICTA/X-BLADE 160/TEKKEN-250 (DEL) [PZ]</t>
  </si>
  <si>
    <t>PASTILLAS FRENO (397) ''OSAKA'' NEW-INVICTA/X-BLADE 160/TEKKEN-250 (DEL) [PZ]</t>
  </si>
  <si>
    <t>PASTILLAS FRENO (409) ''NHC'' [PZ]</t>
  </si>
  <si>
    <t>PASTILLAS FRENO (410) ''H&amp;IT'' [PZ]</t>
  </si>
  <si>
    <t>PASTILLAS FRENO (432) TNT-25/TNT-300 (TRA) ''VINI'' [IM]</t>
  </si>
  <si>
    <t>PASTILLAS FRENO (434) ''EBC'' [PZ]</t>
  </si>
  <si>
    <t>PASTILLAS FRENO (441) ''EBC'' [PZ]</t>
  </si>
  <si>
    <t>PASTILLAS FRENO (458) ''ICHIBAN'' YZF-R15/YBR-Z 125/KA-150 (DEL)/N-MAX-155 (TRA) [PZ]</t>
  </si>
  <si>
    <t>CERÁMICA</t>
  </si>
  <si>
    <t>SEMI-METÁLICA</t>
  </si>
  <si>
    <t>PASTILLAS FRENO (458) ''VINI'' YZF-R15/YBR-Z 125/KA-150 (DEL)/N-MAX-155 TRA [IM]</t>
  </si>
  <si>
    <t>PASTILLAS FRENO (458) YZF-R15/YBR-Z 125/KA-150 (DEL)/N-MAX-155 (TRA) [PZ]</t>
  </si>
  <si>
    <t>PASTILLAS FRENO (459) XTZ-150 ''PROTECH'' [PZ]</t>
  </si>
  <si>
    <t>PASTILLAS FRENO (462) ''AP'' [PZ]</t>
  </si>
  <si>
    <t>PASTILLAS FRENO (475) CYGNUS-125 [PZ]</t>
  </si>
  <si>
    <t>PASTILLAS FRENO (476) ''ICHIBAN'' YW-125 (DEL) [PZ]</t>
  </si>
  <si>
    <t>PASTILLAS FRENO (477) DUKE-200/DUKE-390 (DEL) ''EBC'' [PZ]</t>
  </si>
  <si>
    <t>PASTILLAS FRENO (477) DUKE-200/DUKE-390 (DEL) ''ICHIMAX'' [PZ]</t>
  </si>
  <si>
    <t>PASTILLAS FRENO (481) ''AP'' [PZ]</t>
  </si>
  <si>
    <t>PASTILLAS FRENO (481) CB-500R/CB-500X/CB-500F/CBR-250/XF-650/LIFAN KPT-200 (TRA) ''ICHIBAN''</t>
  </si>
  <si>
    <t>PASTILLAS FRENO (500) ''AP'' [OF]</t>
  </si>
  <si>
    <t>PASTILLAS FRENO (500) ''EBC'' [PZ]</t>
  </si>
  <si>
    <t>PASTILLAS FRENO (510) ''ICHIBAN'' GS-150 [PZ]</t>
  </si>
  <si>
    <t>PASTILLAS FRENO (510) ''OSAKA'' GS-150/ CAN-AM - 450/500/650/800/1000 [PZ]</t>
  </si>
  <si>
    <t>PASTILLAS FRENO (511) ''ICHIBAN'' CERAMICA [PZ]</t>
  </si>
  <si>
    <t>PASTILLAS FRENO (511) ''ICHIMAX'' GIXXER-150 (DEL) [PZ]</t>
  </si>
  <si>
    <t>PASTILLAS FRENO (515) ''VINI'' CBF-150/GIXXER/CB-190R/X-BLADE-160/TNT-125/135(TRA)/DR-160(TRA) [IM]</t>
  </si>
  <si>
    <t>PASTILLAS FRENO (515) INVICTA/GIXXER-150/CB-190R/X-BLADE-160 (TRA) [PZ]</t>
  </si>
  <si>
    <t>PASTILLAS FRENO (525) YAMAHA CYGNUS RAY-ZR (TRA)/VIVA R-115 (TRA) [PZ]</t>
  </si>
  <si>
    <t>PASTILLAS FRENO (533) ''H&amp;IT'' RKV-150/RKV-200 [PZ]</t>
  </si>
  <si>
    <t>PASTILLAS FRENO (533) RKS-150/RKV-200/ TNT-150 DEL ''VINI'' [IM]</t>
  </si>
  <si>
    <t>PASTILLAS FRENO (535) PULSAR-160NS FI (TRA) [PZ]</t>
  </si>
  <si>
    <t>PASTILLAS FRENO (543) ''PROTECH'' NMAX-150 [PZ]</t>
  </si>
  <si>
    <t>PASTILLAS FRENO SINTERIZADAS (156) ''ICHIMAX'' [PZ]</t>
  </si>
  <si>
    <t>PASTILLAS FRENO SINTERIZADAS (186) ''ICHIMAX'' [PZ]</t>
  </si>
  <si>
    <t>PASTILLAS FRENO SINTERIZADAS (211) KLR-650/DR-250 (DEL)/ZX-1000(TRA) ''ICHIMAX'' [PZ]</t>
  </si>
  <si>
    <t>PASTILLAS FRENO SINTERIZADAS (214) ''ICHIMAX''</t>
  </si>
  <si>
    <t>PASTILLAS FRENO SINTERIZADAS (231) ''ICHIMAX'' [PZ]</t>
  </si>
  <si>
    <t>PASTILLAS FRENO SINTERIZADAS (232) ''ICHIMAX'' [PZ]</t>
  </si>
  <si>
    <t>PASTILLAS FRENO SINTERIZADAS (234) XTZ-1200 (DEL) [PZ]</t>
  </si>
  <si>
    <t>PASTILLAS FRENO SINTERIZADAS (238) BENELLI TNT-150 TRA ''ICHIMAX'' [PZ]</t>
  </si>
  <si>
    <t>PASTILLAS FRENO SINTERIZADAS (238)/BENELLI TNT-150(TRA)/VERSYS-300 (TRA)/NINJA-250(D/T)/KLR-650 [PZ]</t>
  </si>
  <si>
    <t>PASTILLAS FRENO SINTERIZADAS (271) FZ-16 (DEL)/DOMINAR-250 (DEL)/DOMINAR-400 (TRA) ''ICHIMAX'' [PZ]</t>
  </si>
  <si>
    <t>PASTILLAS FRENO SINTERIZADAS (274) ''ICHIMAX'' [PZ]</t>
  </si>
  <si>
    <t>PASTILLAS FRENO SINTERIZADAS (294) ''ICHIMAX'' [PZ]</t>
  </si>
  <si>
    <t>PASTILLAS FRENO SINTETIZADAS (304) ''ICHIMAX'' [PZ]</t>
  </si>
  <si>
    <t>PASTILLAS FRENO SINTETIZADAS (305) ''ICHIMAX'' [PZ]</t>
  </si>
  <si>
    <t>PASTILLAS FRENO SINTETIZADAS (396) ''ICHIMAX'' [PZ]</t>
  </si>
  <si>
    <t>PASTILLAS FRENO SINTETIZADAS (428) CBR-250 ABS (DEL) ''ICHIMAX'' [PZ]</t>
  </si>
  <si>
    <t>PASTILLAS FRENO SINTETIZADAS (433) ''ICHIMAX'' [PZ]</t>
  </si>
  <si>
    <t>PASTILLAS FRENO SINTETIZADAS (515) ''ICHIMAX'' (TRAS) CBF-150 INVICTA/CB-190R/X-BLADE160 [PZ]</t>
  </si>
  <si>
    <t>PASTILLAS FRENO SINTETIZADAS (531) YZF-R3/MT-03 (DEL) [PZ]</t>
  </si>
  <si>
    <t>PASTILLAS FRENO SINTETIZADAS (532) YZF-R3/MT-03 (TRA) [PZ]</t>
  </si>
  <si>
    <t>PASTILLAS FRENO TVS NTORQ-125 ''JAPAN'' [PZ]</t>
  </si>
  <si>
    <t>PASTILLAS FRENO. JGO. ''ICHIBAN'' CB-190/STORM/NEW STORM (DEL) [PZ]</t>
  </si>
  <si>
    <t>PASTILLAS FRENO. JGO. ''ICHIBAN'' TVS RTR-160 APACHE (TRA)/RTR-180 APACHE (TRA)/RTR-200 APACHE (TRA)</t>
  </si>
  <si>
    <t>PASTILLAS FRENO. JGO. HAOJUE DR-160S (DEL) [PZ]</t>
  </si>
  <si>
    <t>PASTILLAS FRENO. JGO. MOTORRAD CORSA-N335 (DEL) [PZ]</t>
  </si>
  <si>
    <t>PASTILLAS FRENO. JGO. RENEGADE (1 PASADOR) [PZ]</t>
  </si>
  <si>
    <t>PASTILLAS FRENO. JGO. RENEGADE (2 PASADORES) [PZ]</t>
  </si>
  <si>
    <t>PASTILLAS FRENO. JGO. TK250 (DEL) [PZ]</t>
  </si>
  <si>
    <t>PASTILLAS FRENO. JGO. TRAS. UM DSR-200/HYPER230 [PZ]</t>
  </si>
  <si>
    <t>PATA PARAR CENTRAL KA-150 [OF]</t>
  </si>
  <si>
    <t>PATAS</t>
  </si>
  <si>
    <t>PATA PARAR LATERAL AN-125 [PZ]</t>
  </si>
  <si>
    <t>PATA PARAR LATERAL CG-125/150 [PZ]</t>
  </si>
  <si>
    <t>PATA PARAR LATERAL FZ-16 [PZ]</t>
  </si>
  <si>
    <t>PATA PARAR LATERAL UNIVERSAL (DORADO) [PZ]</t>
  </si>
  <si>
    <t>PATA PARAR LATERAL UNIVERSAL (ROJO) [PZ]</t>
  </si>
  <si>
    <t>PATA PARAR LATERAL XR-250 TORNADO [PZ]</t>
  </si>
  <si>
    <t>PATINES EMBRAGUE CENTRIFUGO SCOOTER (GY6) [PZ]</t>
  </si>
  <si>
    <t>PATINES FRENO. JGO. AG-200 (DEL) [PZ]</t>
  </si>
  <si>
    <t>PATINES DE FRENO</t>
  </si>
  <si>
    <t>PATINES FRENO. JGO. AN-125 [PZ]</t>
  </si>
  <si>
    <t>PATINES FRENO. JGO. AN-125/VS-125 ''VINI'' [IM]</t>
  </si>
  <si>
    <t>PATINES FRENO. JGO. AX-100 [PZ]</t>
  </si>
  <si>
    <t>PATINES FRENO. JGO. BAJAJ/XL-125/XL-185 (IGUAL 365 [PZ]</t>
  </si>
  <si>
    <t>PATINES FRENO. JGO. BICIMOTO 49CC (ST-50) [PZ]</t>
  </si>
  <si>
    <t>PATINES FRENO. JGO. BWS-125 [PZ]</t>
  </si>
  <si>
    <t>PATINES FRENO. JGO. CG-100/CB1-125/CB125F TWISTER/NAVI/STORM-125/TORNADO/TTX-150 [PZ]</t>
  </si>
  <si>
    <t>PATINES FRENO. JGO. CG-125 [PZ]</t>
  </si>
  <si>
    <t>PATINES FRENO. JGO. CGL-125 [PZ]</t>
  </si>
  <si>
    <t>PATINES FRENO. JGO. FZ-16/FZ-2.0/NK-150/XTZ-150 [PZ]</t>
  </si>
  <si>
    <t>PATINES FRENO. JGO. FZ-16/FZN 2.0/YBR-125/HJ125-7/KA-150/TR-150S [PZ]</t>
  </si>
  <si>
    <t>PATINES FRENO. JGO. FZ-16/FZN 2.0/YBR-125/NK-150 [PZ]</t>
  </si>
  <si>
    <t>PATINES FRENO. JGO. FZ-50 [PZ]</t>
  </si>
  <si>
    <t>PATINES FRENO. JGO. GN-125H [PZ]</t>
  </si>
  <si>
    <t>PATINES FRENO. JGO. GN-125H/TS-125/PULSAR-135/RKS-150/RKS-125 [PZ]</t>
  </si>
  <si>
    <t>PATINES FRENO. JGO. KA-150/TR-150S [PZ]</t>
  </si>
  <si>
    <t>PATINES FRENO. JGO. MOTORRAD SUPER-CG/STORM-125/TORNADO/LX-175 ''VINI'' [IM]</t>
  </si>
  <si>
    <t>PATINES FRENO. JGO. NK-150 [PZ]</t>
  </si>
  <si>
    <t>PATINES FRENO. JGO. RENEGADE-200 [PZ]</t>
  </si>
  <si>
    <t>PATINES FRENO. JGO. RS-100/YW-100 BWS [PZ]</t>
  </si>
  <si>
    <t>PATINES FRENO. JGO. SUPERLIGHT-200 [PZ]</t>
  </si>
  <si>
    <t>PATINES FRENO. JGO. TRAS. LX300-8 [PZ]</t>
  </si>
  <si>
    <t>PATINES FRENO. JGO. XL-125/XL-185 ''VINI'' [IM]</t>
  </si>
  <si>
    <t>PATINES FRENO. JGO. XL-250/RENEGADE-300 [PZ]</t>
  </si>
  <si>
    <t>PATINES FRENO. JGO. XL/XR-200 BRASIL (428) [PZ]</t>
  </si>
  <si>
    <t>PATINES FRENO. JGO. YBR-125/HJ125-7 ''VINI'' [IM]</t>
  </si>
  <si>
    <t>PATINES FRENO. JGO. YW-125 BWS [PZ]</t>
  </si>
  <si>
    <t>PEDAL CAMBIOS AK-125 ''VINI'' [IM]</t>
  </si>
  <si>
    <t>PEDALES</t>
  </si>
  <si>
    <t>PEDAL CAMBIOS CB1-125 [PZ]</t>
  </si>
  <si>
    <t>PEDAL CAMBIOS CBF-150 INVICTA [PZ]</t>
  </si>
  <si>
    <t>PEDAL CAMBIOS CBF-150 [PZ]</t>
  </si>
  <si>
    <t>PEDAL CAMBIOS CG-125 (DOBLE)/ RK-150 ''VINI'' [IM]</t>
  </si>
  <si>
    <t>PEDAL CAMBIOS CG-125 (DOBLE)/ RK-150 [PZ]</t>
  </si>
  <si>
    <t>PEDAL CAMBIOS CHOPPER C/VARILLA [PZ]</t>
  </si>
  <si>
    <t>PEDAL CAMBIOS CON MECANISMO [PZ]</t>
  </si>
  <si>
    <t>PEDAL CAMBIOS EXPREES-100 [PZ]</t>
  </si>
  <si>
    <t>PEDAL CAMBIOS FZ-16 [PZ]</t>
  </si>
  <si>
    <t>PEDAL CAMBIOS GN-125H ''VINI'' [IM]</t>
  </si>
  <si>
    <t>PEDAL CAMBIOS GN-125H [PZ]</t>
  </si>
  <si>
    <t>PEDAL CAMBIOS HJ125-7 ''VINI'' [IM]</t>
  </si>
  <si>
    <t>PEDAL CAMBIOS KA-150 [PZ]</t>
  </si>
  <si>
    <t>PEDAL CAMBIOS NK-150 [PZ]</t>
  </si>
  <si>
    <t>PEDAL CAMBIOS NXR-125 ''VINI'' [IM]</t>
  </si>
  <si>
    <t>PEDAL CAMBIOS NXR-125 [PZ]</t>
  </si>
  <si>
    <t>PEDAL CAMBIOS PULSAR-135 ''VINI'' [IM]</t>
  </si>
  <si>
    <t>PEDAL CAMBIOS PULSAR-200NS ''VINI'' [IM]</t>
  </si>
  <si>
    <t>PEDAL CAMBIOS PULSAR-220 ''VINI'' [IM]</t>
  </si>
  <si>
    <t>PEDAL CAMBIOS TR-150 [PZ]</t>
  </si>
  <si>
    <t>PEDAL CAMBIOS TVS APACHE RTR-160/RTR-180 ''VINI'' [IM]</t>
  </si>
  <si>
    <t>PEDAL CAMBIOS YBR-125 (MODELO VIEJO) ''VINI'' [IM]</t>
  </si>
  <si>
    <t>PEDAL CAMBIOS YZF-R15 [PZ]</t>
  </si>
  <si>
    <t>PEDAL FRENO CG-125 [PZ]</t>
  </si>
  <si>
    <t>PEDAL FRENO GL-150 [PZ]</t>
  </si>
  <si>
    <t>PEDAL FRENO GN-125 ''VINI'' [IM]</t>
  </si>
  <si>
    <t>PEDAL FRENO GXT-200 [PZ]</t>
  </si>
  <si>
    <t>PEDAL PARTIDA CG-100 PASSION [PZ]</t>
  </si>
  <si>
    <t>PEDAL PARTIDA CG-125 ''VINI'' [IM]</t>
  </si>
  <si>
    <t>PEDAL PARTIDA CG-125 (CHINA) [PZ]</t>
  </si>
  <si>
    <t>PEDAL PARTIDA CG-125 CHINA [PZ]</t>
  </si>
  <si>
    <t>PEDAL PARTIDA CG-125 [PZ]</t>
  </si>
  <si>
    <t>PEDAL PARTIDA CHOPPER [PZ]</t>
  </si>
  <si>
    <t>PEDAL PARTIDA CHOPPER/RENEGADE ''VINI'' [IM]</t>
  </si>
  <si>
    <t>PEDAL PARTIDA CHOPPER/RENEGADE [PZ]</t>
  </si>
  <si>
    <t>PEDAL PARTIDA DSR-200/RK-150 [PZ]</t>
  </si>
  <si>
    <t>PEDAL PARTIDA FZ-16 ''VINI'' [IM]</t>
  </si>
  <si>
    <t>PEDAL PARTIDA GL-150 [PZ]</t>
  </si>
  <si>
    <t>PEDAL PARTIDA GXT-200 [PZ]</t>
  </si>
  <si>
    <t>PEDAL PARTIDA HJ125-7 [PZ]</t>
  </si>
  <si>
    <t>PEDAL PARTIDA KEEWAY SUPERLIGHT-200 ''VINI'' [IM]</t>
  </si>
  <si>
    <t>PEDAL PARTIDA LX-150 [PZ]</t>
  </si>
  <si>
    <t>PEDAL PARTIDA PULSAR-135 [PZ]</t>
  </si>
  <si>
    <t>PEDAL PARTIDA RK-150 ''VINI'' [IM]</t>
  </si>
  <si>
    <t>PEDAL PARTIDA SCOOTER-125/150 [PZ]</t>
  </si>
  <si>
    <t>PEDAL PARTIDA ST-70/JH-70 [PZ]</t>
  </si>
  <si>
    <t>PEDAL PARTIDA TIPO CG-125 (CHINA) [PZ]</t>
  </si>
  <si>
    <t>PEDAL PARTIDA TIPO CG-125 [PZ]</t>
  </si>
  <si>
    <t>PEDAL PARTIDA TTX-150 [PZ]</t>
  </si>
  <si>
    <t>PEDAL PARTIDA XLX-250R [PZ]</t>
  </si>
  <si>
    <t>PEDAL PARTIDA YBR-125 ''VINI'' [IM]</t>
  </si>
  <si>
    <t>PEDAL PARTIDA YBR-125 [PZ]</t>
  </si>
  <si>
    <t>PEDALERA COMPLETA CG-125 [PZ]</t>
  </si>
  <si>
    <t>PEDALIN DELANTERO FZ-16/YZF-R15/CB-190 (IZQ) [PZ]</t>
  </si>
  <si>
    <t>PEDALINES</t>
  </si>
  <si>
    <t>PEDALIN DELANTERO KA-150 (DER) [PZ]</t>
  </si>
  <si>
    <t>PEDALIN DELANTERO YZF-R15 (DER) [PZ]</t>
  </si>
  <si>
    <t>PEDALIN DELANTERO YZF-R15 (IZQ) [PZ]</t>
  </si>
  <si>
    <t>PEDALIN TRASERO KA-150 (IZQ) [PZ]</t>
  </si>
  <si>
    <t>PEDALINES DELANTEROS JGO. CB-190R [PZ]</t>
  </si>
  <si>
    <t>PEDALINES DELANTEROS JGO. CBT-250 [PZ]</t>
  </si>
  <si>
    <t>PEDALINES DELANTEROS JGO. DSR-200 [PZ]</t>
  </si>
  <si>
    <t>PEDALINES DELANTEROS JGO. EN-125 [PZ]</t>
  </si>
  <si>
    <t>PEDALINES DELANTEROS JGO. FZ-16/YZF-R15/CB-190 [PZ]</t>
  </si>
  <si>
    <t>PEDALINES DELANTEROS JGO. UNIVERSAL ADAPTABLES [PZ]</t>
  </si>
  <si>
    <t>PEDALINES DELANTEROS JGO. YBR-125 [PZ]</t>
  </si>
  <si>
    <t>PEDALINES TRASEROS JGO. C/ ABRAZADERA [PZ]</t>
  </si>
  <si>
    <t>PEDALINES TRASEROS JGO. CG-125 [PZ]</t>
  </si>
  <si>
    <t>PEDALINES TRASEROS JGO. CG-125/HJ-125-7 [PZ]</t>
  </si>
  <si>
    <t>PEDALINES TRASEROS JGO. EN-125 [PZ]</t>
  </si>
  <si>
    <t>PEDALINES TRASEROS JGO. FZ-16 [PZ]</t>
  </si>
  <si>
    <t>PEDALINES TRASEROS JGO. GN-125 [PZ]</t>
  </si>
  <si>
    <t>PEDALINES TRASEROS JGO. GS-125 [PZ]</t>
  </si>
  <si>
    <t>PEDALINES TRASEROS JGO. NXR-150 BROS [PZ]</t>
  </si>
  <si>
    <t>PEDALINES TRASEROS JGO. PULSAR-135 [PZ]</t>
  </si>
  <si>
    <t>PEDALINES TRASEROS JGO. PULSAR-150/PULSAR-180 [PZ]</t>
  </si>
  <si>
    <t>PEDALINES TRASEROS JGO. WY125 [PZ]</t>
  </si>
  <si>
    <t>PEDALINES TRASEROS JGO. XTZ-125 [PZ]</t>
  </si>
  <si>
    <t>PERNO CATALINA RS-100/GXT-200 C/TURCA [PZ]</t>
  </si>
  <si>
    <t>PERNOS</t>
  </si>
  <si>
    <t>PERNO HEXAGONAL 08MM./HILO 6MM./10MM.LARGO [PZ]</t>
  </si>
  <si>
    <t>PERNO HEXAGONAL 08MM./HILO 6MM./20MM.LARGO [PZ]</t>
  </si>
  <si>
    <t>PERNO HEXAGONAL 08MM./HILO 6MM./25MM.LARGO [PZ]</t>
  </si>
  <si>
    <t>PERNO HEXAGONAL 08MM./HILO 6MM./30MM.LARGO [PZ]</t>
  </si>
  <si>
    <t>PERNO HEXAGONAL 10MM./HILO 8MM./14MM.LARGO [PZ]</t>
  </si>
  <si>
    <t>PERNO HEXAGONAL 10MM./HILO 8MM./20MM.LARGO [PZ]</t>
  </si>
  <si>
    <t>PERNO HEXAGONAL 10MM./HILO 8MM./30MM.LARGO [PZ]</t>
  </si>
  <si>
    <t>PERNO MANILLA FRENO/EMBRAGUE 10MM [PZ]</t>
  </si>
  <si>
    <t>PERNO TIRANTE FRENO [PZ]</t>
  </si>
  <si>
    <t>PERNOS CATALINA. JGO. CG-100 [PZ]</t>
  </si>
  <si>
    <t>PERNOS CATALINA. JGO. CG-125 ''VINI'' [IM]</t>
  </si>
  <si>
    <t>PERNOS CATALINA. JGO. CG-125 S/TUERCA [PZ]</t>
  </si>
  <si>
    <t>PERNOS CATALINA. JGO. CGL-125/YBR-125/EXPRESS-100 [PZ]</t>
  </si>
  <si>
    <t>PERNOS CATALINA. JGO. GN-125/GS-150/YBR-125 ''VINI'' [IM]</t>
  </si>
  <si>
    <t>PERNOS CATALINA. JGO. RS-100/GN-125/CGL-125 [PZ]</t>
  </si>
  <si>
    <t>PERNOS CATALINA. JGO.YBR-125/RKS/RKV [PZ]</t>
  </si>
  <si>
    <t>PERRO SEGURIDAD (1.60) [PZ]</t>
  </si>
  <si>
    <t>PERRO SEGURIDAD (2.50) [PZ]</t>
  </si>
  <si>
    <t>PIÑON ATAQUE (13) XR-250 (96/04)/XR-250 TORNADO</t>
  </si>
  <si>
    <t>PIÑONES</t>
  </si>
  <si>
    <t>PIÑON ATAQUE (13D) AKT AK-200 [PZ]</t>
  </si>
  <si>
    <t>PIÑON ATAQUE (13D) BAJAJ (PASO 520) [PZ]</t>
  </si>
  <si>
    <t>PIÑON ATAQUE (13D) CRF-250R [PZ]</t>
  </si>
  <si>
    <t>PIÑON ATAQUE (13D) XR-250R (96/04) [PZ]</t>
  </si>
  <si>
    <t>CHACABUCO 234| LIRA 823</t>
  </si>
  <si>
    <t>PIÑON ATAQUE (13D) XRE 300 [PZ]</t>
  </si>
  <si>
    <t>PIÑON ATAQUE (13D) XTZ-250/YBR-250 [PZ]</t>
  </si>
  <si>
    <t>PIÑON ATAQUE (13D) YS-250/XT-600E [PZ]</t>
  </si>
  <si>
    <t>PIÑON ATAQUE (14D) 49 CC. [PZ]</t>
  </si>
  <si>
    <t>PIÑON ATAQUE (14D) BICIMOTO 49CC (ST-50) [PZ]</t>
  </si>
  <si>
    <t>PIÑON ATAQUE (14D) CB1-125 TWISTER/EXPRESS-100 [PZ]</t>
  </si>
  <si>
    <t>PIÑON ATAQUE (14D) CBF-150 INVICTA [PZ]</t>
  </si>
  <si>
    <t>PIÑON ATAQUE (14D) CBR-250 [PZ]</t>
  </si>
  <si>
    <t>PIÑON ATAQUE (14D) CG-125 [PZ]</t>
  </si>
  <si>
    <t>PIÑON ATAQUE (14D) GIXXER-150/XTZ-125/YBR-125 [PZ]</t>
  </si>
  <si>
    <t>PIÑON ATAQUE (14D) GN-125H [PZ]</t>
  </si>
  <si>
    <t>PIÑON ATAQUE (14D) GS-150R [PZ]</t>
  </si>
  <si>
    <t>PIÑON ATAQUE (14D) GSX-400F [PZ]</t>
  </si>
  <si>
    <t>PIÑON ATAQUE (14D) MOTO 49CC ''PASO 420'' [PZ]</t>
  </si>
  <si>
    <t>PIÑON ATAQUE (14D) PULSAR 200NS [PZ]</t>
  </si>
  <si>
    <t>PIÑON ATAQUE (14D) PULSAR-135 [PZ]</t>
  </si>
  <si>
    <t>PIÑON ATAQUE (14D) XL-250R [PZ]</t>
  </si>
  <si>
    <t>PIÑON ATAQUE (14D) XR-250 [PZ]</t>
  </si>
  <si>
    <t>PIÑON ATAQUE (14D) XR-600R [PZ]</t>
  </si>
  <si>
    <t>PIÑON ATAQUE (14D) XR-650R/TRANSALP-650 [PZ]</t>
  </si>
  <si>
    <t>PIÑON ATAQUE (14D) YBR-125/FZ-16 [PZ]</t>
  </si>
  <si>
    <t>PIÑON ATAQUE (15D) CBF-150 INVICTA/NXR-150 BROS [PZ]</t>
  </si>
  <si>
    <t>PIÑON ATAQUE (15D) CBR-400RR/VFR-400 (NC30) [PZ]</t>
  </si>
  <si>
    <t>PIÑON ATAQUE (15D) CBR-500/CBR-500R/CB-500/CB-500F/CB-500X [PZ]</t>
  </si>
  <si>
    <t>PIÑON ATAQUE (15D) CG-125 [PZ]</t>
  </si>
  <si>
    <t>PIÑON ATAQUE (15D) DR-200/SX-200 [PZ]</t>
  </si>
  <si>
    <t>PIÑON ATAQUE (15D) DUKE-200/PULSAR-200NS [PZ]</t>
  </si>
  <si>
    <t>PIÑON ATAQUE (15D) GIXXER-150/YBR-125Z/YZF-R15 V3 [PZ]</t>
  </si>
  <si>
    <t>PIÑON ATAQUE (15D) GN-125/GS-125/EN-125 [PZ]</t>
  </si>
  <si>
    <t>PIÑON ATAQUE (15D) GN-125H [PZ]</t>
  </si>
  <si>
    <t>PIÑON ATAQUE (15D) GPZ-400R [PZ]</t>
  </si>
  <si>
    <t>PIÑON ATAQUE (15D) KA-150/KD-150J [PZ]</t>
  </si>
  <si>
    <t>PIÑON ATAQUE (15D) PULSAR-135 [PZ]</t>
  </si>
  <si>
    <t>PIÑON ATAQUE (15D) VFR-400R [PZ]</t>
  </si>
  <si>
    <t>PIÑON ATAQUE (15D) XL-600/NX-650 [PZ]</t>
  </si>
  <si>
    <t>PIÑON ATAQUE (15D) XT-660/VERSYS-300 [PZ]</t>
  </si>
  <si>
    <t>PIÑON ATAQUE (15D) YS-250 FAZER/YBR-250 [OF]</t>
  </si>
  <si>
    <t>PIÑON ATAQUE (15D) YS-250 FAZER/YBR-250 [PZ]</t>
  </si>
  <si>
    <t>PIÑON ATAQUE (16) MT-07 [PZ]</t>
  </si>
  <si>
    <t>PIÑON ATAQUE (16D) GN-125 ''VINI'' [IM]</t>
  </si>
  <si>
    <t>PIÑON ATAQUE (16D) GS-550 [PZ]</t>
  </si>
  <si>
    <t>PIÑON ATAQUE (16D) TS-50W [PZ]</t>
  </si>
  <si>
    <t>PIÑON ATAQUE (16D) XR-150L/XR-190 [PZ]</t>
  </si>
  <si>
    <t>PIÑON ATAQUE (16D) XTZ-750 S/TENERE/XT-660 [PZ]</t>
  </si>
  <si>
    <t>PIÑON ATAQUE (16D) XV-250 VIRAGO [PZ]</t>
  </si>
  <si>
    <t>PIÑON ATAQUE (16D) YZF-R6 [PZ]</t>
  </si>
  <si>
    <t>PIÑON ATAQUE (17D) CG-125/NK-150 [PZ]</t>
  </si>
  <si>
    <t>PIÑON ATAQUE (17D) XR-190/XR-150/XR-125/NXR-150 BR [PZ]</t>
  </si>
  <si>
    <t>PIÑON CUARTA EJE PRIMARIO (23D) CG-125/HJ125-7 [PZ]</t>
  </si>
  <si>
    <t>PIÑON CUARTA EJE PRIMARIO GXT-200 (23D) [PZ]</t>
  </si>
  <si>
    <t>PIÑON CUARTA EJE SECUNDARIO (26D) CG-125/HJ125-7 [PZ]</t>
  </si>
  <si>
    <t>PIÑON DIST. EJE LEVAS GXT-200 [PZ]</t>
  </si>
  <si>
    <t>PIÑON DIST. EJE LEVAS YBR125/XTZ-125 36D [PZ]</t>
  </si>
  <si>
    <t>PIÑON EMBRAGUE PARTIDA CG-125 ''VINI'' [IM]</t>
  </si>
  <si>
    <t>PIÑON EMBRAGUE RE-250 [PZ]</t>
  </si>
  <si>
    <t>PIÑON LOCO JL125-7/CG-125 (29D) [PZ]</t>
  </si>
  <si>
    <t>PIÑON MOTOR PARTIDA CBP-250/RE-250 (B) [PZ]</t>
  </si>
  <si>
    <t>PIÑON MOTOR PARTIDA CBP-250/RE-250 (CHICO) [PZ]</t>
  </si>
  <si>
    <t>PIÑON PARTIDA GRANDE XTREET-200 [PZ]</t>
  </si>
  <si>
    <t>PIÑON PRIMERA EJE SECUNDARIO CG-125/HJ125-7 [PZ]</t>
  </si>
  <si>
    <t>PIÑON QUINTA EJE PRIMARIO CG-125/HJ125-7 [PZ]</t>
  </si>
  <si>
    <t>PIÑON QUINTA EJE SECUNDARIO 21D ''RENEGADE/RIDER-20 [PZ]</t>
  </si>
  <si>
    <t>PIÑON QUINTA EJE SECUNDARIO CG-125/HJ125-7 [PZ]</t>
  </si>
  <si>
    <t>PIÑON SEGUNDA EJE PRIMARIO CG-125/HJ125-7 [PZ]</t>
  </si>
  <si>
    <t>PIÑON SEGUNDA EJE SECUNDARIO CG-125/HJ125-7 [PZ]</t>
  </si>
  <si>
    <t>PIÑONES CTA. KM. AN-125 [PZ]</t>
  </si>
  <si>
    <t>PIÑONES CTA. KM. DSR-200 [PZ]</t>
  </si>
  <si>
    <t>PIÑONES CTA. KM. GN-125H/HJ125-7 [PZ]</t>
  </si>
  <si>
    <t>PIÑONES CTA. KM. GXT-200 [PZ]</t>
  </si>
  <si>
    <t>PIÑONES CTA. KM. JL200GY-2 [PZ]</t>
  </si>
  <si>
    <t>PIÑONES CTA. KM. MOTO 49CC [PZ]</t>
  </si>
  <si>
    <t>PIÑONES CTA. KM. NXR-150 BROS [PZ]</t>
  </si>
  <si>
    <t>PIÑONES CTA. KM. SCOOTER [PZ]</t>
  </si>
  <si>
    <t>PIÑONES CTA. KM. TIPO GN-125H [PZ]</t>
  </si>
  <si>
    <t>PIÑONES CTA. KM. WY-125 [PZ]</t>
  </si>
  <si>
    <t>PIÑONES CTA. KM. YBR-125 [PZ]</t>
  </si>
  <si>
    <t>PIÑONES DISTRIBUCION . JGO. CG-125/JL125 [PZ]</t>
  </si>
  <si>
    <t>PIÑONES DISTRIBUCION. JGO. CG-125/HJ125-7 [PZ]</t>
  </si>
  <si>
    <t>PIÑONES DISTRIBUCION. JGO. CG-125/HJ125-7/RENEGADE-200 ''VINI'' [IM]</t>
  </si>
  <si>
    <t>PIÑONES DISTRIBUCION. JGO. CG-125T/C [PZ]</t>
  </si>
  <si>
    <t>PIÑONES PARTIDA RE-250 [PZ]</t>
  </si>
  <si>
    <t>PIÑONES PARTIDA. JGO. JL-125/JL125-7 [PZ]</t>
  </si>
  <si>
    <t>PINZAS PARA CABLES.  JGO. CHICO [PZ]</t>
  </si>
  <si>
    <t>PINZAS PARA CABLES.  JGO. GRANDE [PZ]</t>
  </si>
  <si>
    <t>PISTON COMPLETO AN-125 (100) [PZ]</t>
  </si>
  <si>
    <t>PISTONES</t>
  </si>
  <si>
    <t>PISTON COMPLETO AVENGER-220 [PZ]</t>
  </si>
  <si>
    <t>PISTON COMPLETO BY110-13 (050) [PZ]</t>
  </si>
  <si>
    <t>PISTON COMPLETO BY110-13 (100) [PZ]</t>
  </si>
  <si>
    <t>PISTON COMPLETO BY110-13/NEW-STORM (STD) [PZ]</t>
  </si>
  <si>
    <t>PISTON COMPLETO CB-250 (050) [PZ]</t>
  </si>
  <si>
    <t>PISTON COMPLETO CB-250 (100) [PZ]</t>
  </si>
  <si>
    <t>PISTON COMPLETO CBF-125/NEW-STORM (050) [PZ]</t>
  </si>
  <si>
    <t>PISTON COMPLETO CBF-125/NEW-STORM (100) [PZ]</t>
  </si>
  <si>
    <t>PISTON COMPLETO CBF-125/NEW-STORM (STD) [PZ]</t>
  </si>
  <si>
    <t>PISTON COMPLETO CD-100 (050) [PZ]</t>
  </si>
  <si>
    <t>PISTON COMPLETO CG-100 (050) [PZ]</t>
  </si>
  <si>
    <t>PISTON COMPLETO CG-100 (100) [PZ]</t>
  </si>
  <si>
    <t>PISTON COMPLETO CG-150/BY150 HJ150-(100MM) [PZ]</t>
  </si>
  <si>
    <t>PISTON COMPLETO CG-200 (050) [PZ]</t>
  </si>
  <si>
    <t>PISTON COMPLETO CG-200 (100) [PZ]</t>
  </si>
  <si>
    <t>PISTON COMPLETO DT-175E (050)/BLASTER [PZ]</t>
  </si>
  <si>
    <t>PISTON COMPLETO DT-175E (100)/BLASTER [PZ]</t>
  </si>
  <si>
    <t>PISTON COMPLETO FZ 2.0/XTZ-150 (STD) [PZ]</t>
  </si>
  <si>
    <t>PISTON COMPLETO FZ-16 (050) [PZ]</t>
  </si>
  <si>
    <t>PISTON COMPLETO FZ-16 (100) [PZ]</t>
  </si>
  <si>
    <t>PISTON COMPLETO GXT-200/DR-200 (050) [PZ]</t>
  </si>
  <si>
    <t>PISTON COMPLETO GXT-200/DR-200 (100) [PZ]</t>
  </si>
  <si>
    <t>PISTON COMPLETO GXT-200/DR-200/RENEGADE-200 (100) [PZ]</t>
  </si>
  <si>
    <t>PISTON COMPLETO NXR-150 (050) [PZ]</t>
  </si>
  <si>
    <t>PISTON COMPLETO NXR-150 (100) [PZ]</t>
  </si>
  <si>
    <t>PISTON COMPLETO PULSAR-180 (050) [PZ]</t>
  </si>
  <si>
    <t>PISTON COMPLETO PULSAR-180 (100) [PZ]</t>
  </si>
  <si>
    <t>PISTON COMPLETO PULSAR-180 (STD) [PZ]</t>
  </si>
  <si>
    <t>PISTON COMPLETO PULSAR-200 (050) 67.5MM. [PZ]</t>
  </si>
  <si>
    <t>PISTON COMPLETO PULSAR-200 (100) 68MM. [PZ]</t>
  </si>
  <si>
    <t>PISTON COMPLETO PULSAR-220 (050) 67.5MM. [PZ]</t>
  </si>
  <si>
    <t>PISTON COMPLETO RENEGADE (050) [PZ]</t>
  </si>
  <si>
    <t>PISTON COMPLETO RENEGADE (100) [PZ]</t>
  </si>
  <si>
    <t>PISTON COMPLETO SCOOTER 150/GS-150 (050) [PZ]</t>
  </si>
  <si>
    <t>PISTON COMPLETO SCOOTER 150/GS-150 (100) [PZ]</t>
  </si>
  <si>
    <t>PISTON COMPLETO SCOOTER-125 (1.00) [OF]</t>
  </si>
  <si>
    <t>PISTON COMPLETO SCOOTER-125 (STD) [PZ]</t>
  </si>
  <si>
    <t>PISTON COMPLETO STORM-125 (050) [PZ]</t>
  </si>
  <si>
    <t>PISTON COMPLETO XR-125 (100) [PZ]</t>
  </si>
  <si>
    <t>PISTON COMPLETO XR-125/NEWSTORM (0.50) [PZ]</t>
  </si>
  <si>
    <t>PISTON COMPLETO XR-125L (2010) (100) [PZ]</t>
  </si>
  <si>
    <t>PISTON COMPLETO XR-200 BRASIL (100) [PZ]</t>
  </si>
  <si>
    <t>PISTON COMPLETO XR-250R (0.50) [PZ]</t>
  </si>
  <si>
    <t>PISTON COMPLETO XR-250R (100) [PZ]</t>
  </si>
  <si>
    <t>PISTON COMPLETO XR-250R (STD) 73MM [PZ]</t>
  </si>
  <si>
    <t>PISTON COMPLETO YBR-125/XTZ-125 (050) [PZ]</t>
  </si>
  <si>
    <t>PISTON COMPLETO YW-125 (100) BWS [PZ]</t>
  </si>
  <si>
    <t>PISTON COMPLETO ZS-250 (100) [PZ]</t>
  </si>
  <si>
    <t>PLACA TIRA CADENA FZ-16 [OF]</t>
  </si>
  <si>
    <t>PLATO PORTA BOBINAS ATV/CG-100/PIT-BIKE ''VINI'' [IM]</t>
  </si>
  <si>
    <t>PLATO PORTA BOBINAS AX-100 [PZ]</t>
  </si>
  <si>
    <t>PLATO PORTA BOBINAS CG-125 [PZ]</t>
  </si>
  <si>
    <t>PORTA AMPOLETTA ''TIPO COLA PEZ'' [PZ]</t>
  </si>
  <si>
    <t>PORTA AMPOLLETA ''TIPO GN-125'' ''VINI'' [IM]</t>
  </si>
  <si>
    <t>PORTA AMPOLLETA COLA PESCADO [PZ]</t>
  </si>
  <si>
    <t>PORTA AMPOLLETA DELANTERA CG [PZ]</t>
  </si>
  <si>
    <t>PORTA AMPOLLETA DELANTERA DAX [PZ]</t>
  </si>
  <si>
    <t>PORTA AMPOLLETA FOCO DELANTERO GN-125 (4464) [PZ]</t>
  </si>
  <si>
    <t>PORTA AMPOLLETA H4 (CERAMICA) [PZ]</t>
  </si>
  <si>
    <t>PORTA AMPOLLETA SEÑALIZADOR [PZ]</t>
  </si>
  <si>
    <t>PORTA CATALINA CB-125F TWISTER/LIFAN-KPS-200 [PZ]</t>
  </si>
  <si>
    <t>PORTA CATALINA CG-125 C/CATALINA [PZ]</t>
  </si>
  <si>
    <t>PORTACATALINAS</t>
  </si>
  <si>
    <t>PORTA CATALINA DSR-200 [PZ]</t>
  </si>
  <si>
    <t>PORTA CATALINA EXPRESS-100 [PZ]</t>
  </si>
  <si>
    <t>PORTA CATALINA FZ-16 [PZ]</t>
  </si>
  <si>
    <t>PORTA CATALINA LONCIN LX-150 [PZ]</t>
  </si>
  <si>
    <t>PORTA CATALINA PULSAR-200NS/RS-200 ''ICHIBAN'' [PZ]</t>
  </si>
  <si>
    <t>PORTA CELULAR UNIVERSAL C/ESTUCHE (150X90) [PZ]</t>
  </si>
  <si>
    <t>PORTA CELULAR UNIVERSAL C/ESTUCHE (70X140 MM.) [PZ]</t>
  </si>
  <si>
    <t>PORTA CELULAR UNIVERSAL CON CARGADOR USB [PZ]</t>
  </si>
  <si>
    <t>PORTA CELULAR UNIVERSAL CON ESTUCHE [PZ]</t>
  </si>
  <si>
    <t>PORTA CELULAR UNIVERSAL METALICO CON CARGADOR USB [PZ]</t>
  </si>
  <si>
    <t>PORTA CELULAR UNIVERSAL METALICO [PZ]</t>
  </si>
  <si>
    <t>PORTA DISCOS EMBRAGUE CBF-150 INVICTA (2 PZS) VINI [IM]</t>
  </si>
  <si>
    <t>PORTA DISCOS EMBRAGUE GIXXER-150 (2 PZAS.) ''VINI'' [IM]</t>
  </si>
  <si>
    <t>PORTA DISCOS EMBRAGUE PULSAR-200NS (2 PZAS.) VINI [IM]</t>
  </si>
  <si>
    <t>PORTA DISCOS EMBRAGUE PULSAR-200NS (2 PZAS.) [PZ]</t>
  </si>
  <si>
    <t>PORTA DISCOS EMBRAGUE YZF-R15 (2 PZAS.) [PZ]</t>
  </si>
  <si>
    <t>PORTA ESPEJO UNIDAD 10MM [PZ]</t>
  </si>
  <si>
    <t>PORTA ESPEJO UNIVERSAL 08MM [PZ]</t>
  </si>
  <si>
    <t>PORTA FILTRO AIRE SCOOTER-125/150 [PZ]</t>
  </si>
  <si>
    <t>PORTA FUSIBLE UNIVERSAL [PZ]</t>
  </si>
  <si>
    <t>PORTA PATENTE ESTRELLA [PZ]</t>
  </si>
  <si>
    <t>PORTA PATENTE MONSTER [PZ]</t>
  </si>
  <si>
    <t>PORTA PATENTE UNIVERSAL [PZ]</t>
  </si>
  <si>
    <t>PORTA PATIN FRENO TRAS. GN-125H [PZ]</t>
  </si>
  <si>
    <t>PORTA PATIN FRENO TRAS. XL-200 (BRASIL) [PZ]</t>
  </si>
  <si>
    <t>PORTA PATIN FRENO TRAS. YBR-125 [PZ]</t>
  </si>
  <si>
    <t>PORTA PATIN FRENO TRASERO SPEED-125 CLASIC [PZ]</t>
  </si>
  <si>
    <t>PRISIONEROS ESCAPE 6MM. [PZ]</t>
  </si>
  <si>
    <t>PROMOCIONES Y/O DESCUENTOS</t>
  </si>
  <si>
    <t>PROMOCIONES</t>
  </si>
  <si>
    <t>PROTECTOR CALZADO GOMA UNIVERSAL [PZ]</t>
  </si>
  <si>
    <t>PROTECTOR CARA (MM3) [PZ]</t>
  </si>
  <si>
    <t>PROTECTOR CARA (MM4) [PZ]</t>
  </si>
  <si>
    <t>PROTECTOR CARA C/FILTRO [PZ]</t>
  </si>
  <si>
    <t>PROTECTOR CARA C/POLAR COMPLETO [PZ]</t>
  </si>
  <si>
    <t>PROTECTOR CARA MM2 [PZ]</t>
  </si>
  <si>
    <t>PROTECTOR CARA POLAR C/NEOPREN (NEGRO) [PZ]</t>
  </si>
  <si>
    <t>PROTECTOR CARA POLAR NINJA [PZ]</t>
  </si>
  <si>
    <t>PROTECTOR ESCAPE FZ-16 (LATERAL/GRIS) [PZ]</t>
  </si>
  <si>
    <t>PROTECTOR ESCAPE HONDA-NAVI [PZ]</t>
  </si>
  <si>
    <t>PROTECTOR ESCAPE KA-150 (LATERAL/GRIS) [PZ]</t>
  </si>
  <si>
    <t>PROTECTOR LLAVE BENCINA KA-150 [PZ]</t>
  </si>
  <si>
    <t>PROTECTOR MANUBRIO ESPONJA UNIVERSAL [PZ]</t>
  </si>
  <si>
    <t>PROTECTOR PEDAL CAMBIOS (SILICONA) AZUL [PZ]</t>
  </si>
  <si>
    <t>PROTECTOR TUBO ESCAPE (COLORES) [PZ]</t>
  </si>
  <si>
    <t>PROTECTORES MANILLAS. JGO. UNIVERSAL ''MOXI'' [PZ]</t>
  </si>
  <si>
    <t>PROTECTORES MANILLAS. JGO. UNIVERSAL ALUMINIO [PZ]</t>
  </si>
  <si>
    <t>PROTECTORES MANOS PLASTICOS (AZUL) [PZ]</t>
  </si>
  <si>
    <t>PROTECTORES MANOS. JGO. ''ACERBIS'' [PZ]</t>
  </si>
  <si>
    <t>PROTECTORES MANOS. JGO. BLANCO [PZ]</t>
  </si>
  <si>
    <t>PROTECTORES MANOS. JGO. C/LUZ [PZ]</t>
  </si>
  <si>
    <t>PROTECTORES MANOS. JGO. UNIVERSAL (PLASTICO CAFE) [PZ]</t>
  </si>
  <si>
    <t>PROTECTORES MANOS. JGO. UNIVERSAL (PLASTICO NARAN) [PZ]</t>
  </si>
  <si>
    <t>PROTECTORES MANOS. JGO. UNIVERSAL GRANDE [PZ]</t>
  </si>
  <si>
    <t>PROTECTORES MANOS. JGO. UNIVERSAL PEQUEÑO [PZ]</t>
  </si>
  <si>
    <t>PROTECTORES MANOS. JGO. [PZ]</t>
  </si>
  <si>
    <t>PROTECTORES MANUBRIO. JGO. PLAST/METAL (AZUL) [PZ]</t>
  </si>
  <si>
    <t>PROTECTORES MANUBRIO. JGO. PLAST/METAL (NARANJA) [PZ]</t>
  </si>
  <si>
    <t>PROTECTORES MANUBRIO. JGO. PLAST/METAL (NEGRO) [PZ]</t>
  </si>
  <si>
    <t>PROTECTORES MANUBRIO. JGO. PLAST/METAL (VERDE) [PZ]</t>
  </si>
  <si>
    <t>PROTECTORES MANUBRIO. JGO. PLAST/METAL AZUL [PZ]</t>
  </si>
  <si>
    <t>PRUEBA ASV</t>
  </si>
  <si>
    <t>PRUEBA INVENTARIO 1 [OF]</t>
  </si>
  <si>
    <t>PRUEBA INVENTARIO 2 [OF]</t>
  </si>
  <si>
    <t>PRUEBA INVENTARIO 3 [OF]</t>
  </si>
  <si>
    <t>PRUEBA PROVEEDOR 1 [OF]</t>
  </si>
  <si>
    <t>PULPO MALLA GRANDE [PZ]</t>
  </si>
  <si>
    <t>PULPO SIMPLE (1.5 MTS.) [PZ]</t>
  </si>
  <si>
    <t>PUÑOS ATV. JGO. UNIVERSAL (ROJO) [PZ]</t>
  </si>
  <si>
    <t>PUÑOS CALLE. JGO. UNIVERSAL ''BARRACUDA'' [PZ]</t>
  </si>
  <si>
    <t>PUÑOS CALLE. JGO. UNIVERSAL ''DBS RACING'' [PZ]</t>
  </si>
  <si>
    <t>PUÑOS CALLE. JGO. UNIVERSAL ''JRP'' [PZ]</t>
  </si>
  <si>
    <t>PUÑOS CALLE. JGO. UNIVERSAL [PZ]</t>
  </si>
  <si>
    <t>PUÑOS CHOPPER. JGO. UNIVERSAL AGUILA ''VINI'' [IM]</t>
  </si>
  <si>
    <t>PUÑOS CHOPPER. JGO. UNIVERSAL NEGRO/ROJO ''VINI'' [IM]</t>
  </si>
  <si>
    <t>PUÑOS GOMA ENDURO. JGO. ''VINI'' (NEGRO) [IM]</t>
  </si>
  <si>
    <t>PUÑOS GOMA. JGO. AGUILA UNIVERSAL [PZ]</t>
  </si>
  <si>
    <t>PUÑOS GOMA. JGO. CALLE C/TUBO ACEL. [PZ]</t>
  </si>
  <si>
    <t>PUÑOS GOMA. JGO. ENDURO C/TUBO ACEL. [PZ]</t>
  </si>
  <si>
    <t>PUÑOS GOMA. JGO. TIPO GN-125 (NEGRO) ''VINI'' [IM]</t>
  </si>
  <si>
    <t>PUÑOS GOMA/ALUMINIO ''RIZOMA'' [PZ]</t>
  </si>
  <si>
    <t>PUÑOS GOMA/METAL ''RIZOMA'' NEGRO [PZ]</t>
  </si>
  <si>
    <t>PUNTA MANUBRIO KA-150 [PZ]</t>
  </si>
  <si>
    <t>PUNTAS MANUBRIO C/LUZ. JGO. UNIVERSAL [PZ]</t>
  </si>
  <si>
    <t>PUNTAS MANUBRIO JGO. ''CON SEÑALIZADOR'' [PZ]</t>
  </si>
  <si>
    <t>PUNTAS MANUBRIO JGO. TORNASOL [PZ]</t>
  </si>
  <si>
    <t>TORNASOL</t>
  </si>
  <si>
    <t>PUNTAS MANUBRIO JGO. UNIVERSAL (AZUL) [PZ]</t>
  </si>
  <si>
    <t>PUNTAS MANUBRIO JGO. UNIVERSAL [PZ]</t>
  </si>
  <si>
    <t>RAYO DELANTERO XR-150L ''B'' (10X206.5) [PZ]</t>
  </si>
  <si>
    <t>RAYO DELANTERO XR-250 TORNADO (10X236.5) [OF]</t>
  </si>
  <si>
    <t>RAYO TRASERO UNIVERSAL 13CMS. [PZ]</t>
  </si>
  <si>
    <t>RAYOS DELANTEROS. JGO. XLR-125 [PZ]</t>
  </si>
  <si>
    <t>RAYOS DELANTEROS. JGO. XR-200 [PZ]</t>
  </si>
  <si>
    <t>RAYOS DELANTEROS. JGO. XR-250 TORNADO [PZ]</t>
  </si>
  <si>
    <t>RAYOS DELANTEROS. JGO. XRE-300 [PZ]</t>
  </si>
  <si>
    <t>RAYOS TRASEROS. JGO. GXT-200/XTZ-125 [OF]</t>
  </si>
  <si>
    <t>RAYOS TRASEROS. JGO. XR-200 [PZ]</t>
  </si>
  <si>
    <t>RAYOS TRASEROS. JGO. YBR-125 [PZ]</t>
  </si>
  <si>
    <t>RAYOS. JGO. 16.5 CMS. [PZ]</t>
  </si>
  <si>
    <t>RECORDATORIO CANDADO DISCO (COLORES) [PZ]</t>
  </si>
  <si>
    <t>RECT/REGULADOR 2 CABLES AX-100 [PZ]</t>
  </si>
  <si>
    <t>RECTIFICADORES</t>
  </si>
  <si>
    <t>RECT/REGULADOR 4 CABLES SCOOTER [PZ]</t>
  </si>
  <si>
    <t>RECT/REGULADOR 4 CABLES [PZ]</t>
  </si>
  <si>
    <t>RECT/REGULADOR 5 CABLES (MONOFASICO) [PZ]</t>
  </si>
  <si>
    <t>RECT/REGULADOR 5 CABLES CG-125 [PZ]</t>
  </si>
  <si>
    <t>RECT/REGULADOR 5 CABLES GN-125/GXT-200 (TRIFASICO) [PZ]</t>
  </si>
  <si>
    <t>RECT/REGULADOR 5 CABLES SCOOTER-125/150 [PZ]</t>
  </si>
  <si>
    <t>RECT/REGULADOR 5 CABLES [PZ]</t>
  </si>
  <si>
    <t>RECT/REGULADOR 6 CABLES (TRIFASICO) [PZ]</t>
  </si>
  <si>
    <t>RECT/REGULADOR 6 CABLES CB-250T (TRIFASICO) [PZ]</t>
  </si>
  <si>
    <t>RECT/REGULADOR 7 CABLES (TRIFASICO) [PZ]</t>
  </si>
  <si>
    <t>RECT/REGULADOR AN-125 [PZ]</t>
  </si>
  <si>
    <t>RECT/REGULADOR BY100-12/BY110-13 (4 PINES) [PZ]</t>
  </si>
  <si>
    <t>RECT/REGULADOR CB-450 [PZ]</t>
  </si>
  <si>
    <t>RECT/REGULADOR CB1-125 [PZ]</t>
  </si>
  <si>
    <t>RECT/REGULADOR CB1-125/TWISTER-125 [PZ]</t>
  </si>
  <si>
    <t>RECT/REGULADOR CBX-250 TWISTER [PZ]</t>
  </si>
  <si>
    <t>RECT/REGULADOR CG-125 (CHINA) 5 CABLE [PZ]</t>
  </si>
  <si>
    <t>RECT/REGULADOR CG-125 [PZ]</t>
  </si>
  <si>
    <t>RECT/REGULADOR CG-150T/JOB [PZ]</t>
  </si>
  <si>
    <t>RECT/REGULADOR FZ-16/FZN-150 (2.0) (4 PINES) [PZ]</t>
  </si>
  <si>
    <t>RECT/REGULADOR FZ-16/HAOJUE-125 (5 PINES) [PZ]</t>
  </si>
  <si>
    <t>RECT/REGULADOR FZR-400/XT-600E [PZ]</t>
  </si>
  <si>
    <t>RECT/REGULADOR GS-125 [PZ]</t>
  </si>
  <si>
    <t>RECT/REGULADOR HAOJUE [PZ]</t>
  </si>
  <si>
    <t>RECT/REGULADOR JOG-50/90 (4 PINES LINEAL) [PZ]</t>
  </si>
  <si>
    <t>RECT/REGULADOR KA-150 [PZ]</t>
  </si>
  <si>
    <t>RECT/REGULADOR KLR-650 TRIFÁSICO [PZ]</t>
  </si>
  <si>
    <t>RECT/REGULADOR MOTOMEL-250 M16 (TRIFASICO) [PZ]</t>
  </si>
  <si>
    <t>RECT/REGULADOR NK-150 [PZ]</t>
  </si>
  <si>
    <t>RECT/REGULADOR NT-650 [PZ]</t>
  </si>
  <si>
    <t>RECT/REGULADOR NX-400 FALCON [PZ]</t>
  </si>
  <si>
    <t>RECT/REGULADOR PULSAR 200-NS FI (INYECTADA) / PULSAR 200-RS [PZ]</t>
  </si>
  <si>
    <t>RECT/REGULADOR RENEGADE-200 ''VINI'' [IM]</t>
  </si>
  <si>
    <t>RECT/REGULADOR RENEGADE-200 [OF]</t>
  </si>
  <si>
    <t>RECT/REGULADOR SCOOTER-125/150 [PZ]</t>
  </si>
  <si>
    <t>RECT/REGULADOR SURFER-125 [PZ]</t>
  </si>
  <si>
    <t>RECT/REGULADOR TVS APACHE-160 [PZ]</t>
  </si>
  <si>
    <t>RECT/REGULADOR UNIVERSAL [PZ]</t>
  </si>
  <si>
    <t>RECT/REGULADOR VS-125 (5 PINES) [PZ]</t>
  </si>
  <si>
    <t>RECT/REGULADOR WH-125 [PZ]</t>
  </si>
  <si>
    <t>RECT/REGULADOR XR-150 ''4 PINES'' [PZ]</t>
  </si>
  <si>
    <t>RECT/REGULADOR XR-200 [PZ]</t>
  </si>
  <si>
    <t>RECT/REGULADOR XRE-300 [PZ]</t>
  </si>
  <si>
    <t>RECT/REGULADOR XT-250/TTR-250 [PZ]</t>
  </si>
  <si>
    <t>RECT/REGULADOR XV-250 VIRAGO [PZ]</t>
  </si>
  <si>
    <t>RECT/REGULADOR YBR-125 (5 PINES) [PZ]</t>
  </si>
  <si>
    <t>RECT/REGULADOR YBR-125Z [PZ]</t>
  </si>
  <si>
    <t>RECT/REGULADOR YW-100 BWS [PZ]</t>
  </si>
  <si>
    <t>RECTIFICADOR RS-100 [PZ]</t>
  </si>
  <si>
    <t>REFLECTANTE CIRCULAR AMARILLO [PZ]</t>
  </si>
  <si>
    <t>REFLECTANTE CIRCULAR ROJO [PZ]</t>
  </si>
  <si>
    <t>REFLECTANTE RECTANGULAR ROJO [PZ]</t>
  </si>
  <si>
    <t>REFRIGERANTE (COOLANT) ''CASTROL'' 1LT. [OF]</t>
  </si>
  <si>
    <t>REFRIGERANTE (COOLANT) ''IPONE'' 1LT. [PZ]</t>
  </si>
  <si>
    <t>REFRIGERANTE (COOLANT) ''LIQUI MOLY'' 1LT. [PZ]</t>
  </si>
  <si>
    <t>REFRIGERANTE (COOLANT) ''MOTUL'' 1LT [OF]</t>
  </si>
  <si>
    <t>REFRIGERANTE (COOLANT) ''REPSOL'' 1 LT [OF]</t>
  </si>
  <si>
    <t>REFRIGERANTE (COOLANT) ''WOLVER'' 1.5 LT ''AZUL'' [PZ]</t>
  </si>
  <si>
    <t>REFRIGERANTE (COOLANT) ''WOLVER'' 1.5 LT ''ROJO'' [PZ]</t>
  </si>
  <si>
    <t>REFRIGERANTE (COOLANT) ''WOLVER'' 1.5 LT ''VERDE'' [PZ]</t>
  </si>
  <si>
    <t>REGULADOR FRENO Y EMBRAGUE UNIVERSAL [PZ]</t>
  </si>
  <si>
    <t>REJILLA FILTRO ACEITE CG-125 [PZ]</t>
  </si>
  <si>
    <t>RELEY PARTIDA 12 V. [PZ]</t>
  </si>
  <si>
    <t>RELEY PARTIDA FZ-16 [PZ]</t>
  </si>
  <si>
    <t>RELEY PARTIDA FZN-150 (2.0)/YBA-125 [PZ]</t>
  </si>
  <si>
    <t>RELEY PARTIDA PULSAR-180 [PZ]</t>
  </si>
  <si>
    <t>RENOVADOR DE NEUMATICOS ''SENFINECO'' 400ML [OF]</t>
  </si>
  <si>
    <t>RENOVADOR DE NEUMATICOS ''SENFINECO'' 650ML [OF]</t>
  </si>
  <si>
    <t>RENOVADOR PLASTICO (250ML) [PZ]</t>
  </si>
  <si>
    <t>REPARACION BOMBA FRENO 11MM [PZ]</t>
  </si>
  <si>
    <t>SERVICIOS DE TALLER</t>
  </si>
  <si>
    <t>REPARACION BOMBA FRENO 12.7MM [PZ]</t>
  </si>
  <si>
    <t>REPARACION BOMBA FRENO 13MM [PZ]</t>
  </si>
  <si>
    <t>REPARACION BOMBA FRENO 14MM [PZ]</t>
  </si>
  <si>
    <t>REPARACION CALIPER JGO. [PZ]</t>
  </si>
  <si>
    <t>REPARACION CALIPER UNIVERSAL [PZ]</t>
  </si>
  <si>
    <t>REPARACION CARBURADOR CG-125 [PZ]</t>
  </si>
  <si>
    <t>KITS DE CARBURADOR</t>
  </si>
  <si>
    <t>REPARACION CARBURADOR CG-125/TITAN [PZ]</t>
  </si>
  <si>
    <t>REPARACION CARBURADOR CG-250 [PZ]</t>
  </si>
  <si>
    <t>REPARACION CARBURADOR PULSAR 200-NS [PZ]</t>
  </si>
  <si>
    <t>REPARACION CARBURADOR YBR-125 [PZ]</t>
  </si>
  <si>
    <t>REPARACION CARBURADOR YW-100 BWS [PZ]</t>
  </si>
  <si>
    <t>REPARACIÓN DE ESTATOR [OF]</t>
  </si>
  <si>
    <t>RESISTENCIA CB-190 [PZ]</t>
  </si>
  <si>
    <t>RESISTENCIA LUCES [PZ]</t>
  </si>
  <si>
    <t>RESORTE CABLE FRENO TRASERO UNIVERSAL [PZ]</t>
  </si>
  <si>
    <t>RESORTES</t>
  </si>
  <si>
    <t>RESORTE EMBRAGUE BY110-13/CG-100 [PZ]</t>
  </si>
  <si>
    <t>RESORTE EMBRAGUE FZ-16 [PZ]</t>
  </si>
  <si>
    <t>RESORTE PATA CENTRAL GN-125H [PZ]</t>
  </si>
  <si>
    <t>RESORTE PATA LATERAL GS-125 [PZ]</t>
  </si>
  <si>
    <t>RESORTE PATA LATERAL SPEED-125 [PZ]</t>
  </si>
  <si>
    <t>RESORTE PATA LATERAL UNIVERSAL    8CM [PZ]</t>
  </si>
  <si>
    <t>RESORTE PATA LATERAL UNIVERSAL [PZ]</t>
  </si>
  <si>
    <t>RESORTE PATA PARAR CENTRAL CG-125 [PZ]</t>
  </si>
  <si>
    <t>RESORTE PATA PARAR CENTRAL FZ-16 [PZ]</t>
  </si>
  <si>
    <t>RESORTE PATA PARAR CENTRAL UNIVERSAL [PZ]</t>
  </si>
  <si>
    <t>RESORTE PATA PARAR LATERAL CG-125 [PZ]</t>
  </si>
  <si>
    <t>RESORTE PATA PARAR LATERAL FZ-16 [OF]</t>
  </si>
  <si>
    <t>RESORTE PATIN FRENO RS-100 [PZ]</t>
  </si>
  <si>
    <t>RESORTE PATIN FRENO XL-125/XLR-125 [PZ]</t>
  </si>
  <si>
    <t>RESORTE PATIN FRENO YBR-125/XTZ-125 [PZ]</t>
  </si>
  <si>
    <t>RESORTE PEDAL FRENO (5.5CM) [PZ]</t>
  </si>
  <si>
    <t>RESORTE PEDAL FRENO PULSAR [PZ]</t>
  </si>
  <si>
    <t>RESORTE PEDAL FRENO UNIVERSAL [PZ]</t>
  </si>
  <si>
    <t>RESORTE PEDAL PARTIDA CG-125/150 [PZ]</t>
  </si>
  <si>
    <t>RESORTE PEDAL PARTIDA JH-70 [PZ]</t>
  </si>
  <si>
    <t>RESORTE VALVULA CBP-250/RE-250 (A) [PZ]</t>
  </si>
  <si>
    <t>RESORTE VALVULA CBP-250/RE-250 (B) [PZ]</t>
  </si>
  <si>
    <t>RESORTE VARILLA FRENO [PZ]</t>
  </si>
  <si>
    <t>RESORTES VALVULA. JGO. CG-125/CG-150/ [PZ]</t>
  </si>
  <si>
    <t>RESORTES VALVULA. JGO. PULSAR-200NS [PZ]</t>
  </si>
  <si>
    <t>RETEN  8-21-6 LAPIZ EMBRAGUE [PZ]</t>
  </si>
  <si>
    <t>RETENES</t>
  </si>
  <si>
    <t>RETEN  8-25-8 VF-400F LAPIZ EMBRAGUE [PZ]</t>
  </si>
  <si>
    <t>RETEN 10-20-06 GXT-200/GN-125H PALANCA EMBRAGUE [PZ]</t>
  </si>
  <si>
    <t>RETEN 10-20-06 GXT200/GN-125 PALANCA EMBRAGUE [PZ]</t>
  </si>
  <si>
    <t>RETEN 10-31-13.5 BOMBA DE AGUA YZF-R15 [PZ]</t>
  </si>
  <si>
    <t>RETEN 11-25-7 BOMBA AGUA [PZ]</t>
  </si>
  <si>
    <t>RETEN 11-25-7 CRF-250 BOMBA AGUA [OF]</t>
  </si>
  <si>
    <t>RETEN 12-20-5 XLX-250/350 JP DESCOMPRESOR [PZ]</t>
  </si>
  <si>
    <t>RETEN 12-20-5.5 BOXER-125 EJE CAMBIOS [PZ]</t>
  </si>
  <si>
    <t>RETEN 12-21-4 BOMBA AGUA [PZ]</t>
  </si>
  <si>
    <t>RETEN 12-22-05 PALANCA EMBRAGUE [PZ]</t>
  </si>
  <si>
    <t>RETEN 12-22-5 EJE CAMBIOS [PZ]</t>
  </si>
  <si>
    <t>RETEN 12-22-5 [OF]</t>
  </si>
  <si>
    <t>RETEN 14-24-6 EJE CAMBIOS [PZ]</t>
  </si>
  <si>
    <t>RETEN 14-25-05 DT-125 PALANCA EMBRAGUE [PZ]</t>
  </si>
  <si>
    <t>RETEN 15-25-7 EJE LEVAS [PZ]</t>
  </si>
  <si>
    <t>RETEN 16-28-7 CG-125 PEDAL PARTIDA [PZ]</t>
  </si>
  <si>
    <t>RETEN 16.5-25-5 EJE CAMBIOS [PZ]</t>
  </si>
  <si>
    <t>RETEN 18-40-7 [PZ]</t>
  </si>
  <si>
    <t>RETEN 18.9-28-5 MOTOR PARTIDA [PZ]</t>
  </si>
  <si>
    <t>RETEN 18.9-30-5 CG-100 PASSION/ST-70 CIGUEÑAL [PZ]</t>
  </si>
  <si>
    <t>RETEN 18.9-30-5 ST-70 CIGUEÑAL [PZ]</t>
  </si>
  <si>
    <t>RETEN 20-30-5 YBR-125 PEDAL PARTIDA [PZ]</t>
  </si>
  <si>
    <t>RETEN 20-32-6 YW-100 BWS CIGUEÑAL [PZ]</t>
  </si>
  <si>
    <t>RETEN 20-32-7 CIGUENAL [PZ]</t>
  </si>
  <si>
    <t>RETEN 20-36-7 XR-250R PIÑON ATAQUE [PZ]</t>
  </si>
  <si>
    <t>RETEN 20-36-7 [PZ]</t>
  </si>
  <si>
    <t>RETEN 20-38-5 PIÑON ATAQUE [PZ]</t>
  </si>
  <si>
    <t>RETEN 20-42-7 [PZ]</t>
  </si>
  <si>
    <t>RETEN 21.5-32-3.4/5 XR-250 PIÑON ATAQUE [PZ]</t>
  </si>
  <si>
    <t>RETEN 22-38-6 YW-100 BWS CIGUENAL [PZ]</t>
  </si>
  <si>
    <t>RETEN 24-35-7 [PZ]</t>
  </si>
  <si>
    <t>RETEN 25-35-6 YW-100 BWS PIÑON ATAQUE [PZ]</t>
  </si>
  <si>
    <t>RETEN 25-38-7 CIGUENAL [PZ]</t>
  </si>
  <si>
    <t>RETEN 25-40-7 KDX-200 CIGUEÑAL [PZ]</t>
  </si>
  <si>
    <t>RETEN 25-40-8 RS-125 CIGUEÑAL [PZ]</t>
  </si>
  <si>
    <t>RETEN 25-44-8 DT/BLASTER-200 CIGUEÑAL [PZ]</t>
  </si>
  <si>
    <t>RETEN 25-45-7 XR-600R PIÑON ATAQUE [PZ]</t>
  </si>
  <si>
    <t>RETEN 25-45-7 [PZ]</t>
  </si>
  <si>
    <t>RETEN 26-38-5 DT-125 PIÑON ATAQUE [PZ]</t>
  </si>
  <si>
    <t>RETEN 26-38-5 RS-100 PIÑON ATAQUE [PZ]</t>
  </si>
  <si>
    <t>RETEN 26-38-7 [PZ]</t>
  </si>
  <si>
    <t>RETEN 26-47-7.3 DS-80/FZ-50 CIGUEÑAL [PZ]</t>
  </si>
  <si>
    <t>RETEN 26-52-7 CIGUEÑAL [PZ]</t>
  </si>
  <si>
    <t>RETEN 27-39-10.5 MB-100/RS-100 HORQUILLA [PZ]</t>
  </si>
  <si>
    <t>RETEN 27-39-10.5 RS-100 HORQUILLA [PZ]</t>
  </si>
  <si>
    <t>RETEN 28-40-8 RS-100 JP CIGUEÑAL [PZ]</t>
  </si>
  <si>
    <t>RETEN 28-42-8 [PZ]</t>
  </si>
  <si>
    <t>RETEN 30-40.5-10.5 YBR-125/DT-100-KA-150/EN-125/AN-125 HORQUILLA [PZ]</t>
  </si>
  <si>
    <t>RETEN 30-42-8 RX-100/RX-125/RX-135 EJE TRASERO [PZ]</t>
  </si>
  <si>
    <t>RETEN 31-43-10.3 CBF-150 INVICTA HORQUILLA [PZ]</t>
  </si>
  <si>
    <t>RETEN 31-43-10.5 CB1-125/CB-125F TWISTER/STORM/NEW STORM/XR-125L/XR-150/CBF-150 INV HORQUILLA [PZ]</t>
  </si>
  <si>
    <t>RETEN 31-43-10.5 PULSAR-180/LX-125-4/ V-MEN HORQUILLA [PZ]</t>
  </si>
  <si>
    <t>RETEN 32-44-8 DT-200R/MTX-200R CIGUEÑAL [PZ]</t>
  </si>
  <si>
    <t>RETEN 32-44-9 KDX-125 CIGUEÑAL [PZ]</t>
  </si>
  <si>
    <t>RETEN 32-47-8 SUZUKI CIGUEÑAL [PZ]</t>
  </si>
  <si>
    <t>RETEN 33-45-08 YZF-R15/XV-250 HORQUILLA [PZ]</t>
  </si>
  <si>
    <t>RETEN 33-45-10 HORQUILLA [PZ]</t>
  </si>
  <si>
    <t>RETEN 33-45-8-10.5 ''VEDAMOTORS'' HORQUILLA [PZ]</t>
  </si>
  <si>
    <t>RETEN 33-46-11 YW-125 BWS HORQUILLA [PZ]</t>
  </si>
  <si>
    <t>RETEN 34-50-7 MOTOS CHINAS CIGUEÑAL [PZ]</t>
  </si>
  <si>
    <t>RETEN 35-48-10.5 XTZ-125/DT-125/175K HORQUILLA [PZ]</t>
  </si>
  <si>
    <t>RETEN 35-49-6 TRX-420FM EJE TRASERO [OF]</t>
  </si>
  <si>
    <t>RETEN 35-52-12 [PZ]</t>
  </si>
  <si>
    <t>RETEN 36-48-10.5 DT-200 HORQUILLA [PZ]</t>
  </si>
  <si>
    <t>RETEN 36-48-8 GPZ-400R HORQUILLA [PZ]</t>
  </si>
  <si>
    <t>RETEN 37-49-9.5 ''ATHENA'' HORQUILLA [PZ]</t>
  </si>
  <si>
    <t>RETEN 37-50-11 XL200/CB-190/SUPERLIGHT-200/RKS-125/RKV-150/RK-150 HORQUILLA [PZ]</t>
  </si>
  <si>
    <t>RETEN 38-50-08 FZR-400R HORQUILLA [PZ]</t>
  </si>
  <si>
    <t>RETEN 39-52-11 VF-750 HORQUILLA [PZ]</t>
  </si>
  <si>
    <t>RETEN 40-58-10 [PZ]</t>
  </si>
  <si>
    <t>RETEN 41-53-08 FZ-16/FZN-150 (2.0)/FZ-25/XR-250R/GIXXER/MT-03/YZF-R3/TNT25/TNT-300 HORQUILLA [PZ]</t>
  </si>
  <si>
    <t>RETEN 41-53-10.5 FZ-16/FZN-150 (2.0)/FZ-25/XR-250R/GIXXER/MT-03/YZF-R3/TNT25/TNT-300 HORQUILLA [PZ]</t>
  </si>
  <si>
    <t>RETEN 41-53.5-11 GIXXER-150 HORQUILLA [PZ]</t>
  </si>
  <si>
    <t>RETEN 41-54-11 XR-250 TORNADO HORQUILLA [PZ]</t>
  </si>
  <si>
    <t>RETEN 41-54-11 XR-250 TORNADO/XRE-300/CRM-250/XMM MOTORRAD HORQUILLA [PZ]</t>
  </si>
  <si>
    <t>RETEN 42-62-8 BLASTER 200 EJE TRASERO [PZ]</t>
  </si>
  <si>
    <t>RETEN 43-52.9-11.4 BMW-GS800F/DUKE-200/DUKE-390/DUKE-690 HORQUILLA [PZ]</t>
  </si>
  <si>
    <t>RETEN 43-54-11 CRF-250 HORQUILLA [PZ]</t>
  </si>
  <si>
    <t>RETEN 46-58-09.5 YZ/WR-400 HORQUILLA [PZ]</t>
  </si>
  <si>
    <t>RETEN 48.5-60-10 RM-250 (96/00) HORQUILLA [PZ]</t>
  </si>
  <si>
    <t>RETEN 49-60-10 HORQUILLA [PZ]</t>
  </si>
  <si>
    <t>RETENES MOTOR. JGO. ATV-110/125/150 [PZ]</t>
  </si>
  <si>
    <t>RETENES MOTOR. JGO. AX-4 [PZ]</t>
  </si>
  <si>
    <t>RETENES MOTOR. JGO. CB1-125/CB-125F TWISTER (15-28-7/14-22-5/17-29-5) [PZ]</t>
  </si>
  <si>
    <t>RETENES MOTOR. JGO. CBF-150 INVICTA [PZ]</t>
  </si>
  <si>
    <t>RETENES MOTOR. JGO. CG-125 (34-7-17/34-50-7/20-28-7/28-40-7) [PZ]</t>
  </si>
  <si>
    <t>RETENES MOTOR. JGO. CG-125/150 (34-50-7/20-34-7/16-28-7/14-28-7/6.5-14.5-7) [PZ]</t>
  </si>
  <si>
    <t>RETENES MOTOR. JGO. CRF-230 [PZ]</t>
  </si>
  <si>
    <t>RETENES MOTOR. JGO. FZ-16 (22-38-6 / 20-30-5 / 12-21-4 / 12-18-5 / 12-18-6) [PZ]</t>
  </si>
  <si>
    <t>RETENES MOTOR. JGO. GXT-200/DR-200 (27-40-6/10-20-5/12-22-9/15-25-5/16-24-5) [PZ]</t>
  </si>
  <si>
    <t>RETENES MOTOR. JGO. GXT-200/DR-200 (30-40-6/12-22-9/12-21-7/10-20-6) [PZ]</t>
  </si>
  <si>
    <t>RETENES MOTOR. JGO. SCOOTER (27-42-7/20-32-6/34-41-4/19.8-30-5)[PZ]</t>
  </si>
  <si>
    <t>RETENES MOTOR. JGO. SCOOTER 125/150 [PZ]</t>
  </si>
  <si>
    <t>RETENES MOTOR. JGO. XL-200/XR-200 BRASIL (20-34-7/15-25-7/14-28-7/12-22-5) [PZ]</t>
  </si>
  <si>
    <t>RETENES MOTOR. JGO. XR-250 TORNADO/CBX-250 (21.5-36-8/14-28-7/14-22-5/12-18-5) [PZ]</t>
  </si>
  <si>
    <t>RETENES MOTOR. JGO. XTZ-125 (20-38-5/20-30-5/12-21-4/12-18-5/12-18-6) [PZ]</t>
  </si>
  <si>
    <t>RETENES MOTOR. JGO. XTZ-250 (25-40-6/14-26-6/12-18-5) [PZ]</t>
  </si>
  <si>
    <t>RETENES MOTOR. JGO. YBR-125 (20-38-5/20-30-5/12-21-4/12-18-5/8-18-6) [PZ]</t>
  </si>
  <si>
    <t>RETENES MOTOR. JGO. YW-100 BWS (20/32-6/16-28-6/22-38-6/25-35-6/33-39-4) [PZ]</t>
  </si>
  <si>
    <t>RETENES MOTOR. JGO. YW-125 BWS (32-52-7/22-39-6/26-38-5/20-28-4/41-47-4) [PZ]</t>
  </si>
  <si>
    <t>RETENES MOTOR. JGO. YZF-R15 (20-35-5/12-22-5/10-18-6) [PZ]</t>
  </si>
  <si>
    <t>REX-150</t>
  </si>
  <si>
    <t>MOTOCICLETA: NUEVA&lt;br&gt;MARCA: EUROMOT&lt;br&gt;MODELO: REX-150&lt;br&gt;COMBUSTIBLE: 93 OCTANOS&lt;br&gt;COLOR: NEGRO&lt;br&gt;PESO BRUTO VEHICULAR: 136 KG&lt;br&gt;AÑO DE FABRICACIÓN: 2023&lt;br&gt;ESTADO: NUEVA SIN USO&lt;br&gt;Nº DE CHASIS: LD3PCK4J7N2000718&lt;br&gt;Nº DE MOTOR: KD162FMJ22409015</t>
  </si>
  <si>
    <t>MOTOCICLETA: NUEVA&lt;br&gt;MARCA: EUROMOT&lt;br&gt;MODELO: REX-150&lt;br&gt;COMBUSTIBLE: 93 OCTANOS&lt;br&gt;COLOR: NEGRO&lt;br&gt;PESO BRUTO VEHICULAR: 136 KG&lt;br&gt;AÑO DE FABRICACIÓN: 2023&lt;br&gt;ESTADO: NUEVA SIN USO&lt;br&gt;Nº DE CHASIS: LD3PCK4J8N2000596&lt;br&gt;Nº DE MOTOR: KD162FMJ22408937</t>
  </si>
  <si>
    <t>MOTOCICLETA: NUEVA&lt;br&gt;MARCA: EUROMOT&lt;br&gt;MODELO: REX-150&lt;br&gt;COMBUSTIBLE: 93 OCTANOS&lt;br&gt;COLOR: ROJO&lt;br&gt;PESO BRUTO VEHICULAR: 136 KG&lt;br&gt;AÑO DE FABRICACIÓN: 2023&lt;br&gt;ESTADO: NUEVA SIN USO&lt;br&gt;Nº DE CHASIS: LD3PCK4J3N2000764&lt;br&gt;Nº DE MOTOR: KD162FMJ22409002</t>
  </si>
  <si>
    <t>MOTOCICLETA: NUEVA&lt;br&gt;MARCA: EUROMOT&lt;br&gt;MODELO: REX-150&lt;br&gt;COMBUSTIBLE: 93 OCTANOS&lt;br&gt;COLOR: ROJO&lt;br&gt;PESO BRUTO VEHICULAR: 136 KG&lt;br&gt;AÑO DE FABRICACIÓN: 2023&lt;br&gt;ESTADO: NUEVA SIN USO&lt;br&gt;Nº DE CHASIS: LD3PCK4J4N2000787&lt;br&gt;Nº DE MOTOR: KD162FMJ22408940</t>
  </si>
  <si>
    <t>MOTOCICLETA: NUEVA&lt;br&gt;MARCA: EUROMOT&lt;br&gt;MODELO: REX-150&lt;br&gt;COMBUSTIBLE: 93 OCTANOS&lt;br&gt;COLOR: ROJO&lt;br&gt;PESO BRUTO VEHICULAR: 136 KG&lt;br&gt;AÑO DE FABRICACIÓN: 2023&lt;br&gt;ESTADO: NUEVA SIN USO&lt;br&gt;Nº DE CHASIS: LD3PCK4J6N2000760&lt;br&gt;Nº DE MOTOR: KD162FMJ22408841</t>
  </si>
  <si>
    <t>MOTOCICLETA: NUEVA&lt;br&gt;MARCA: EUROMOT&lt;br&gt;MODELO: REX-150&lt;br&gt;COMBUSTIBLE: 93 OCTANOS&lt;br&gt;COLOR: ROJO&lt;br&gt;PESO BRUTO VEHICULAR: 136 KG&lt;br&gt;AÑO DE FABRICACIÓN: 2023&lt;br&gt;ESTADO: NUEVA SIN USO&lt;br&gt;Nº DE CHASIS: LD3PCK4J8N2000789&lt;br&gt;Nº DE MOTOR: KD162FMJ22408968</t>
  </si>
  <si>
    <t>RODAMIENTO 06-19-6 ''AOF'' [PZ]</t>
  </si>
  <si>
    <t>RODAMIENTOS</t>
  </si>
  <si>
    <t>RODAMIENTO 07-19-6 ''AOF'' [PZ]</t>
  </si>
  <si>
    <t>RODAMIENTO 08-22-7 ''AOF'' [PZ]</t>
  </si>
  <si>
    <t>RODAMIENTO 08-24-08 ''ICHIBAN'' [PZ]</t>
  </si>
  <si>
    <t>RODAMIENTO 09-24-7 ''AOF'' [PZ]</t>
  </si>
  <si>
    <t>RODAMIENTO 10-26-08 ''AOF'' [PZ]</t>
  </si>
  <si>
    <t>RODAMIENTO 10-26-08 ''KOYO'' [PZ]</t>
  </si>
  <si>
    <t>RODAMIENTO 10-30-09 ''KOYO'' [PZ]</t>
  </si>
  <si>
    <t>RODAMIENTO 10-35-11 ''AOF'' [PZ]</t>
  </si>
  <si>
    <t>RODAMIENTO 10-35-11 ''ICHIBAN'' [PZ]</t>
  </si>
  <si>
    <t>RODAMIENTO 12-28-08 ''AOF'' [PZ]</t>
  </si>
  <si>
    <t>RODAMIENTO 12-28-08 ''ICHIBAN'' [PZ]</t>
  </si>
  <si>
    <t>RODAMIENTO 12-28-08 ''NTN'' [PZ]</t>
  </si>
  <si>
    <t>RODAMIENTO 12-28-08 ''SKF'' [PZ]</t>
  </si>
  <si>
    <t>RODAMIENTO 12-32-10 ''AOF'' [PZ]</t>
  </si>
  <si>
    <t>RODAMIENTO 12-32-10 ''KOYO'' [PZ]</t>
  </si>
  <si>
    <t>RODAMIENTO 12-32-10 [PZ]</t>
  </si>
  <si>
    <t>RODAMIENTO 12-37-12 ''AOF'' [PZ]</t>
  </si>
  <si>
    <t>RODAMIENTO 13-37-12 (63/13) CONTRAPESO [OF]</t>
  </si>
  <si>
    <t>RODAMIENTO 15-28-07 ''KOYO'' [PZ]</t>
  </si>
  <si>
    <t>RODAMIENTO 15-32-09 ''AOF'' [PZ]</t>
  </si>
  <si>
    <t>RODAMIENTO 15-32-09 ''KOYO'' [PZ]</t>
  </si>
  <si>
    <t>RODAMIENTO 15-35-11 ''AOF'' [PZ]</t>
  </si>
  <si>
    <t>RODAMIENTO 15-42-13 ''AOF'' [PZ]</t>
  </si>
  <si>
    <t>RODAMIENTO 17-30-7 ''AOF'' [PZ]</t>
  </si>
  <si>
    <t>RODAMIENTO 17-35-10 ''AOF'' [PZ]</t>
  </si>
  <si>
    <t>RODAMIENTO 17-35-10 ''ICHIBAN'' [PZ]</t>
  </si>
  <si>
    <t>RODAMIENTO 17-35-10 ''NTN'' [PZ]</t>
  </si>
  <si>
    <t>RODAMIENTO 17-40-12 ''AOF'' [PZ]</t>
  </si>
  <si>
    <t>RODAMIENTO 17-47-14 ''ICHIBAN'' [PZ]</t>
  </si>
  <si>
    <t>RODAMIENTO 17-47-14 ''KOYO'' [PZ]</t>
  </si>
  <si>
    <t>RODAMIENTO 18-37-9 EJE LEVAS XR-600 [OF]</t>
  </si>
  <si>
    <t>RODAMIENTO 20-37-9 ''AOF'' [PZ]</t>
  </si>
  <si>
    <t>RODAMIENTO 20-42-12 ''AOF'' [PZ]</t>
  </si>
  <si>
    <t>RODAMIENTO 20-42-12 ZZ ''ICHIBAN'' [PZ]</t>
  </si>
  <si>
    <t>RODAMIENTO 20-47-14 ''AOF'' [PZ]</t>
  </si>
  <si>
    <t>RODAMIENTO 20-47-14 ''ICHIBAN'' [PZ]</t>
  </si>
  <si>
    <t>RODAMIENTO 20-47-18 ''AOF'' [PZ]</t>
  </si>
  <si>
    <t>RODAMIENTO 20-52-15 ''ICHIBAN'' [PZ]</t>
  </si>
  <si>
    <t>RODAMIENTO 20-52-15 ''KOYO'' [PZ]</t>
  </si>
  <si>
    <t>RODAMIENTO 22-44-12 ''KOYO'' [PZ]</t>
  </si>
  <si>
    <t>RODAMIENTO 22-50-14 ''KOYO'' [PZ]</t>
  </si>
  <si>
    <t>RODAMIENTO 25-42-09 ''KOYO'' [PZ]</t>
  </si>
  <si>
    <t>RODAMIENTO 25-47-12 ''AOF'' [PZ]</t>
  </si>
  <si>
    <t>RODAMIENTO 25-47-12 ''ICHIBAN'' [PZ]</t>
  </si>
  <si>
    <t>RODAMIENTO 25-47-12 ''KOYO'' [PZ]</t>
  </si>
  <si>
    <t>RODAMIENTO 25-47-15 ''AOF'' CÓNICO [PZ]</t>
  </si>
  <si>
    <t>RODAMIENTO 25-52-15 ''AOF'' CÓNICO [PZ]</t>
  </si>
  <si>
    <t>RODAMIENTO 25-52-15 ''AOF'' [PZ]</t>
  </si>
  <si>
    <t>RODAMIENTO 25-62-12 ''ICHIBAN'' CIGUEÑAL VESPA [PZ]</t>
  </si>
  <si>
    <t>RODAMIENTO 25-62-16 YFS-200 ''KOYO'' CIGUEÑAL [PZ]</t>
  </si>
  <si>
    <t>RODAMIENTO 25-62-17 ''AOF'' [PZ]</t>
  </si>
  <si>
    <t>RODAMIENTO 25-62-17 ''ICHIBAN'' [PZ]</t>
  </si>
  <si>
    <t>RODAMIENTO 25-62-17 ''KOYO'' [PZ]</t>
  </si>
  <si>
    <t>RODAMIENTO 26-47-15 CBX-250 TWISTER DIRECCION [PZ]</t>
  </si>
  <si>
    <t>RODAMIENTO 28-52-17 WR-250 DIRECCION [PZ]</t>
  </si>
  <si>
    <t>RODAMIENTO 28-58-16 ''KOYO'' [PZ]</t>
  </si>
  <si>
    <t>RODAMIENTO 28-68-18 CIGUEÑAL ''ALLEN'' [PZ]</t>
  </si>
  <si>
    <t>RODAMIENTO 28-72-18 ''ICHIBAN'' C/TAPA CIGUEÑAL [PZ]</t>
  </si>
  <si>
    <t>RODAMIENTO 28-76-18 CBX-250/TORNADO-250 CIGUEÑAL [PZ]</t>
  </si>
  <si>
    <t>RODAMIENTO 30-47-9 [PZ]</t>
  </si>
  <si>
    <t>RODAMIENTO 30-55-13 ''AOF'' [PZ]</t>
  </si>
  <si>
    <t>RODAMIENTO 30-55-13 ''KOYO'' [PZ]</t>
  </si>
  <si>
    <t>RODAMIENTO 30-55-17 ''AOF'' [PZ]</t>
  </si>
  <si>
    <t>RODAMIENTO 30-55-17 DIRECCION V-STROM-650 [PZ]</t>
  </si>
  <si>
    <t>RODAMIENTO 30-62-16 ''ICHIBAN'' [PZ]</t>
  </si>
  <si>
    <t>RODAMIENTO 30-72-17 ''FAG'' [PZ]</t>
  </si>
  <si>
    <t>RODAMIENTO 30-72-19 ''ICHIBAN'' [PZ]</t>
  </si>
  <si>
    <t>RODAMIENTO 35-12-17 ''KOYO'' [PZ]</t>
  </si>
  <si>
    <t>RODAMIENTO 35-62-14 ''AOF'' [PZ]</t>
  </si>
  <si>
    <t>RODAMIENTO 35-72-17 ''KOYO''/''NSK'' [PZ]</t>
  </si>
  <si>
    <t>RODAMIENTO 35-72-17 GN-125H ''ICHIBAN'' CIGUEÑAL [PZ]</t>
  </si>
  <si>
    <t>RODAMIENTO 35-80-21 ''ICHIBAN'' [PZ]</t>
  </si>
  <si>
    <t>RODAMIENTO 40-62-12 ''NSK'' [PZ]</t>
  </si>
  <si>
    <t>40mm 62mm 12mm</t>
  </si>
  <si>
    <t>RODAMIENTO 40-68-15 ''AOF'' [PZ]</t>
  </si>
  <si>
    <t>RODAMIENTO 40-70-15 [PZ]</t>
  </si>
  <si>
    <t>RODAMIENTO 40-80-19.75 ''AOF'' [PZ]</t>
  </si>
  <si>
    <t>RODILLERAS Y CODERAS. JGO. AXO [PZ]</t>
  </si>
  <si>
    <t>RODILLERAS Y CODERAS. JGO. COBRA [PZ]</t>
  </si>
  <si>
    <t>RODILLERAS Y CODERAS. JGO. UNIVERSAL [PZ]</t>
  </si>
  <si>
    <t>RODILLERAS Y CODERAS. JGO. [PZ]</t>
  </si>
  <si>
    <t>RODILLERAS. JGO. LEATT (AMARILLO) [PZ]</t>
  </si>
  <si>
    <t>RODILLERAS. JGO. LEATT (BLANCO) [PZ]</t>
  </si>
  <si>
    <t>RODILLERAS. JGO. LEATT (CELESTE) [PZ]</t>
  </si>
  <si>
    <t>ROTOR BOMBA ACEITE CBF-150 INVICTA/XR-150 ''VINI'' [IM]</t>
  </si>
  <si>
    <t>ROTOR BOMBA ACEITE CG-125 (62.5MM) [PZ]</t>
  </si>
  <si>
    <t>ROTOR BOMBA ACEITE CG-125 (72MM) [PZ]</t>
  </si>
  <si>
    <t>ROTOR BOMBA ACEITE CG-200/RENEGADE ''VINI'' [IM]</t>
  </si>
  <si>
    <t>ROTOR BOMBA ACEITE XR-125/XR-150 [PZ]</t>
  </si>
  <si>
    <t>RUEDA COMPLETA XTZ-125 DELANTERA [PZ]</t>
  </si>
  <si>
    <t>RUEDAS</t>
  </si>
  <si>
    <t>SEGURO PIÑON ATAQUE AX-100 [PZ]</t>
  </si>
  <si>
    <t>SEGUROS</t>
  </si>
  <si>
    <t>SEGURO PIÑON ATAQUE CB1-125/CB125F TWISTER/EXPRESS-100 [PZ]</t>
  </si>
  <si>
    <t>SEGURO PIÑON ATAQUE CG-100/XTZ-150 [PZ]</t>
  </si>
  <si>
    <t>SEGURO PIÑON ATAQUE CG-125 [PZ]</t>
  </si>
  <si>
    <t>SEGURO PIÑON ATAQUE NX-400 FALCON/XR-400R [PZ]</t>
  </si>
  <si>
    <t>SEGURO PIÑON ATAQUE ST-70 [PZ]</t>
  </si>
  <si>
    <t>SEGURO PIÑON ATAQUE XR-250 TORNADO/XRE-300 [PZ]</t>
  </si>
  <si>
    <t>SEGURO PIÑON ATAQUE YBR-125 [PZ]</t>
  </si>
  <si>
    <t>SEGUROS SEGER SET BICIMOTO 49CC (ST-50) [PZ]</t>
  </si>
  <si>
    <t>SEGUROS VALVULA. JGO. MOTOMEL [PZ]</t>
  </si>
  <si>
    <t>SELLADOR NEUMATICO P/CAMARA [PZ]</t>
  </si>
  <si>
    <t>SELLO VALVULA 4.5MM [PZ]</t>
  </si>
  <si>
    <t>SELLO VALVULA AG-200/XT-200 [PZ]</t>
  </si>
  <si>
    <t>SELLO VALVULA CG-125/XL-125/185 [PZ]</t>
  </si>
  <si>
    <t>SELLOS DE VÁLVULA</t>
  </si>
  <si>
    <t>SELLO VALVULA CRYPTON 110 (4SV) (1WG) [PZ]</t>
  </si>
  <si>
    <t>SELLO VALVULA DR-125 [PZ]</t>
  </si>
  <si>
    <t>SELLO VALVULA DR-250/350 [PZ]</t>
  </si>
  <si>
    <t>SELLO VALVULA PULSAR-200NS [PZ]</t>
  </si>
  <si>
    <t>SELLO VALVULA TTR-250/FZ-400 [OF]</t>
  </si>
  <si>
    <t>SELLO VALVULA XR-250 96/04 (5.0MM) [PZ]</t>
  </si>
  <si>
    <t>SELLO VALVULA XR-600 [PZ]</t>
  </si>
  <si>
    <t>SELLO VALVULA YD-110/YBR-125/XTZ-125/CB-190 (4.5MM) [PZ]</t>
  </si>
  <si>
    <t>SELLOS VALVULA JGO. CG-125/XL-125/185 [PZ]</t>
  </si>
  <si>
    <t>SENSOR CTA. KM. JL150-30/LX180NK [PZ]</t>
  </si>
  <si>
    <t>SEPARADOR EMBRAGUE FZ-16/XR-250/XRE-300 [PZ]</t>
  </si>
  <si>
    <t>SEPARADORES EMBRAGUE. JGO. CG-125/HJ125 7 [PZ]</t>
  </si>
  <si>
    <t>SEPARADORES EMBRAGUE. JGO. YBR-125 [PZ]</t>
  </si>
  <si>
    <t>SILICONA AEROSOL ''MANNOL'' 450ML [OF]</t>
  </si>
  <si>
    <t>SILICONA AEROSOL (GLEPGO) LIMON [PZ]</t>
  </si>
  <si>
    <t>SILICONA GASKET GRIS ''ARLON'' [PZ]</t>
  </si>
  <si>
    <t>SILICONA GASKET NEGRA ''SENFINECO'' 100G [OF]</t>
  </si>
  <si>
    <t>SILICONA GASKET ROJA ''SENFINECO'' 100G [OF]</t>
  </si>
  <si>
    <t>SISTEMA FIJACION MICA GHB 626  PAR [PZ]</t>
  </si>
  <si>
    <t>SISTEMA FRENO DELANTERO PIT BIKE [PZ]</t>
  </si>
  <si>
    <t>SOPORTE ACCESORIOS (TIPO FIBRA) [PZ]</t>
  </si>
  <si>
    <t>SOPORTE BALANCINES CBF-150 INVICTA ''VINI'' [IM]</t>
  </si>
  <si>
    <t>SOPORTE BALANCINES CG-125 ''VINI'' [IM]</t>
  </si>
  <si>
    <t>SOPORTE BALANCINES CG-125 [PZ]</t>
  </si>
  <si>
    <t>SOPORTE BALANCINES CGL-125 ''VINI'' [IM]</t>
  </si>
  <si>
    <t>SOPORTE FOCO SEÑALIZADOR UNIVERSAL [PZ]</t>
  </si>
  <si>
    <t>SOPORTE NEBLINERO PARA MANUBRIO [PZ]</t>
  </si>
  <si>
    <t>SOPORTE PEDALINES CG-125 C/PATA LATERAL [PZ]</t>
  </si>
  <si>
    <t>SOPORTE PORTA PATENTE FZ-25 [PZ]</t>
  </si>
  <si>
    <t>SOPORTE TAPABARRO DELANTERO HONDA-NAVI [PZ]</t>
  </si>
  <si>
    <t>SOPORTES PEDALINES TRASEROS. JGO. YBR-125 [PZ]</t>
  </si>
  <si>
    <t>SPEED SHOOTER ''LIQUI MOLY'' 80ML [OF]</t>
  </si>
  <si>
    <t>SPRAY ANTIOXIDO ''LIQUI MOLY'' 300 ML. [PZ]</t>
  </si>
  <si>
    <t>SPRAY ANTIOXIDO ''SENFINECO'' 400ML [OF]</t>
  </si>
  <si>
    <t>SPRAY LIMPIA CADENAS ''IPONE'' 750ML [OF]</t>
  </si>
  <si>
    <t>SPRAY LIMPIA CADENAS ''LIQUI MOLY'' 500ML. [OF]</t>
  </si>
  <si>
    <t>SPRAY LIMPIA CADENAS ''REPSOL'' 400ML [OF]</t>
  </si>
  <si>
    <t>SPRAY LIMPIA CADENAS ''REPSOL'' 400ML. [OF]</t>
  </si>
  <si>
    <t>SPRAY LIMPIA CADENAS ''SENFINECO'' 500ML [OF]</t>
  </si>
  <si>
    <t>SPRAY LIMPIA CARBURADOR ''HQ'' [PZ]</t>
  </si>
  <si>
    <t>SPRAY MULTIUSOS ''JP ONE'' WT-40 [PZ]</t>
  </si>
  <si>
    <t>SPRAY MULTIUSOS ''LIQUI MOLY'' LM-40 [OF]</t>
  </si>
  <si>
    <t>SPRAY MULTIUSOS ''SENFINECO'' SO-40 400ML [OF]</t>
  </si>
  <si>
    <t>SPRAY PASTA DE COBRE ''SENFINECO'' 400ML [OF]</t>
  </si>
  <si>
    <t>SPRAY REPARA PINCHAZOS ''IPONE'' 200ML. [PZ]</t>
  </si>
  <si>
    <t>SPRAY REPARA PINCHAZOS ''LIQUI MOLY'' 300ML. [OF]</t>
  </si>
  <si>
    <t>SPRAY REPARA PINCHAZOS ''SENFINECO'' 450ML [OF]</t>
  </si>
  <si>
    <t>SPRAY REPARA PINCHAZOS 450ML [PZ]</t>
  </si>
  <si>
    <t>SWITCH EMBRAGUE CG-125 [PZ]</t>
  </si>
  <si>
    <t>SWITCH EMBRAGUE Y FRENO CGL-125 [PZ]</t>
  </si>
  <si>
    <t>SWITCH EMBRAGUE YZF-R15 [PZ]</t>
  </si>
  <si>
    <t>SWITCH FRENO DELANTERO CG-125 [PZ]</t>
  </si>
  <si>
    <t>SWITCH FRENO DELANTERO CGL [PZ]</t>
  </si>
  <si>
    <t>SWITCH FRENO DELANTERO NXR-150 [PZ]</t>
  </si>
  <si>
    <t>SWITCH FRENO DELANTERO UNIVERSAL [PZ]</t>
  </si>
  <si>
    <t>SWITCHS</t>
  </si>
  <si>
    <t>SWITCH FRENO DELANTERO YAMAHA [PZ]</t>
  </si>
  <si>
    <t>SWITCH FRENO DELANTERO YBR-125 [PZ]</t>
  </si>
  <si>
    <t>SWITCH FRENO DELANTERO [PZ]</t>
  </si>
  <si>
    <t>SWITCH FRENO TRASERO (PARA BOMBA) 35MM. [PZ]</t>
  </si>
  <si>
    <t>SWITCH FRENO TRASERO (PARA BOMBA) [PZ]</t>
  </si>
  <si>
    <t>SWITCH FRENO TRASERO SPEED [PZ]</t>
  </si>
  <si>
    <t>SWITCH</t>
  </si>
  <si>
    <t>SWITCH FRENO TRASERO UNIVERSAL [PZ]</t>
  </si>
  <si>
    <t>SWITCH FRENO UNIVERSAL ''VINI'' [IM]</t>
  </si>
  <si>
    <t>SWITCH NEUTRO CTX-200 [PZ]</t>
  </si>
  <si>
    <t>TABLERO BICIMOTO 49CC (ST-50) [PZ]</t>
  </si>
  <si>
    <t>TABLEROS</t>
  </si>
  <si>
    <t>TABLERO COMPLETO CG [PZ]</t>
  </si>
  <si>
    <t>TABLERO COMPLETO CG-125 [PZ]</t>
  </si>
  <si>
    <t>TABLERO COMPLETO FZ-16 2.0 [PZ]</t>
  </si>
  <si>
    <t>TABLERO COMPLETO FZ-16 [PZ]</t>
  </si>
  <si>
    <t>TABLERO COMPLETO LX125-4 [PZ]</t>
  </si>
  <si>
    <t>TABLERO COMPLETO MOTORRAD TTX-300/XRE-300 [PZ]</t>
  </si>
  <si>
    <t>TABLERO COMPLETO PULSAR-200NS [PZ]</t>
  </si>
  <si>
    <t>TABLERO COMPLETO SPEED 125 CLASIC [PZ]</t>
  </si>
  <si>
    <t>TABLERO COMPLETO TTX-250 [PZ]</t>
  </si>
  <si>
    <t>TABLERO COMPLETO UNIVERSAL DIGITAL [PZ]</t>
  </si>
  <si>
    <t>TABLERO COMPLETO UNIVERSAL [PZ]</t>
  </si>
  <si>
    <t>TABLERO COMPLETO XR-150L [PZ]</t>
  </si>
  <si>
    <t>TABLERO COMPLETO YBR-125 [PZ]</t>
  </si>
  <si>
    <t>TAPA ASPA VENTILADOR SCOOTER [PZ]</t>
  </si>
  <si>
    <t>TAPAS</t>
  </si>
  <si>
    <t>TAPA COLA TRASERA INFERIOR HONDA-NAVI [PZ]</t>
  </si>
  <si>
    <t>TAPA COLA TRASERA SUPERIOR HONDA-NAVI [PZ]</t>
  </si>
  <si>
    <t>TAPA CUBRE CHAPA CONTACTO KA-150 [PZ]</t>
  </si>
  <si>
    <t>TAPA CUBRE ESTANQUE CENTRAL FZ-16 [PZ]</t>
  </si>
  <si>
    <t>TAPA CUBRE FOCO DELANTERO CENTRAL KA-150 [PZ]</t>
  </si>
  <si>
    <t>TAPA CUBRE FOCO DELANTERO FZ-16 (SUP) [PZ]</t>
  </si>
  <si>
    <t>TAPA CUBRE FOCO DELANTERO FZN-150 (2.0) [PZ]</t>
  </si>
  <si>
    <t>TAPA CUBRE FOCO DELANTERO GIXXER-150 (NEGRO) [PZ]</t>
  </si>
  <si>
    <t>TAPA CUBRE FOCO DELANTERO REX-150 ''DERECHO'' [PZ]</t>
  </si>
  <si>
    <t>TAPA CUBRE FOCO DELANTERO REX-150 ''IZQUIERDO'' [PZ]</t>
  </si>
  <si>
    <t>TAPA CUBRE FOCO DELANTERO XR-190 [PZ]</t>
  </si>
  <si>
    <t>TAPA CUBRE FOCO DELANTERO YBR-125 Z [PZ]</t>
  </si>
  <si>
    <t>TAPA CUBRE FOCO DELANTERO YBR-Z 125 [PZ]</t>
  </si>
  <si>
    <t>TAPA CUBRE FOCO INFERIOR FZN-150 (2.0)</t>
  </si>
  <si>
    <t>TAPA CUBRE TABLERO CBF-150 INVICTA [PZ]</t>
  </si>
  <si>
    <t>TAPA ESTANQUE BENCINA AN-125 [PZ]</t>
  </si>
  <si>
    <t>TAPA ESTANQUE BENCINA ATV [PZ]</t>
  </si>
  <si>
    <t>TAPA ESTANQUE BENCINA ATV/ [PZ]</t>
  </si>
  <si>
    <t>TAPA ESTANQUE BENCINA AX-100/HJ-125 ''VINI'' [IM]</t>
  </si>
  <si>
    <t>TAPA ESTANQUE BENCINA CBF-150 INVICTA [PZ]</t>
  </si>
  <si>
    <t>TAPA ESTANQUE BENCINA CBT-250 [PZ]</t>
  </si>
  <si>
    <t>TAPA ESTANQUE BENCINA CG-125 [PZ]</t>
  </si>
  <si>
    <t>TAPA ESTANQUE BENCINA GIXXER-150 ''VINI'' [IM]</t>
  </si>
  <si>
    <t>TAPA ESTANQUE BENCINA GL-150 [PZ]</t>
  </si>
  <si>
    <t>TAPA ESTANQUE BENCINA GN-125H [PZ]</t>
  </si>
  <si>
    <t>TAPA ESTANQUE BENCINA GS-125 [PZ]</t>
  </si>
  <si>
    <t>TAPA ESTANQUE BENCINA GXT-200 [PZ]</t>
  </si>
  <si>
    <t>TAPA ESTANQUE BENCINA PIT BIKE [PZ]</t>
  </si>
  <si>
    <t>TAPA ESTANQUE BENCINA SCOOTER [PZ]</t>
  </si>
  <si>
    <t>TAPA ESTANQUE BENCINA SCOOTER/TIPO GY [PZ]</t>
  </si>
  <si>
    <t>TAPA ESTANQUE BENCINA UNIVERSAL [PZ]</t>
  </si>
  <si>
    <t>TAPA ESTANQUE BENCINA XR-250 TORNADO/CB1-125/CB-125F TWISTER/STORM-125/CBX-250 ''VINI'' [IM]</t>
  </si>
  <si>
    <t>TAPA ESTANQUE BENCINA XTZ-125 [PZ]</t>
  </si>
  <si>
    <t>TAPAS DE ESTANQUE</t>
  </si>
  <si>
    <t>TAPA ESTANQUE BENCINA YBR-125 [PZ]</t>
  </si>
  <si>
    <t>TAPA FILTRO DRENAJE ACEITE GN-125/GS-150/GXT-200/RKS-125/RKS-150 ''VINI'' [IM]</t>
  </si>
  <si>
    <t>TAPA LATERAL FOCO (DEL/IZQ) KA-150 [PZ]</t>
  </si>
  <si>
    <t>TAPA LATERAL IZQUIERDA KA-150 [PZ]</t>
  </si>
  <si>
    <t>TAPA LATERAL TRA/INF/DER VS-125 [PZ]</t>
  </si>
  <si>
    <t>TAPA LATERAL TRA/SUP/DER VS-125 [PZ]</t>
  </si>
  <si>
    <t>TAPA PARABRISAS KA-150 [PZ]</t>
  </si>
  <si>
    <t>TAPA RADIADOR [PZ]</t>
  </si>
  <si>
    <t>TAPONES</t>
  </si>
  <si>
    <t>TAPA SILENCIADOR FZ-16 (COLA) [PZ]</t>
  </si>
  <si>
    <t>TAPA TIRA CADENA KA-150 [PZ]</t>
  </si>
  <si>
    <t>TAPA TOMA DE AIRE FZN-150 2.0 [PZ]</t>
  </si>
  <si>
    <t>TAPA VALVULA NEUMATICO (AZUL) [PZ]</t>
  </si>
  <si>
    <t>TAPA VALVULA NEUMATICO (CROMADO) [PZ]</t>
  </si>
  <si>
    <t>TAPA VALVULA NEUMATICO (DORADO) [PZ]</t>
  </si>
  <si>
    <t>TAPA VALVULA NEUMATICO (NEGRO) [PZ]</t>
  </si>
  <si>
    <t>TAPA VALVULA NEUMATICO (ROJO) [PZ]</t>
  </si>
  <si>
    <t>TAPABARRO DELANTERO CB-125 [PZ]</t>
  </si>
  <si>
    <t>TAPABARROS</t>
  </si>
  <si>
    <t>TAPABARRO DELANTERO CBF125 TWISTER (ROJO) [PZ]</t>
  </si>
  <si>
    <t>TAPABARRO DELANTERO FZ-16 (2.0) [PZ]</t>
  </si>
  <si>
    <t>TAPABARRO DELANTERO FZ-16 [PZ]</t>
  </si>
  <si>
    <t>TAPABARRO DELANTERO GL-150 ''NEGRO'' [PZ]</t>
  </si>
  <si>
    <t>TAPABARRO DELANTERO GN-125H [PZ]</t>
  </si>
  <si>
    <t>CROMADO</t>
  </si>
  <si>
    <t>TAPABARRO DELANTERO HONDA-NAVI [PZ]</t>
  </si>
  <si>
    <t>TAPABARRO DELANTERO INFERIOR XRE-300 [PZ]</t>
  </si>
  <si>
    <t>TAPABARRO DELANTERO KA-150 (NARANJO) [PZ]</t>
  </si>
  <si>
    <t>TAPABARRO DELANTERO KA-150 NEGRO [PZ]</t>
  </si>
  <si>
    <t>TAPABARRO DELANTERO NK-150 [PZ]</t>
  </si>
  <si>
    <t>TAPABARRO DELANTERO PULSAR-160NS [PZ]</t>
  </si>
  <si>
    <t>GRIS</t>
  </si>
  <si>
    <t>TAPABARRO DELANTERO PULSAR-200NS [PZ]</t>
  </si>
  <si>
    <t>TAPABARRO DELANTERO SUPERIOR XRE-300 [PZ]</t>
  </si>
  <si>
    <t>TAPABARRO DELANTERO XL-125 [PZ]</t>
  </si>
  <si>
    <t>TAPABARRO DELANTERO XR-150L [PZ]</t>
  </si>
  <si>
    <t>TAPABARRO DELANTERO XR-250 TORNADO [PZ]</t>
  </si>
  <si>
    <t>TAPABARRO DELANTERO YBR-125 (AZUL) [PZ]</t>
  </si>
  <si>
    <t>TAPABARRO DELANTERO YBR-125 (NEGRO) [PZ]</t>
  </si>
  <si>
    <t>TAPABARRO DELANTERO YBR-125 (ROJO) [PZ]</t>
  </si>
  <si>
    <t>TAPABARRO TRASERO CHOPPER [PZ]</t>
  </si>
  <si>
    <t>TAPABARRO TRASERO FZ-25 [PZ]</t>
  </si>
  <si>
    <t>TAPABARRO TRASERO FZN-150 (2.0) [PZ]</t>
  </si>
  <si>
    <t>TAPABARRO TRASERO HONDA-NAVI [PZ]</t>
  </si>
  <si>
    <t>TAPABARRO TRASERO INTERIOR FZ-16 [PZ]</t>
  </si>
  <si>
    <t>TAPABARRO TRASERO INTERIOR FZ-25 [PZ]</t>
  </si>
  <si>
    <t>TAPABARRO TRASERO KA-150 [PZ]</t>
  </si>
  <si>
    <t>TAPABARRO TRASERO XR-150L [PZ]</t>
  </si>
  <si>
    <t>TAPABARRO TRASERO XR-250 TORNADO [PZ]</t>
  </si>
  <si>
    <t>TAPABARRO TRASERO XRE-300 [PZ]</t>
  </si>
  <si>
    <t>TAPABARRO TRASERO XTZ-125 [PZ]</t>
  </si>
  <si>
    <t>TAPAS CUBRE ESTANQUE. JGO. FZ-16 2.0 [PZ]</t>
  </si>
  <si>
    <t>TAPAS CUBRE ESTANQUE. JGO. FZ-16 [PZ]</t>
  </si>
  <si>
    <t>TAPAS CUBRE ESTANQUE. JGO. NK-150 [PZ]</t>
  </si>
  <si>
    <t>TAPAS CUBRE ESTANQUE. JGO. XR-250 TORNADO [PZ]</t>
  </si>
  <si>
    <t>TAPAS CUBRE ESTANQUE. JGO. XRE-300 (INFERIORES) [PZ]</t>
  </si>
  <si>
    <t>TAPAS CUBRE ESTANQUE. JGO. XRE-300 (SUPERIORES) [PZ]</t>
  </si>
  <si>
    <t>TAPAS CUBRE ESTANQUE. JGO. XTZ-125 (BLANCO) [PZ]</t>
  </si>
  <si>
    <t>TAPAS CUBRE FILTRO JGO. XR-250 TORNADO [PZ]</t>
  </si>
  <si>
    <t>TAPAS CUBRE FOCO DEL.. JGO. FZ-16 (AZUL) [PZ]</t>
  </si>
  <si>
    <t>TAPAS CUBRE FOCO DEL.. JGO. FZ-16 (GRIS) [PZ]</t>
  </si>
  <si>
    <t>TAPAS CUBRE FOCO DEL.. JGO. FZ-16 (ROJO) [PZ]</t>
  </si>
  <si>
    <t>TAPAS CUBRE FOCO DEL.. JGO. FZ-16 [PZ]</t>
  </si>
  <si>
    <t>TAPAS CUBRE FOCO DEL.. JGO. NEW-INVICTA (NEGRO) [PZ]</t>
  </si>
  <si>
    <t>TAPAS CUBRE FOCO DELANTERO. JGO. CB-190R (LATERALES)</t>
  </si>
  <si>
    <t>BLANCO/ROJO</t>
  </si>
  <si>
    <t>TAPAS LATERALES CENTRALES. JGO. FZ-16 (NEGRO) [PZ]</t>
  </si>
  <si>
    <t>TAPAS LATERALES CENTRALES. JGO. FZ-16 (ROJO) [PZ]</t>
  </si>
  <si>
    <t>TAPAS LATERALES CENTRALES. JGO. FZ-16 [PZ]</t>
  </si>
  <si>
    <t>TAPAS LATERALES CENTRALES. JGO. NK-150 [PZ]</t>
  </si>
  <si>
    <t>TAPAS LATERALES COLA. JGO. NK-150 [PZ]</t>
  </si>
  <si>
    <t>TAPAS LATERALES TRASERAS. JGO. FZ-16 (NEGRO) [PZ]</t>
  </si>
  <si>
    <t>TAPAS LATERALES TRASERAS. JGO. FZ-16 (ROJO) [PZ]</t>
  </si>
  <si>
    <t>TAPAS LATERALES TRASERAS. JGO. FZ-16 [PZ]</t>
  </si>
  <si>
    <t>TAPAS LATERALES TRASERAS. JGO. NK-150 [PZ]</t>
  </si>
  <si>
    <t>TAPAS LATERALES TRASERAS. JGO. XRE-300 [PZ]</t>
  </si>
  <si>
    <t>TAPAS LATERALES. JGO. GN-125H [PZ]</t>
  </si>
  <si>
    <t>TAPAS LATERALES. JGO. HONDA-NAVI [PZ]</t>
  </si>
  <si>
    <t>TAPAS LATERALES. JGO. NK-150 [PZ]</t>
  </si>
  <si>
    <t>TAPAS LATERALES. JGO. STORM-125 [PZ]</t>
  </si>
  <si>
    <t>TAPAS LATERALES. JGO. TRASERAS SUP. STORM-125 [PZ]</t>
  </si>
  <si>
    <t>TAPAS LATERALES. JGO. XR-190 (NEGRO) [PZ]</t>
  </si>
  <si>
    <t>TAPAS LATERALES. JGO. XR-250 TORNADO (NEGRO) [PZ]</t>
  </si>
  <si>
    <t>TAPAS LATERALES. JGO. YBR-125 (NEGRO) [PZ]</t>
  </si>
  <si>
    <t>TAPON ACEITE SPEED 125 [PZ]</t>
  </si>
  <si>
    <t>TAPON CARTER SUZUKI ''14MM'' [PZ]</t>
  </si>
  <si>
    <t>TAPON NIVEL ACEITE SCOOTER-125/150 [PZ]</t>
  </si>
  <si>
    <t>TAPON NIVEL ACEITE SPEED-125 CLASIC [PZ]</t>
  </si>
  <si>
    <t>TAPON REGULACION VALVULAS CG-125 [PZ]</t>
  </si>
  <si>
    <t>TAPON VOLANTE MAGNETICO SUPERIOR [PZ]</t>
  </si>
  <si>
    <t>TAPON VOLANTE MAGNETO ''GXT-200'' ''25MM'' [PZ]</t>
  </si>
  <si>
    <t>TAPONES TAPA VOLANTE. JGO. [PZ]</t>
  </si>
  <si>
    <t>TENSOR AUTOMATICO CBF-150 INVICTA/CB-190/XR-150/NK-150 ''VINI'' [IM]</t>
  </si>
  <si>
    <t>TENSORES</t>
  </si>
  <si>
    <t>TENSOR AUTOMATICO CG-150T/JOB/INVICTA [PZ]</t>
  </si>
  <si>
    <t>TENSOR AUTOMATICO FZ-16/FZN-150 (2.0) ''VINI'' [IM]</t>
  </si>
  <si>
    <t>TENSOR AUTOMATICO FZ-16/FZN-150 (2.0) [PZ]</t>
  </si>
  <si>
    <t>TENSOR AUTOMATICO GIXXER-150 [PZ]</t>
  </si>
  <si>
    <t>TENSOR AUTOMATICO GS-125 ''VINI'' [IM]</t>
  </si>
  <si>
    <t>TENSOR AUTOMATICO GXT-200/DR-200 [PZ]</t>
  </si>
  <si>
    <t>TENSOR AUTOMATICO GXT-200/GN-125/EN-125 ''VINI'' [IM]</t>
  </si>
  <si>
    <t>TENSOR AUTOMATICO GXT-200/GN-125/EN-125 [PZ]</t>
  </si>
  <si>
    <t>TENSOR AUTOMATICO PULSAR-135 [PZ]</t>
  </si>
  <si>
    <t>TENSOR AUTOMATICO PULSAR-180 [PZ]</t>
  </si>
  <si>
    <t>TENSOR AUTOMATICO PULSAR-200NS ''VINI'' [IM]</t>
  </si>
  <si>
    <t>TENSOR AUTOMATICO SCOOTER 125/150 [PZ]</t>
  </si>
  <si>
    <t>TENSOR AUTOMATICO SCOOTER-125 GY6 ''VINI'' [IM]</t>
  </si>
  <si>
    <t>TENSOR AUTOMATICO XR-250 TORNADO/CBR-250/CBX-250 [PZ]</t>
  </si>
  <si>
    <t>TENSOR AUTOMATICO XR-400R/NX-400 FALCON [PZ]</t>
  </si>
  <si>
    <t>TENSOR AUTOMATICO YBR-125 [PZ]</t>
  </si>
  <si>
    <t>TENSOR AUTOMATICO YBR-125/XTZ-125 ''VINI'' [IM]</t>
  </si>
  <si>
    <t>TENSOR AUTOMATICO YW-125 BWS ''VINI'' [IM]</t>
  </si>
  <si>
    <t>TENSOR CADENA DIST. CBF-125/CBF-150 INVICTA [PZ]</t>
  </si>
  <si>
    <t>TENSOR CADENA DIST. DR-200/GXT-200/GN-125 [PZ]</t>
  </si>
  <si>
    <t>TENSOR CADENA DIST. FZ-16 [PZ]</t>
  </si>
  <si>
    <t>TENSOR CADENA DIST. GL-150 [PZ]</t>
  </si>
  <si>
    <t>TENSOR CADENA DIST. GN-125H/EN-125/GXT-200 [PZ]</t>
  </si>
  <si>
    <t>TENSOR CADENA DIST. XL-185/XR-200 [PZ]</t>
  </si>
  <si>
    <t>TENSOR CADENA DIST. XL/XR-200 BRASIL [PZ]</t>
  </si>
  <si>
    <t>TENSOR CADENA DIST. YBR-125 [PZ]</t>
  </si>
  <si>
    <t>TENSOR CADENA TRANSMISION UNIVERSAL [PZ]</t>
  </si>
  <si>
    <t>TENSOR MANUBRIO (COLORES) [PZ]</t>
  </si>
  <si>
    <t>TERMINAL DIRECCION 10X1.5MM [PZ]</t>
  </si>
  <si>
    <t>TERMINAL DIRECCION 12X1.5MM [PZ]</t>
  </si>
  <si>
    <t>TERMINAL DIRECCION ATV [PZ]</t>
  </si>
  <si>
    <t>TIPO DE VEHÍCULO: CAMIONETA</t>
  </si>
  <si>
    <t>VEHÍCULO</t>
  </si>
  <si>
    <t>&lt;br&gt;INSCRIPCIÓN: HCDJ.74-6&lt;br&gt;MARCA: KIA MOTORS&lt;br&gt;AÑO: 2015&lt;br&gt;MODELO: FRONTIER 2.5&lt;br&gt;N° MOTOR: D4CBF669740&lt;br&gt;N° CHASIS: KNCSJX76AF7948233&lt;br&gt;COLOR: BLANCO INVIERNO&lt;br&gt;COMBUSTIBLE: DIESEL&lt;br&gt;PBV: 3.240 KILOS&lt;br&gt;</t>
  </si>
  <si>
    <t>TIRA CADENA CBT-250 [PZ]</t>
  </si>
  <si>
    <t>TIRA CADENAS</t>
  </si>
  <si>
    <t>TIRA CADENA FZ-16 [OF]</t>
  </si>
  <si>
    <t>TIRA CADENA GL-150 [PZ]</t>
  </si>
  <si>
    <t>TIRA CADENA JGO. GN-125/GS-125 [PZ]</t>
  </si>
  <si>
    <t>TIRA CADENA KA/EH-150 [PZ]</t>
  </si>
  <si>
    <t>TIRA CADENA XR-150L/XR-190L [PZ]</t>
  </si>
  <si>
    <t>TIRA CADENA. JGO. CB1-125 [PZ]</t>
  </si>
  <si>
    <t>TIRA CADENA. JGO. CG-125 (CHICO) [PZ]</t>
  </si>
  <si>
    <t>TIRA CADENA. JGO. CG-125 (GRANDE) [PZ]</t>
  </si>
  <si>
    <t>TIRA CADENA. JGO. CG-125 [PZ]</t>
  </si>
  <si>
    <t>TIRA CADENA. JGO. DSR-200 [PZ]</t>
  </si>
  <si>
    <t>TIRA CADENA. JGO. DY-100 / EXPRESS-100 [PZ]</t>
  </si>
  <si>
    <t>TIRA CADENA. JGO. FZ-16/FZN-150 (2.0) [PZ]</t>
  </si>
  <si>
    <t>TIRA CADENA. JGO. GIXXER-150 [PZ]</t>
  </si>
  <si>
    <t>TIRA CADENA. JGO. GXT-200 [PZ]</t>
  </si>
  <si>
    <t>TIRA CADENA. JGO. TX-200 [PZ]</t>
  </si>
  <si>
    <t>TIRA CADENA. JGO. WY [PZ]</t>
  </si>
  <si>
    <t>TIRA CADENA. JGO. WY-125 [PZ]</t>
  </si>
  <si>
    <t>TIRADOR HIDRAULICO EMBRAGUE (AZUL) [PZ]</t>
  </si>
  <si>
    <t>TIRADOR POCKET (C/PIÑON METALICO) [PZ]</t>
  </si>
  <si>
    <t>TIRADOR POCKET (C/PIÑON PASTICO) [PZ]</t>
  </si>
  <si>
    <t>TIRANTES MOTOS. JGO. (NARANJO) [PZ]</t>
  </si>
  <si>
    <t>TIRANTES MOTOS. JGO. (NEGRO) [PZ]</t>
  </si>
  <si>
    <t>TIRANTES MOTOS. JGO. UNIVERSAL [PZ]</t>
  </si>
  <si>
    <t>TOMAS AIRE JGO. NEW-INVICTA (ROJO) [PZ]</t>
  </si>
  <si>
    <t>TOMAS DE AIRE</t>
  </si>
  <si>
    <t>TOMAS AIRE. JGO. FZ-16 [PZ]</t>
  </si>
  <si>
    <t>TOMAS AIRE. JGO. FZN-150 (2.0) (ROJO) [PZ]</t>
  </si>
  <si>
    <t>TOPE FUNDA CABLE METÁLICO 2MM [PZ]</t>
  </si>
  <si>
    <t>TOPE FUNDA CABLE PLÁSTICO 4MM [PZ]</t>
  </si>
  <si>
    <t>TOPES CAIDA. JGO. UNIVERSAL (AMARILLO) [PZ]</t>
  </si>
  <si>
    <t>TOPES CAIDA. JGO. UNIVERSAL (AZUL) [PZ]</t>
  </si>
  <si>
    <t>TOPES CAIDA. JGO. UNIVERSAL (BLANCO) [PZ]</t>
  </si>
  <si>
    <t>TOPES CAIDA. JGO. UNIVERSAL (NARANJA) [PZ]</t>
  </si>
  <si>
    <t>TOPES CAIDA. JGO. UNIVERSAL (NEGRO) [PZ]</t>
  </si>
  <si>
    <t>TOPES CAIDA. JGO. UNIVERSAL PARA EJE DE RUEDA [PZ]</t>
  </si>
  <si>
    <t>MORADO</t>
  </si>
  <si>
    <t>TOPES CAIDA. JGO. UNIVERSAL RIZOMA [PZ]</t>
  </si>
  <si>
    <t>TORNILLO CARENADO UNIDAD [PZ]</t>
  </si>
  <si>
    <t>TORNILLO Y SEGURO [PZ]</t>
  </si>
  <si>
    <t>TORRE DIRECCION EXPRESS-100 [PZ]</t>
  </si>
  <si>
    <t>TORRE DIRECCION KINLON [PZ]</t>
  </si>
  <si>
    <t>TORRE DIRECCION YBR-125 [PZ]</t>
  </si>
  <si>
    <t>TR-150S</t>
  </si>
  <si>
    <t>MOTOCICLETA: NUEVA&lt;br&gt;MARCA: HAOJUE&lt;br&gt;MODELO: TR-150S&lt;br&gt;COMBUSTIBLE: GASOLINA&lt;br&gt;COLOR: NEGRO&lt;br&gt;PESO BRUTO VEHICULAR: 156 KG&lt;br&gt;AÑO DE FABRICACIÓN: 2023&lt;br&gt;ESTADO: NUEVA SIN USO&lt;br&gt;Nº DE CHASIS: LC6PCKAH0N0000864&lt;br&gt;Nº DE MOTOR: 157FMJY1M02223</t>
  </si>
  <si>
    <t>TRAJE AGUA TALLA (L) AZUL [PZ]</t>
  </si>
  <si>
    <t>TRAJE AGUA TALLA (XL) JARDINERA NARANJO [PZ]</t>
  </si>
  <si>
    <t>TRAJE AGUA TALLA (XL) [PZ]</t>
  </si>
  <si>
    <t>TRAJE AGUA TALLA (XXL) [PZ]</t>
  </si>
  <si>
    <t>TRASLADO DE MOTO [OF]</t>
  </si>
  <si>
    <t>TUBO ACELERADOR (DOBLE) (1/4 VUELTA) UNIVERSAL [PZ]</t>
  </si>
  <si>
    <t>TUBO ACELERADOR 1/4 VUELTA (AZUL) ''VINI'' [OF]</t>
  </si>
  <si>
    <t>TUBO ACELERADOR 1/4 VUELTA (AZUL) [PZ]</t>
  </si>
  <si>
    <t>TUBO ACELERADOR 1/4 VUELTA (DORADO) [PZ]</t>
  </si>
  <si>
    <t>TUBO ACELERADOR 1/4 VUELTA (GRIS) ''VINI'' [OF]</t>
  </si>
  <si>
    <t>TUBO ACELERADOR 1/4 VUELTA (NARANJO) [PZ]</t>
  </si>
  <si>
    <t>TUBO ACELERADOR 1/4 VUELTA (NEGRO) ''VINI'' [OF]</t>
  </si>
  <si>
    <t>TUBO ACELERADOR 1/4 VUELTA (ROJO) ''VINI'' [OF]</t>
  </si>
  <si>
    <t>TUBO ACELERADOR 1/4 VUELTA (ROJO) [PZ]</t>
  </si>
  <si>
    <t>TUBO ACELERADOR 1/4 VUELTA [PZ]</t>
  </si>
  <si>
    <t>TUBO ACELERADOR UNIVERSAL (DOBLE) [PZ]</t>
  </si>
  <si>
    <t>TUERCA CIGUEÑAL SCOOTER 21MM [PZ]</t>
  </si>
  <si>
    <t>TUERCA EJE TRASERO 12MM C/SEGURO [PZ]</t>
  </si>
  <si>
    <t>VALVULA ADMISION BICIMOTO (ST-50) [PZ]</t>
  </si>
  <si>
    <t>VALVULAS</t>
  </si>
  <si>
    <t>VALVULA ADMISION BWS-125 [PZ]</t>
  </si>
  <si>
    <t>VALVULA ADMISION CB-190R [PZ]</t>
  </si>
  <si>
    <t>VÁLVULAS</t>
  </si>
  <si>
    <t>VALVULA ADMISION CBF-125/NEW-STORM [PZ]</t>
  </si>
  <si>
    <t>VALVULA ADMISION CG-125/JL125 [PZ]</t>
  </si>
  <si>
    <t>VALVULA ADMISION CRYPTON/YD-110 CRUX [PZ]</t>
  </si>
  <si>
    <t>VALVULA ADMISION FZ-16 CRYSTAL HJ125T-11A [PZ]</t>
  </si>
  <si>
    <t>VALVULA ADMISION GN-125 [PZ]</t>
  </si>
  <si>
    <t>VALVULA ADMISION GN-125H [PZ]</t>
  </si>
  <si>
    <t>VALVULA ADMISION GZ-150 [PZ]</t>
  </si>
  <si>
    <t>VALVULA ADMISION JL-110/AKT-110 [PZ]</t>
  </si>
  <si>
    <t>VALVULA ADMISION JL110/AKT-110 [PZ]</t>
  </si>
  <si>
    <t>VALVULA ADMISION JL125 [PZ]</t>
  </si>
  <si>
    <t>VALVULA ADMISION NK-150 [PZ]</t>
  </si>
  <si>
    <t>VALVULA ADMISION PULSAR-135 [PZ]</t>
  </si>
  <si>
    <t>VALVULA ADMISION PULSAR-180 [PZ]</t>
  </si>
  <si>
    <t>VALVULA ADMISION PULSAR-200NS [PZ]</t>
  </si>
  <si>
    <t>VALVULA ADMISION XL-125/185 [PZ]</t>
  </si>
  <si>
    <t>VALVULA ADMISION XR-125L [PZ]</t>
  </si>
  <si>
    <t>VALVULA ADMISION XR-200 (BRASIL) [PZ]</t>
  </si>
  <si>
    <t>VALVULA ADMISION XR-250 TORNADO [PZ]</t>
  </si>
  <si>
    <t>VALVULA ADMISION YZF-R15 [PZ]</t>
  </si>
  <si>
    <t>VALVULA ESCAPE BICIMOTO (ST-50) [PZ]</t>
  </si>
  <si>
    <t>VALVULA ESCAPE C-90 [PZ]</t>
  </si>
  <si>
    <t>VALVULA ESCAPE CB-190R [PZ]</t>
  </si>
  <si>
    <t>VALVULA ESCAPE CBF-125/NEW-STORM [PZ]</t>
  </si>
  <si>
    <t>VALVULA ESCAPE CG-150/JL-150 [PZ]</t>
  </si>
  <si>
    <t>VALVULA ESCAPE CG-150T/JOB/INVICTA [PZ]</t>
  </si>
  <si>
    <t>VALVULA ESCAPE GN-125 [PZ]</t>
  </si>
  <si>
    <t>VALVULA ESCAPE JL125/CG-125 [PZ]</t>
  </si>
  <si>
    <t>VALVULA ESCAPE KA-150 [PZ]</t>
  </si>
  <si>
    <t>VALVULA ESCAPE PULSAR-135 [PZ]</t>
  </si>
  <si>
    <t>VALVULA ESCAPE PULSAR-180 [PZ]</t>
  </si>
  <si>
    <t>VALVULA ESCAPE PULSAR-200NS [PZ]</t>
  </si>
  <si>
    <t>VALVULA ESCAPE SCOOTER-125 [PZ]</t>
  </si>
  <si>
    <t>VALVULA ESCAPE STORM-125 [PZ]</t>
  </si>
  <si>
    <t>VALVULA ESCAPE XL-125/185 [PZ]</t>
  </si>
  <si>
    <t>VALVULA ESCAPE XR-125L [PZ]</t>
  </si>
  <si>
    <t>VALVULA ESCAPE XR-200 (BRASIL) [PZ]</t>
  </si>
  <si>
    <t>VALVULA ESCAPE XR-250 TORNADO [PZ]</t>
  </si>
  <si>
    <t>VALVULA ESCAPE XR-250R (86/95) NEGRA [PZ]</t>
  </si>
  <si>
    <t>VALVULA ESCAPE XR-250R (86/95) [PZ]</t>
  </si>
  <si>
    <t>VALVULA ESCAPE YBR-125/XTZ-125 [PZ]</t>
  </si>
  <si>
    <t>VALVULA ESCAPE YD 110 CRUX [PZ]</t>
  </si>
  <si>
    <t>VALVULA ESCAPE YW-125 BWS [PZ]</t>
  </si>
  <si>
    <t>VALVULA ESCAPE YZF-R15 [PZ]</t>
  </si>
  <si>
    <t>VALVULA PARA TUBULAR [PZ]</t>
  </si>
  <si>
    <t>CURVA</t>
  </si>
  <si>
    <t>RECTA</t>
  </si>
  <si>
    <t>VALVULA TUBULAR CURVA [PZ]</t>
  </si>
  <si>
    <t>VALVULAS. JGO. AN-125 [PZ]</t>
  </si>
  <si>
    <t>VALVULAS. JGO. CB-190R/XR-190L [PZ]</t>
  </si>
  <si>
    <t>VALVULAS. JGO. CB-250 ''5MM'' [PZ]</t>
  </si>
  <si>
    <t>VALVULAS. JGO. CB-250/QM-200 ''5.5MM'' [PZ]</t>
  </si>
  <si>
    <t>VALVULAS. JGO. CB1-125 [PZ]</t>
  </si>
  <si>
    <t>VALVULAS. JGO. CBF-150 INVICTA/XR-150/NK-150 ''VINI'' [IM]</t>
  </si>
  <si>
    <t>VALVULAS. JGO. CD-100 ''VINI'' [IM]</t>
  </si>
  <si>
    <t>VALVULAS. JGO. CG-125 ''VINI'' [IM]</t>
  </si>
  <si>
    <t>VALVULAS. JGO. CG-125 [PZ]</t>
  </si>
  <si>
    <t>VALVULAS. JGO. CG-150 ''VINI'' [IM]</t>
  </si>
  <si>
    <t>VALVULAS. JGO. CG-150 [PZ]</t>
  </si>
  <si>
    <t>VALVULAS. JGO. CG-200 ''VINI'' [IM]</t>
  </si>
  <si>
    <t>VALVULAS. JGO. CG-250 ''VINI'' [IM]</t>
  </si>
  <si>
    <t>VALVULAS. JGO. CG-250 [PZ]</t>
  </si>
  <si>
    <t>VALVULAS. JGO. EN-125/GN-125H/RKS-150 ''VINI'' [IM]</t>
  </si>
  <si>
    <t>VALVULAS. JGO. FZ-16 2.0 [PZ]</t>
  </si>
  <si>
    <t>VALVULAS. JGO. FZ-16 [PZ]</t>
  </si>
  <si>
    <t>VALVULAS. JGO. GIXXER-150 [PZ]</t>
  </si>
  <si>
    <t>23mm/29mm 5mm/5mm 85.5mm/86.5mm</t>
  </si>
  <si>
    <t>VALVULAS. JGO. GN-125/EN-125 ''ANTIGUA 5.5MM'' [PZ]</t>
  </si>
  <si>
    <t>VALVULAS. JGO. GN-125/EN-125 [PZ]</t>
  </si>
  <si>
    <t>VALVULAS. JGO. GXT-200 [PZ]</t>
  </si>
  <si>
    <t>VALVULAS. JGO. GY-80 [PZ]</t>
  </si>
  <si>
    <t>VALVULAS. JGO. JL-250A/CA-250 (REBEL-250) [PZ]</t>
  </si>
  <si>
    <t>VALVULAS. JGO. JL110 [PZ]</t>
  </si>
  <si>
    <t>VALVULAS. JGO. PULSAR-180 [PZ]</t>
  </si>
  <si>
    <t>LIRA 823| SOBREXISTENCIA</t>
  </si>
  <si>
    <t>VALVULAS. JGO. RE-250 [PZ]</t>
  </si>
  <si>
    <t>VALVULAS. JGO. RENEGADE-200 [PZ]</t>
  </si>
  <si>
    <t>VALVULAS. JGO. SCOOTER-125 [PZ]</t>
  </si>
  <si>
    <t>VALVULAS. JGO. SCOOTER-125/150 ''VINI'' [IM]</t>
  </si>
  <si>
    <t>VALVULAS. JGO. SCOOTER-125/150 [PZ]</t>
  </si>
  <si>
    <t>VALVULAS. JGO. XR-200/CTX-200 ''VINI'' [IM]</t>
  </si>
  <si>
    <t>VALVULAS. JGO. XR-250 TORNADO ''VINI'' [IM]</t>
  </si>
  <si>
    <t>VALVULAS. JGO. YBR-125 ''VINI'' [IM]</t>
  </si>
  <si>
    <t>VALVULAS. JGO. YBR-125 [PZ]</t>
  </si>
  <si>
    <t>VARIADOR COMPLETO AN-125 [PZ]</t>
  </si>
  <si>
    <t>VARIADORES</t>
  </si>
  <si>
    <t>VARIADOR COMPLETO ELITE-125 FI [PZ]</t>
  </si>
  <si>
    <t>VARIADOR COMPLETO SCOOTER 125/150 ''VINI'' [IM]</t>
  </si>
  <si>
    <t>VARIADOR COMPLETO SCOOTER 125/150 [PZ]</t>
  </si>
  <si>
    <t>VARIADOR COMPLETO SCOOTER-125 GY6 ''VINI'' [IM]</t>
  </si>
  <si>
    <t>VARIADOR COMPLETO YW-100 BWS ''VINI'' [IM]</t>
  </si>
  <si>
    <t>VARIADOR COMPLETO YW-100 BWS [PZ]</t>
  </si>
  <si>
    <t>VARIADOR COMPLETO YW-125 BWS ''VINI'' [IM]</t>
  </si>
  <si>
    <t>VARIADOR COMPLETO YW-125 BWS [PZ]</t>
  </si>
  <si>
    <t>VARILLA ALZA VALVULA AKT AK-125 [PZ]</t>
  </si>
  <si>
    <t>VARILLAS ALZA VÁLVULAS</t>
  </si>
  <si>
    <t>VARILLA FRENO CG-125  [PZ]</t>
  </si>
  <si>
    <t>VARILLAS DE FRENO</t>
  </si>
  <si>
    <t>VARILLA FRENO GN-125 [PZ]</t>
  </si>
  <si>
    <t>VARILLA FRENO MOTO CHINA [PZ]</t>
  </si>
  <si>
    <t>VARILLAS ALZA VALVULA. JGO. CG-125 ''VINI'' [IM]</t>
  </si>
  <si>
    <t>VARILLAS ALZA VALVULA. JGO. CG-125 [PZ]</t>
  </si>
  <si>
    <t>VARILLAS ALZA VALVULA. JGO. CG-150 [PZ]</t>
  </si>
  <si>
    <t>VARILLAS ALZA VALVULA. JGO. CG-200 ''VINI'' [IM]</t>
  </si>
  <si>
    <t>VARILLAS ALZA VALVULA. JGO. CG-200 [PZ]</t>
  </si>
  <si>
    <t>VISERA FOCO DELANTERO CB-190 [PZ]</t>
  </si>
  <si>
    <t xml:space="preserve">TAPA </t>
  </si>
  <si>
    <t>VISERA FOCO DELANTERO GIXXER-150 [PZ]</t>
  </si>
  <si>
    <t>VISERA FOCO DELANTERO YBR-125 Z C/MICA [PZ]</t>
  </si>
  <si>
    <t>VISERA FOCO DELANTERO YBR-125 Z [PZ]</t>
  </si>
  <si>
    <t>VOLANTE MAGNETICO XV-250 [PZ]</t>
  </si>
  <si>
    <t>VS-125</t>
  </si>
  <si>
    <t>MOTOCICLETA: NUEVA&lt;br&gt;MARCA: HAOJUE&lt;br&gt;MODELO: VS-125&lt;br&gt;COMBUSTIBLE: GASOLINA&lt;br&gt;COLOR: AZUL&lt;br&gt;PESO BRUTO VEHICULAR: 136 KG&lt;br&gt;AÑO DE FABRICACIÓN: 2023&lt;br&gt;ESTADO: NUEVA SIN USO&lt;br&gt;Nº DE CHASIS: LC6TCJ904N0001443&lt;br&gt;Nº DE MOTOR: 1P53QMIF2Y05538</t>
  </si>
  <si>
    <t>MOTOCICLETA: NUEVA&lt;br&gt;MARCA: HAOJUE&lt;br&gt;MODELO: VS-125&lt;br&gt;COMBUSTIBLE: GASOLINA&lt;br&gt;COLOR: AZUL&lt;br&gt;PESO BRUTO VEHICULAR: 136 KG&lt;br&gt;AÑO DE FABRICACIÓN: 2023&lt;br&gt;ESTADO: NUEVA SIN USO&lt;br&gt;Nº DE CHASIS: LC6TCJ908N0001445&lt;br&gt;Nº DE MOTOR: 1P53QMIF2Y05536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</si>
</sst>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81"/>
  <sheetViews>
    <sheetView tabSelected="1" workbookViewId="0">
      <selection activeCell="F16" sqref="F16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AH2" t="s">
        <v>42</v>
      </c>
      <c r="AI2" t="str">
        <f>"66298785811225"</f>
        <v>66298785811225</v>
      </c>
      <c r="AJ2" t="str">
        <f>"7837"</f>
        <v>7837</v>
      </c>
      <c r="AK2" t="s">
        <v>46</v>
      </c>
      <c r="AL2" s="1">
        <v>44816.544652777775</v>
      </c>
      <c r="AM2" t="s">
        <v>44</v>
      </c>
    </row>
    <row r="3" spans="1:39" x14ac:dyDescent="0.2">
      <c r="A3" t="s">
        <v>47</v>
      </c>
      <c r="B3" t="s">
        <v>48</v>
      </c>
      <c r="C3" t="s">
        <v>12</v>
      </c>
      <c r="D3" t="s">
        <v>42</v>
      </c>
      <c r="E3" t="s">
        <v>42</v>
      </c>
      <c r="F3" t="s">
        <v>44</v>
      </c>
      <c r="G3" t="s">
        <v>45</v>
      </c>
      <c r="AH3" t="s">
        <v>42</v>
      </c>
      <c r="AI3" t="str">
        <f>"A999"</f>
        <v>A999</v>
      </c>
      <c r="AJ3" t="str">
        <f>"A999"</f>
        <v>A999</v>
      </c>
      <c r="AK3" t="s">
        <v>46</v>
      </c>
      <c r="AL3" s="1">
        <v>44949.887800925928</v>
      </c>
      <c r="AM3" t="s">
        <v>44</v>
      </c>
    </row>
    <row r="4" spans="1:39" x14ac:dyDescent="0.2">
      <c r="A4" t="s">
        <v>49</v>
      </c>
      <c r="B4" t="s">
        <v>40</v>
      </c>
      <c r="C4" t="s">
        <v>50</v>
      </c>
      <c r="D4" t="s">
        <v>42</v>
      </c>
      <c r="E4" t="s">
        <v>43</v>
      </c>
      <c r="F4" t="s">
        <v>44</v>
      </c>
      <c r="G4" t="s">
        <v>45</v>
      </c>
      <c r="AH4" t="s">
        <v>42</v>
      </c>
      <c r="AI4" t="str">
        <f>"H1066"</f>
        <v>H1066</v>
      </c>
      <c r="AJ4" t="str">
        <f>"H1066"</f>
        <v>H1066</v>
      </c>
      <c r="AK4" t="s">
        <v>46</v>
      </c>
      <c r="AL4" s="1">
        <v>44816.544652777775</v>
      </c>
      <c r="AM4" t="s">
        <v>44</v>
      </c>
    </row>
    <row r="5" spans="1:39" x14ac:dyDescent="0.2">
      <c r="A5" t="s">
        <v>51</v>
      </c>
      <c r="B5" t="s">
        <v>40</v>
      </c>
      <c r="C5" t="s">
        <v>50</v>
      </c>
      <c r="D5" t="s">
        <v>42</v>
      </c>
      <c r="E5" t="s">
        <v>43</v>
      </c>
      <c r="F5" t="s">
        <v>44</v>
      </c>
      <c r="G5" t="s">
        <v>45</v>
      </c>
      <c r="AH5" t="s">
        <v>42</v>
      </c>
      <c r="AI5" t="str">
        <f>"66298785890928"</f>
        <v>66298785890928</v>
      </c>
      <c r="AJ5" t="str">
        <f>"A-SCOOTER"</f>
        <v>A-SCOOTER</v>
      </c>
      <c r="AK5" t="s">
        <v>46</v>
      </c>
      <c r="AL5" s="1">
        <v>44816.544652777775</v>
      </c>
      <c r="AM5" t="s">
        <v>44</v>
      </c>
    </row>
    <row r="6" spans="1:39" x14ac:dyDescent="0.2">
      <c r="A6" t="s">
        <v>52</v>
      </c>
      <c r="B6" t="s">
        <v>40</v>
      </c>
      <c r="C6" t="s">
        <v>50</v>
      </c>
      <c r="D6" t="s">
        <v>42</v>
      </c>
      <c r="E6" t="s">
        <v>43</v>
      </c>
      <c r="F6" t="s">
        <v>44</v>
      </c>
      <c r="G6" t="s">
        <v>45</v>
      </c>
      <c r="AH6" t="s">
        <v>42</v>
      </c>
      <c r="AI6" t="str">
        <f>"66298785932760"</f>
        <v>66298785932760</v>
      </c>
      <c r="AJ6" t="str">
        <f>"H257"</f>
        <v>H257</v>
      </c>
      <c r="AK6" t="s">
        <v>46</v>
      </c>
      <c r="AL6" s="1">
        <v>44816.544664351852</v>
      </c>
      <c r="AM6" t="s">
        <v>44</v>
      </c>
    </row>
    <row r="7" spans="1:39" x14ac:dyDescent="0.2">
      <c r="A7" t="s">
        <v>53</v>
      </c>
      <c r="B7" t="s">
        <v>40</v>
      </c>
      <c r="C7" t="s">
        <v>50</v>
      </c>
      <c r="D7" t="s">
        <v>42</v>
      </c>
      <c r="E7" t="s">
        <v>43</v>
      </c>
      <c r="F7" t="s">
        <v>44</v>
      </c>
      <c r="G7" t="s">
        <v>45</v>
      </c>
      <c r="AH7" t="s">
        <v>42</v>
      </c>
      <c r="AI7" t="str">
        <f>"66298785974589"</f>
        <v>66298785974589</v>
      </c>
      <c r="AJ7" t="str">
        <f>"82780"</f>
        <v>82780</v>
      </c>
      <c r="AK7" t="s">
        <v>46</v>
      </c>
      <c r="AL7" s="1">
        <v>44816.544664351852</v>
      </c>
      <c r="AM7" t="s">
        <v>44</v>
      </c>
    </row>
    <row r="8" spans="1:39" x14ac:dyDescent="0.2">
      <c r="A8" t="s">
        <v>54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45</v>
      </c>
      <c r="AH8" t="s">
        <v>42</v>
      </c>
      <c r="AI8" t="str">
        <f>"66298786013798"</f>
        <v>66298786013798</v>
      </c>
      <c r="AJ8" t="str">
        <f>"2716"</f>
        <v>2716</v>
      </c>
      <c r="AK8" t="s">
        <v>46</v>
      </c>
      <c r="AL8" s="1">
        <v>44816.544675925928</v>
      </c>
      <c r="AM8" t="s">
        <v>44</v>
      </c>
    </row>
    <row r="9" spans="1:39" x14ac:dyDescent="0.2">
      <c r="A9" t="s">
        <v>55</v>
      </c>
      <c r="B9" t="s">
        <v>40</v>
      </c>
      <c r="C9" t="s">
        <v>41</v>
      </c>
      <c r="D9" t="s">
        <v>42</v>
      </c>
      <c r="E9" t="s">
        <v>43</v>
      </c>
      <c r="F9" t="s">
        <v>44</v>
      </c>
      <c r="G9" t="s">
        <v>45</v>
      </c>
      <c r="AH9" t="s">
        <v>42</v>
      </c>
      <c r="AI9" t="str">
        <f>"66298786051003"</f>
        <v>66298786051003</v>
      </c>
      <c r="AJ9" t="str">
        <f>"2715"</f>
        <v>2715</v>
      </c>
      <c r="AK9" t="s">
        <v>46</v>
      </c>
      <c r="AL9" s="1">
        <v>44816.544675925928</v>
      </c>
      <c r="AM9" t="s">
        <v>44</v>
      </c>
    </row>
    <row r="10" spans="1:39" x14ac:dyDescent="0.2">
      <c r="A10" t="s">
        <v>56</v>
      </c>
      <c r="B10" t="s">
        <v>40</v>
      </c>
      <c r="C10" t="s">
        <v>41</v>
      </c>
      <c r="D10" t="s">
        <v>42</v>
      </c>
      <c r="E10" t="s">
        <v>43</v>
      </c>
      <c r="F10" t="s">
        <v>44</v>
      </c>
      <c r="G10" t="s">
        <v>45</v>
      </c>
      <c r="AH10" t="s">
        <v>42</v>
      </c>
      <c r="AI10" t="str">
        <f>"66298786092420"</f>
        <v>66298786092420</v>
      </c>
      <c r="AJ10" t="str">
        <f>"2717"</f>
        <v>2717</v>
      </c>
      <c r="AK10" t="s">
        <v>46</v>
      </c>
      <c r="AL10" s="1">
        <v>44816.544675925928</v>
      </c>
      <c r="AM10" t="s">
        <v>44</v>
      </c>
    </row>
    <row r="11" spans="1:39" x14ac:dyDescent="0.2">
      <c r="A11" t="s">
        <v>57</v>
      </c>
      <c r="B11" t="s">
        <v>40</v>
      </c>
      <c r="C11" t="s">
        <v>41</v>
      </c>
      <c r="D11" t="s">
        <v>42</v>
      </c>
      <c r="E11" t="s">
        <v>43</v>
      </c>
      <c r="F11" t="s">
        <v>44</v>
      </c>
      <c r="G11" t="s">
        <v>45</v>
      </c>
      <c r="AH11" t="s">
        <v>42</v>
      </c>
      <c r="AI11" t="str">
        <f>"66298786132099"</f>
        <v>66298786132099</v>
      </c>
      <c r="AJ11" t="str">
        <f>"2719"</f>
        <v>2719</v>
      </c>
      <c r="AK11" t="s">
        <v>46</v>
      </c>
      <c r="AL11" s="1">
        <v>44816.544687499998</v>
      </c>
      <c r="AM11" t="s">
        <v>44</v>
      </c>
    </row>
    <row r="12" spans="1:39" x14ac:dyDescent="0.2">
      <c r="A12" t="s">
        <v>58</v>
      </c>
      <c r="B12" t="s">
        <v>40</v>
      </c>
      <c r="C12" t="s">
        <v>41</v>
      </c>
      <c r="D12" t="s">
        <v>42</v>
      </c>
      <c r="E12" t="s">
        <v>43</v>
      </c>
      <c r="F12" t="s">
        <v>44</v>
      </c>
      <c r="G12" t="s">
        <v>45</v>
      </c>
      <c r="AH12" t="s">
        <v>42</v>
      </c>
      <c r="AI12" t="str">
        <f>"66298786174946"</f>
        <v>66298786174946</v>
      </c>
      <c r="AJ12" t="str">
        <f>"15AE86"</f>
        <v>15AE86</v>
      </c>
      <c r="AK12" t="s">
        <v>46</v>
      </c>
      <c r="AL12" s="1">
        <v>44816.544687499998</v>
      </c>
      <c r="AM12" t="s">
        <v>44</v>
      </c>
    </row>
    <row r="13" spans="1:39" x14ac:dyDescent="0.2">
      <c r="A13" t="s">
        <v>59</v>
      </c>
      <c r="B13" t="s">
        <v>40</v>
      </c>
      <c r="C13" t="s">
        <v>41</v>
      </c>
      <c r="D13" t="s">
        <v>42</v>
      </c>
      <c r="E13" t="s">
        <v>43</v>
      </c>
      <c r="F13" t="s">
        <v>44</v>
      </c>
      <c r="G13" t="s">
        <v>45</v>
      </c>
      <c r="AH13" t="s">
        <v>42</v>
      </c>
      <c r="AI13" t="str">
        <f>"66298786219665"</f>
        <v>66298786219665</v>
      </c>
      <c r="AJ13" t="str">
        <f>"15AEAB"</f>
        <v>15AEAB</v>
      </c>
      <c r="AK13" t="s">
        <v>46</v>
      </c>
      <c r="AL13" s="1">
        <v>44816.544699074075</v>
      </c>
      <c r="AM13" t="s">
        <v>44</v>
      </c>
    </row>
    <row r="14" spans="1:39" x14ac:dyDescent="0.2">
      <c r="A14" t="s">
        <v>60</v>
      </c>
      <c r="B14" t="s">
        <v>40</v>
      </c>
      <c r="C14" t="s">
        <v>41</v>
      </c>
      <c r="D14" t="s">
        <v>42</v>
      </c>
      <c r="E14" t="s">
        <v>43</v>
      </c>
      <c r="F14" t="s">
        <v>44</v>
      </c>
      <c r="G14" t="s">
        <v>45</v>
      </c>
      <c r="AH14" t="s">
        <v>42</v>
      </c>
      <c r="AI14" t="str">
        <f>"66298786260155"</f>
        <v>66298786260155</v>
      </c>
      <c r="AJ14" t="str">
        <f>"15D905"</f>
        <v>15D905</v>
      </c>
      <c r="AK14" t="s">
        <v>46</v>
      </c>
      <c r="AL14" s="1">
        <v>44816.544699074075</v>
      </c>
      <c r="AM14" t="s">
        <v>44</v>
      </c>
    </row>
    <row r="15" spans="1:39" x14ac:dyDescent="0.2">
      <c r="A15" t="s">
        <v>61</v>
      </c>
      <c r="B15" t="s">
        <v>40</v>
      </c>
      <c r="C15" t="s">
        <v>41</v>
      </c>
      <c r="D15" t="s">
        <v>42</v>
      </c>
      <c r="E15" t="s">
        <v>43</v>
      </c>
      <c r="F15" t="s">
        <v>44</v>
      </c>
      <c r="G15" t="s">
        <v>45</v>
      </c>
      <c r="AH15" t="s">
        <v>42</v>
      </c>
      <c r="AI15" t="str">
        <f>"15DEA9"</f>
        <v>15DEA9</v>
      </c>
      <c r="AJ15" t="str">
        <f>"15DEA9"</f>
        <v>15DEA9</v>
      </c>
      <c r="AK15" t="s">
        <v>46</v>
      </c>
      <c r="AL15" s="1">
        <v>45104.746886574074</v>
      </c>
      <c r="AM15" t="s">
        <v>44</v>
      </c>
    </row>
    <row r="16" spans="1:39" x14ac:dyDescent="0.2">
      <c r="A16" t="s">
        <v>62</v>
      </c>
      <c r="B16" t="s">
        <v>40</v>
      </c>
      <c r="C16" t="s">
        <v>41</v>
      </c>
      <c r="D16" t="s">
        <v>42</v>
      </c>
      <c r="E16" t="s">
        <v>43</v>
      </c>
      <c r="F16" t="s">
        <v>44</v>
      </c>
      <c r="G16" t="s">
        <v>45</v>
      </c>
      <c r="AH16" t="s">
        <v>42</v>
      </c>
      <c r="AI16" t="str">
        <f>"66298786302608"</f>
        <v>66298786302608</v>
      </c>
      <c r="AJ16" t="str">
        <f>"15D906"</f>
        <v>15D906</v>
      </c>
      <c r="AK16" t="s">
        <v>46</v>
      </c>
      <c r="AL16" s="1">
        <v>44816.544710648152</v>
      </c>
      <c r="AM16" t="s">
        <v>44</v>
      </c>
    </row>
    <row r="17" spans="1:39" x14ac:dyDescent="0.2">
      <c r="A17" t="s">
        <v>63</v>
      </c>
      <c r="B17" t="s">
        <v>40</v>
      </c>
      <c r="C17" t="s">
        <v>41</v>
      </c>
      <c r="D17" t="s">
        <v>42</v>
      </c>
      <c r="E17" t="s">
        <v>43</v>
      </c>
      <c r="F17" t="s">
        <v>44</v>
      </c>
      <c r="G17" t="s">
        <v>45</v>
      </c>
      <c r="AH17" t="s">
        <v>42</v>
      </c>
      <c r="AI17" t="str">
        <f>"15D2C2"</f>
        <v>15D2C2</v>
      </c>
      <c r="AJ17" t="str">
        <f>"15D2C2"</f>
        <v>15D2C2</v>
      </c>
      <c r="AK17" t="s">
        <v>46</v>
      </c>
      <c r="AL17" s="1">
        <v>45063.702476851853</v>
      </c>
      <c r="AM17" t="s">
        <v>44</v>
      </c>
    </row>
    <row r="18" spans="1:39" x14ac:dyDescent="0.2">
      <c r="A18" t="s">
        <v>64</v>
      </c>
      <c r="B18" t="s">
        <v>40</v>
      </c>
      <c r="C18" t="s">
        <v>41</v>
      </c>
      <c r="D18" t="s">
        <v>42</v>
      </c>
      <c r="E18" t="s">
        <v>43</v>
      </c>
      <c r="F18" t="s">
        <v>44</v>
      </c>
      <c r="G18" t="s">
        <v>45</v>
      </c>
      <c r="AH18" t="s">
        <v>42</v>
      </c>
      <c r="AI18" t="str">
        <f>"15AF5D"</f>
        <v>15AF5D</v>
      </c>
      <c r="AJ18" t="str">
        <f>"15AF5D"</f>
        <v>15AF5D</v>
      </c>
      <c r="AK18" t="s">
        <v>46</v>
      </c>
      <c r="AL18" s="1">
        <v>44816.544710648152</v>
      </c>
      <c r="AM18" t="s">
        <v>44</v>
      </c>
    </row>
    <row r="19" spans="1:39" x14ac:dyDescent="0.2">
      <c r="A19" t="s">
        <v>65</v>
      </c>
      <c r="B19" t="s">
        <v>40</v>
      </c>
      <c r="C19" t="s">
        <v>41</v>
      </c>
      <c r="D19" t="s">
        <v>42</v>
      </c>
      <c r="E19" t="s">
        <v>43</v>
      </c>
      <c r="F19" t="s">
        <v>44</v>
      </c>
      <c r="G19" t="s">
        <v>45</v>
      </c>
      <c r="AH19" t="s">
        <v>42</v>
      </c>
      <c r="AI19" t="str">
        <f>"15C7C9"</f>
        <v>15C7C9</v>
      </c>
      <c r="AJ19" t="str">
        <f>"15C7C9"</f>
        <v>15C7C9</v>
      </c>
      <c r="AK19" t="s">
        <v>46</v>
      </c>
      <c r="AL19" s="1">
        <v>45063.703125</v>
      </c>
      <c r="AM19" t="s">
        <v>44</v>
      </c>
    </row>
    <row r="20" spans="1:39" x14ac:dyDescent="0.2">
      <c r="A20" t="s">
        <v>66</v>
      </c>
      <c r="B20" t="s">
        <v>40</v>
      </c>
      <c r="C20" t="s">
        <v>41</v>
      </c>
      <c r="D20" t="s">
        <v>42</v>
      </c>
      <c r="E20" t="s">
        <v>43</v>
      </c>
      <c r="F20" t="s">
        <v>44</v>
      </c>
      <c r="G20" t="s">
        <v>45</v>
      </c>
      <c r="AH20" t="s">
        <v>42</v>
      </c>
      <c r="AI20" t="str">
        <f>"15D2C4"</f>
        <v>15D2C4</v>
      </c>
      <c r="AJ20" t="str">
        <f>"15D2C4"</f>
        <v>15D2C4</v>
      </c>
      <c r="AK20" t="s">
        <v>46</v>
      </c>
      <c r="AL20" s="1">
        <v>45171.672349537039</v>
      </c>
      <c r="AM20" t="s">
        <v>44</v>
      </c>
    </row>
    <row r="21" spans="1:39" x14ac:dyDescent="0.2">
      <c r="A21" t="s">
        <v>67</v>
      </c>
      <c r="B21" t="s">
        <v>40</v>
      </c>
      <c r="C21" t="s">
        <v>41</v>
      </c>
      <c r="D21" t="s">
        <v>42</v>
      </c>
      <c r="E21" t="s">
        <v>43</v>
      </c>
      <c r="F21" t="s">
        <v>44</v>
      </c>
      <c r="G21" t="s">
        <v>45</v>
      </c>
      <c r="AH21" t="s">
        <v>42</v>
      </c>
      <c r="AI21" t="str">
        <f>"66298786386572"</f>
        <v>66298786386572</v>
      </c>
      <c r="AJ21" t="str">
        <f>"15D9C1"</f>
        <v>15D9C1</v>
      </c>
      <c r="AK21" t="s">
        <v>46</v>
      </c>
      <c r="AL21" s="1">
        <v>44816.544710648152</v>
      </c>
      <c r="AM21" t="s">
        <v>44</v>
      </c>
    </row>
    <row r="22" spans="1:39" x14ac:dyDescent="0.2">
      <c r="A22" t="s">
        <v>68</v>
      </c>
      <c r="B22" t="s">
        <v>40</v>
      </c>
      <c r="C22" t="s">
        <v>41</v>
      </c>
      <c r="D22" t="s">
        <v>42</v>
      </c>
      <c r="E22" t="s">
        <v>43</v>
      </c>
      <c r="F22" t="s">
        <v>44</v>
      </c>
      <c r="G22" t="s">
        <v>45</v>
      </c>
      <c r="AH22" t="s">
        <v>42</v>
      </c>
      <c r="AI22" t="str">
        <f>"51426LUB01LT"</f>
        <v>51426LUB01LT</v>
      </c>
      <c r="AJ22" t="str">
        <f>"51426LUB01LT"</f>
        <v>51426LUB01LT</v>
      </c>
      <c r="AK22" t="s">
        <v>46</v>
      </c>
      <c r="AL22" s="1">
        <v>45146.821956018517</v>
      </c>
      <c r="AM22" t="s">
        <v>44</v>
      </c>
    </row>
    <row r="23" spans="1:39" x14ac:dyDescent="0.2">
      <c r="A23" t="s">
        <v>69</v>
      </c>
      <c r="B23" t="s">
        <v>40</v>
      </c>
      <c r="C23" t="s">
        <v>41</v>
      </c>
      <c r="D23" t="s">
        <v>42</v>
      </c>
      <c r="E23" t="s">
        <v>43</v>
      </c>
      <c r="F23" t="s">
        <v>44</v>
      </c>
      <c r="G23" t="s">
        <v>45</v>
      </c>
      <c r="AH23" t="s">
        <v>42</v>
      </c>
      <c r="AI23" t="str">
        <f>"51428LUB01LT"</f>
        <v>51428LUB01LT</v>
      </c>
      <c r="AJ23" t="str">
        <f>"51428LUB01LT"</f>
        <v>51428LUB01LT</v>
      </c>
      <c r="AK23" t="s">
        <v>46</v>
      </c>
      <c r="AL23" s="1">
        <v>45146.824293981481</v>
      </c>
      <c r="AM23" t="s">
        <v>44</v>
      </c>
    </row>
    <row r="24" spans="1:39" x14ac:dyDescent="0.2">
      <c r="A24" t="s">
        <v>70</v>
      </c>
      <c r="B24" t="s">
        <v>40</v>
      </c>
      <c r="C24" t="s">
        <v>41</v>
      </c>
      <c r="D24" t="s">
        <v>42</v>
      </c>
      <c r="E24" t="s">
        <v>43</v>
      </c>
      <c r="F24" t="s">
        <v>44</v>
      </c>
      <c r="G24" t="s">
        <v>45</v>
      </c>
      <c r="AH24" t="s">
        <v>42</v>
      </c>
      <c r="AI24" t="str">
        <f>"51423LUB01LT"</f>
        <v>51423LUB01LT</v>
      </c>
      <c r="AJ24" t="str">
        <f>"51423LUB01LT"</f>
        <v>51423LUB01LT</v>
      </c>
      <c r="AK24" t="s">
        <v>46</v>
      </c>
      <c r="AL24" s="1">
        <v>45146.815254629626</v>
      </c>
      <c r="AM24" t="s">
        <v>44</v>
      </c>
    </row>
    <row r="25" spans="1:39" x14ac:dyDescent="0.2">
      <c r="A25" t="s">
        <v>71</v>
      </c>
      <c r="B25" t="s">
        <v>40</v>
      </c>
      <c r="C25" t="s">
        <v>41</v>
      </c>
      <c r="D25" t="s">
        <v>42</v>
      </c>
      <c r="E25" t="s">
        <v>43</v>
      </c>
      <c r="F25" t="s">
        <v>44</v>
      </c>
      <c r="G25" t="s">
        <v>45</v>
      </c>
      <c r="AH25" t="s">
        <v>42</v>
      </c>
      <c r="AI25" t="str">
        <f>"66298786429982"</f>
        <v>66298786429982</v>
      </c>
      <c r="AJ25" t="str">
        <f>"800090"</f>
        <v>800090</v>
      </c>
      <c r="AK25" t="s">
        <v>46</v>
      </c>
      <c r="AL25" s="1">
        <v>44816.544722222221</v>
      </c>
      <c r="AM25" t="s">
        <v>44</v>
      </c>
    </row>
    <row r="26" spans="1:39" x14ac:dyDescent="0.2">
      <c r="A26" t="s">
        <v>72</v>
      </c>
      <c r="B26" t="s">
        <v>40</v>
      </c>
      <c r="C26" t="s">
        <v>41</v>
      </c>
      <c r="D26" t="s">
        <v>42</v>
      </c>
      <c r="E26" t="s">
        <v>43</v>
      </c>
      <c r="F26" t="s">
        <v>44</v>
      </c>
      <c r="G26" t="s">
        <v>45</v>
      </c>
      <c r="AH26" t="s">
        <v>42</v>
      </c>
      <c r="AI26" t="str">
        <f>"66298786468714"</f>
        <v>66298786468714</v>
      </c>
      <c r="AJ26" t="str">
        <f>"800043"</f>
        <v>800043</v>
      </c>
      <c r="AK26" t="s">
        <v>46</v>
      </c>
      <c r="AL26" s="1">
        <v>44816.544722222221</v>
      </c>
      <c r="AM26" t="s">
        <v>44</v>
      </c>
    </row>
    <row r="27" spans="1:39" x14ac:dyDescent="0.2">
      <c r="A27" t="s">
        <v>73</v>
      </c>
      <c r="B27" t="s">
        <v>40</v>
      </c>
      <c r="C27" t="s">
        <v>41</v>
      </c>
      <c r="D27" t="s">
        <v>42</v>
      </c>
      <c r="E27" t="s">
        <v>43</v>
      </c>
      <c r="F27" t="s">
        <v>44</v>
      </c>
      <c r="G27" t="s">
        <v>45</v>
      </c>
      <c r="AH27" t="s">
        <v>42</v>
      </c>
      <c r="AI27" t="str">
        <f>"66298786516712"</f>
        <v>66298786516712</v>
      </c>
      <c r="AJ27" t="str">
        <f>"20753"</f>
        <v>20753</v>
      </c>
      <c r="AK27" t="s">
        <v>46</v>
      </c>
      <c r="AL27" s="1">
        <v>44816.544733796298</v>
      </c>
      <c r="AM27" t="s">
        <v>44</v>
      </c>
    </row>
    <row r="28" spans="1:39" x14ac:dyDescent="0.2">
      <c r="A28" t="s">
        <v>74</v>
      </c>
      <c r="B28" t="s">
        <v>40</v>
      </c>
      <c r="C28" t="s">
        <v>41</v>
      </c>
      <c r="D28" t="s">
        <v>42</v>
      </c>
      <c r="E28" t="s">
        <v>43</v>
      </c>
      <c r="F28" t="s">
        <v>44</v>
      </c>
      <c r="G28" t="s">
        <v>45</v>
      </c>
      <c r="AH28" t="s">
        <v>42</v>
      </c>
      <c r="AI28" t="str">
        <f>"66298786572048"</f>
        <v>66298786572048</v>
      </c>
      <c r="AJ28" t="str">
        <f>"1521"</f>
        <v>1521</v>
      </c>
      <c r="AK28" t="s">
        <v>46</v>
      </c>
      <c r="AL28" s="1">
        <v>44816.544733796298</v>
      </c>
      <c r="AM28" t="s">
        <v>44</v>
      </c>
    </row>
    <row r="29" spans="1:39" x14ac:dyDescent="0.2">
      <c r="A29" t="s">
        <v>75</v>
      </c>
      <c r="B29" t="s">
        <v>40</v>
      </c>
      <c r="C29" t="s">
        <v>41</v>
      </c>
      <c r="D29" t="s">
        <v>42</v>
      </c>
      <c r="E29" t="s">
        <v>43</v>
      </c>
      <c r="F29" t="s">
        <v>44</v>
      </c>
      <c r="G29" t="s">
        <v>45</v>
      </c>
      <c r="AH29" t="s">
        <v>42</v>
      </c>
      <c r="AI29" t="str">
        <f>"66298786613951"</f>
        <v>66298786613951</v>
      </c>
      <c r="AJ29" t="str">
        <f>"1502"</f>
        <v>1502</v>
      </c>
      <c r="AK29" t="s">
        <v>46</v>
      </c>
      <c r="AL29" s="1">
        <v>44816.544745370367</v>
      </c>
      <c r="AM29" t="s">
        <v>44</v>
      </c>
    </row>
    <row r="30" spans="1:39" x14ac:dyDescent="0.2">
      <c r="A30" t="s">
        <v>76</v>
      </c>
      <c r="B30" t="s">
        <v>40</v>
      </c>
      <c r="C30" t="s">
        <v>41</v>
      </c>
      <c r="D30" t="s">
        <v>42</v>
      </c>
      <c r="E30" t="s">
        <v>43</v>
      </c>
      <c r="F30" t="s">
        <v>44</v>
      </c>
      <c r="G30" t="s">
        <v>45</v>
      </c>
      <c r="AH30" t="s">
        <v>42</v>
      </c>
      <c r="AI30" t="str">
        <f>"66298786653154"</f>
        <v>66298786653154</v>
      </c>
      <c r="AJ30" t="str">
        <f>"1525"</f>
        <v>1525</v>
      </c>
      <c r="AK30" t="s">
        <v>46</v>
      </c>
      <c r="AL30" s="1">
        <v>44816.544745370367</v>
      </c>
      <c r="AM30" t="s">
        <v>44</v>
      </c>
    </row>
    <row r="31" spans="1:39" x14ac:dyDescent="0.2">
      <c r="A31" t="s">
        <v>77</v>
      </c>
      <c r="B31" t="s">
        <v>40</v>
      </c>
      <c r="C31" t="s">
        <v>41</v>
      </c>
      <c r="D31" t="s">
        <v>42</v>
      </c>
      <c r="E31" t="s">
        <v>43</v>
      </c>
      <c r="F31" t="s">
        <v>44</v>
      </c>
      <c r="G31" t="s">
        <v>45</v>
      </c>
      <c r="AH31" t="s">
        <v>42</v>
      </c>
      <c r="AI31" t="str">
        <f>"66298786691589"</f>
        <v>66298786691589</v>
      </c>
      <c r="AJ31" t="str">
        <f>"2555"</f>
        <v>2555</v>
      </c>
      <c r="AK31" t="s">
        <v>46</v>
      </c>
      <c r="AL31" s="1">
        <v>44816.544745370367</v>
      </c>
      <c r="AM31" t="s">
        <v>44</v>
      </c>
    </row>
    <row r="32" spans="1:39" x14ac:dyDescent="0.2">
      <c r="A32" t="s">
        <v>78</v>
      </c>
      <c r="B32" t="s">
        <v>40</v>
      </c>
      <c r="C32" t="s">
        <v>41</v>
      </c>
      <c r="D32" t="s">
        <v>42</v>
      </c>
      <c r="E32" t="s">
        <v>43</v>
      </c>
      <c r="F32" t="s">
        <v>44</v>
      </c>
      <c r="G32" t="s">
        <v>45</v>
      </c>
      <c r="AH32" t="s">
        <v>42</v>
      </c>
      <c r="AI32" t="str">
        <f>"1500"</f>
        <v>1500</v>
      </c>
      <c r="AJ32" t="str">
        <f>"1500"</f>
        <v>1500</v>
      </c>
      <c r="AK32" t="s">
        <v>46</v>
      </c>
      <c r="AL32" s="1">
        <v>44816.544756944444</v>
      </c>
      <c r="AM32" t="s">
        <v>44</v>
      </c>
    </row>
    <row r="33" spans="1:39" x14ac:dyDescent="0.2">
      <c r="A33" t="s">
        <v>79</v>
      </c>
      <c r="B33" t="s">
        <v>40</v>
      </c>
      <c r="C33" t="s">
        <v>41</v>
      </c>
      <c r="D33" t="s">
        <v>42</v>
      </c>
      <c r="E33" t="s">
        <v>43</v>
      </c>
      <c r="F33" t="s">
        <v>44</v>
      </c>
      <c r="G33" t="s">
        <v>45</v>
      </c>
      <c r="AH33" t="s">
        <v>42</v>
      </c>
      <c r="AI33" t="str">
        <f>"66298786775369"</f>
        <v>66298786775369</v>
      </c>
      <c r="AJ33" t="str">
        <f>"3816"</f>
        <v>3816</v>
      </c>
      <c r="AK33" t="s">
        <v>46</v>
      </c>
      <c r="AL33" s="1">
        <v>44816.544756944444</v>
      </c>
      <c r="AM33" t="s">
        <v>44</v>
      </c>
    </row>
    <row r="34" spans="1:39" x14ac:dyDescent="0.2">
      <c r="A34" t="s">
        <v>80</v>
      </c>
      <c r="B34" t="s">
        <v>40</v>
      </c>
      <c r="C34" t="s">
        <v>41</v>
      </c>
      <c r="D34" t="s">
        <v>42</v>
      </c>
      <c r="E34" t="s">
        <v>43</v>
      </c>
      <c r="F34" t="s">
        <v>44</v>
      </c>
      <c r="G34" t="s">
        <v>45</v>
      </c>
      <c r="AH34" t="s">
        <v>42</v>
      </c>
      <c r="AI34" t="str">
        <f>"66298786814445"</f>
        <v>66298786814445</v>
      </c>
      <c r="AJ34" t="str">
        <f>"10110"</f>
        <v>10110</v>
      </c>
      <c r="AK34" t="s">
        <v>46</v>
      </c>
      <c r="AL34" s="1">
        <v>44816.544768518521</v>
      </c>
      <c r="AM34" t="s">
        <v>44</v>
      </c>
    </row>
    <row r="35" spans="1:39" x14ac:dyDescent="0.2">
      <c r="A35" t="s">
        <v>81</v>
      </c>
      <c r="B35" t="s">
        <v>40</v>
      </c>
      <c r="C35" t="s">
        <v>41</v>
      </c>
      <c r="D35" t="s">
        <v>42</v>
      </c>
      <c r="E35" t="s">
        <v>43</v>
      </c>
      <c r="F35" t="s">
        <v>44</v>
      </c>
      <c r="G35" t="s">
        <v>45</v>
      </c>
      <c r="AH35" t="s">
        <v>42</v>
      </c>
      <c r="AI35" t="str">
        <f>"66298786852838"</f>
        <v>66298786852838</v>
      </c>
      <c r="AJ35" t="str">
        <f>"10767"</f>
        <v>10767</v>
      </c>
      <c r="AK35" t="s">
        <v>46</v>
      </c>
      <c r="AL35" s="1">
        <v>44816.544768518521</v>
      </c>
      <c r="AM35" t="s">
        <v>44</v>
      </c>
    </row>
    <row r="36" spans="1:39" x14ac:dyDescent="0.2">
      <c r="A36" t="s">
        <v>82</v>
      </c>
      <c r="B36" t="s">
        <v>40</v>
      </c>
      <c r="C36" t="s">
        <v>41</v>
      </c>
      <c r="D36" t="s">
        <v>42</v>
      </c>
      <c r="E36" t="s">
        <v>43</v>
      </c>
      <c r="F36" t="s">
        <v>44</v>
      </c>
      <c r="G36" t="s">
        <v>45</v>
      </c>
      <c r="AH36" t="s">
        <v>42</v>
      </c>
      <c r="AI36" t="str">
        <f>"66298787339724"</f>
        <v>66298787339724</v>
      </c>
      <c r="AJ36" t="str">
        <f>"104034"</f>
        <v>104034</v>
      </c>
      <c r="AK36" t="s">
        <v>46</v>
      </c>
      <c r="AL36" s="1">
        <v>44816.54482638889</v>
      </c>
      <c r="AM36" t="s">
        <v>44</v>
      </c>
    </row>
    <row r="37" spans="1:39" x14ac:dyDescent="0.2">
      <c r="A37" t="s">
        <v>83</v>
      </c>
      <c r="B37" t="s">
        <v>40</v>
      </c>
      <c r="C37" t="s">
        <v>41</v>
      </c>
      <c r="D37" t="s">
        <v>42</v>
      </c>
      <c r="E37" t="s">
        <v>43</v>
      </c>
      <c r="F37" t="s">
        <v>44</v>
      </c>
      <c r="G37" t="s">
        <v>45</v>
      </c>
      <c r="AH37" t="s">
        <v>42</v>
      </c>
      <c r="AI37" t="str">
        <f>"66298787255546"</f>
        <v>66298787255546</v>
      </c>
      <c r="AJ37" t="str">
        <f>"6010230"</f>
        <v>6010230</v>
      </c>
      <c r="AK37" t="s">
        <v>46</v>
      </c>
      <c r="AL37" s="1">
        <v>44816.544814814813</v>
      </c>
      <c r="AM37" t="s">
        <v>44</v>
      </c>
    </row>
    <row r="38" spans="1:39" x14ac:dyDescent="0.2">
      <c r="A38" t="s">
        <v>84</v>
      </c>
      <c r="B38" t="s">
        <v>40</v>
      </c>
      <c r="C38" t="s">
        <v>41</v>
      </c>
      <c r="D38" t="s">
        <v>42</v>
      </c>
      <c r="E38" t="s">
        <v>43</v>
      </c>
      <c r="F38" t="s">
        <v>44</v>
      </c>
      <c r="G38" t="s">
        <v>45</v>
      </c>
      <c r="AH38" t="s">
        <v>42</v>
      </c>
      <c r="AI38" t="str">
        <f>"6010275"</f>
        <v>6010275</v>
      </c>
      <c r="AJ38" t="str">
        <f>"6010275"</f>
        <v>6010275</v>
      </c>
      <c r="AK38" t="s">
        <v>46</v>
      </c>
      <c r="AL38" s="1">
        <v>45072.702974537038</v>
      </c>
      <c r="AM38" t="s">
        <v>44</v>
      </c>
    </row>
    <row r="39" spans="1:39" x14ac:dyDescent="0.2">
      <c r="A39" t="s">
        <v>85</v>
      </c>
      <c r="B39" t="s">
        <v>40</v>
      </c>
      <c r="C39" t="s">
        <v>41</v>
      </c>
      <c r="D39" t="s">
        <v>42</v>
      </c>
      <c r="E39" t="s">
        <v>43</v>
      </c>
      <c r="F39" t="s">
        <v>44</v>
      </c>
      <c r="G39" t="s">
        <v>45</v>
      </c>
      <c r="AH39" t="s">
        <v>42</v>
      </c>
      <c r="AI39" t="str">
        <f>"66298787089530"</f>
        <v>66298787089530</v>
      </c>
      <c r="AJ39" t="str">
        <f>"6010106"</f>
        <v>6010106</v>
      </c>
      <c r="AK39" t="s">
        <v>46</v>
      </c>
      <c r="AL39" s="1">
        <v>44816.544791666667</v>
      </c>
      <c r="AM39" t="s">
        <v>44</v>
      </c>
    </row>
    <row r="40" spans="1:39" x14ac:dyDescent="0.2">
      <c r="A40" t="s">
        <v>86</v>
      </c>
      <c r="B40" t="s">
        <v>40</v>
      </c>
      <c r="C40" t="s">
        <v>41</v>
      </c>
      <c r="D40" t="s">
        <v>42</v>
      </c>
      <c r="E40" t="s">
        <v>43</v>
      </c>
      <c r="F40" t="s">
        <v>44</v>
      </c>
      <c r="G40" t="s">
        <v>45</v>
      </c>
      <c r="AH40" t="s">
        <v>42</v>
      </c>
      <c r="AI40" t="str">
        <f>"66298787132729"</f>
        <v>66298787132729</v>
      </c>
      <c r="AJ40" t="str">
        <f>"6010262"</f>
        <v>6010262</v>
      </c>
      <c r="AK40" t="s">
        <v>46</v>
      </c>
      <c r="AL40" s="1">
        <v>44816.544803240744</v>
      </c>
      <c r="AM40" t="s">
        <v>44</v>
      </c>
    </row>
    <row r="41" spans="1:39" x14ac:dyDescent="0.2">
      <c r="A41" t="s">
        <v>87</v>
      </c>
      <c r="B41" t="s">
        <v>40</v>
      </c>
      <c r="C41" t="s">
        <v>41</v>
      </c>
      <c r="D41" t="s">
        <v>42</v>
      </c>
      <c r="E41" t="s">
        <v>43</v>
      </c>
      <c r="F41" t="s">
        <v>44</v>
      </c>
      <c r="G41" t="s">
        <v>45</v>
      </c>
      <c r="AH41" t="s">
        <v>42</v>
      </c>
      <c r="AI41" t="str">
        <f>"66298787171944"</f>
        <v>66298787171944</v>
      </c>
      <c r="AJ41" t="str">
        <f>"6010107"</f>
        <v>6010107</v>
      </c>
      <c r="AK41" t="s">
        <v>46</v>
      </c>
      <c r="AL41" s="1">
        <v>44816.544803240744</v>
      </c>
      <c r="AM41" t="s">
        <v>44</v>
      </c>
    </row>
    <row r="42" spans="1:39" x14ac:dyDescent="0.2">
      <c r="A42" t="s">
        <v>88</v>
      </c>
      <c r="B42" t="s">
        <v>40</v>
      </c>
      <c r="C42" t="s">
        <v>41</v>
      </c>
      <c r="D42" t="s">
        <v>42</v>
      </c>
      <c r="E42" t="s">
        <v>43</v>
      </c>
      <c r="F42" t="s">
        <v>44</v>
      </c>
      <c r="G42" t="s">
        <v>45</v>
      </c>
      <c r="AH42" t="s">
        <v>42</v>
      </c>
      <c r="AI42" t="str">
        <f>"66298787298518"</f>
        <v>66298787298518</v>
      </c>
      <c r="AJ42" t="str">
        <f>"6010233"</f>
        <v>6010233</v>
      </c>
      <c r="AK42" t="s">
        <v>46</v>
      </c>
      <c r="AL42" s="1">
        <v>44816.544814814813</v>
      </c>
      <c r="AM42" t="s">
        <v>44</v>
      </c>
    </row>
    <row r="43" spans="1:39" x14ac:dyDescent="0.2">
      <c r="A43" t="s">
        <v>89</v>
      </c>
      <c r="B43" t="s">
        <v>40</v>
      </c>
      <c r="C43" t="s">
        <v>41</v>
      </c>
      <c r="D43" t="s">
        <v>42</v>
      </c>
      <c r="E43" t="s">
        <v>43</v>
      </c>
      <c r="F43" t="s">
        <v>44</v>
      </c>
      <c r="G43" t="s">
        <v>45</v>
      </c>
      <c r="AH43" t="s">
        <v>42</v>
      </c>
      <c r="AI43" t="str">
        <f>"66298787048177"</f>
        <v>66298787048177</v>
      </c>
      <c r="AJ43" t="str">
        <f>"6010215"</f>
        <v>6010215</v>
      </c>
      <c r="AK43" t="s">
        <v>46</v>
      </c>
      <c r="AL43" s="1">
        <v>44816.544791666667</v>
      </c>
      <c r="AM43" t="s">
        <v>44</v>
      </c>
    </row>
    <row r="44" spans="1:39" x14ac:dyDescent="0.2">
      <c r="A44" t="s">
        <v>90</v>
      </c>
      <c r="B44" t="s">
        <v>40</v>
      </c>
      <c r="C44" t="s">
        <v>41</v>
      </c>
      <c r="D44" t="s">
        <v>42</v>
      </c>
      <c r="E44" t="s">
        <v>43</v>
      </c>
      <c r="F44" t="s">
        <v>44</v>
      </c>
      <c r="G44" t="s">
        <v>45</v>
      </c>
      <c r="AH44" t="s">
        <v>42</v>
      </c>
      <c r="AI44" t="str">
        <f>"66298787215129"</f>
        <v>66298787215129</v>
      </c>
      <c r="AJ44" t="str">
        <f>"6010111"</f>
        <v>6010111</v>
      </c>
      <c r="AK44" t="s">
        <v>46</v>
      </c>
      <c r="AL44" s="1">
        <v>44816.544814814813</v>
      </c>
      <c r="AM44" t="s">
        <v>44</v>
      </c>
    </row>
    <row r="45" spans="1:39" x14ac:dyDescent="0.2">
      <c r="A45" t="s">
        <v>91</v>
      </c>
      <c r="B45" t="s">
        <v>40</v>
      </c>
      <c r="C45" t="s">
        <v>41</v>
      </c>
      <c r="D45" t="s">
        <v>42</v>
      </c>
      <c r="E45" t="s">
        <v>43</v>
      </c>
      <c r="F45" t="s">
        <v>44</v>
      </c>
      <c r="G45" t="s">
        <v>45</v>
      </c>
      <c r="AH45" t="s">
        <v>42</v>
      </c>
      <c r="AI45" t="str">
        <f>"66298787378834"</f>
        <v>66298787378834</v>
      </c>
      <c r="AJ45" t="str">
        <f>"NITROIL10W-40"</f>
        <v>NITROIL10W-40</v>
      </c>
      <c r="AK45" t="s">
        <v>46</v>
      </c>
      <c r="AL45" s="1">
        <v>44816.54482638889</v>
      </c>
      <c r="AM45" t="s">
        <v>44</v>
      </c>
    </row>
    <row r="46" spans="1:39" x14ac:dyDescent="0.2">
      <c r="A46" t="s">
        <v>92</v>
      </c>
      <c r="B46" t="s">
        <v>40</v>
      </c>
      <c r="C46" t="s">
        <v>41</v>
      </c>
      <c r="D46" t="s">
        <v>42</v>
      </c>
      <c r="E46" t="s">
        <v>43</v>
      </c>
      <c r="F46" t="s">
        <v>44</v>
      </c>
      <c r="G46" t="s">
        <v>45</v>
      </c>
      <c r="AH46" t="s">
        <v>42</v>
      </c>
      <c r="AI46" t="str">
        <f>"NITROIL20W-50"</f>
        <v>NITROIL20W-50</v>
      </c>
      <c r="AJ46" t="str">
        <f>"NITROIL20W-50"</f>
        <v>NITROIL20W-50</v>
      </c>
      <c r="AK46" t="s">
        <v>46</v>
      </c>
      <c r="AL46" s="1">
        <v>44840.874907407408</v>
      </c>
      <c r="AM46" t="s">
        <v>44</v>
      </c>
    </row>
    <row r="47" spans="1:39" x14ac:dyDescent="0.2">
      <c r="A47" t="s">
        <v>93</v>
      </c>
      <c r="B47" t="s">
        <v>40</v>
      </c>
      <c r="C47" t="s">
        <v>41</v>
      </c>
      <c r="D47" t="s">
        <v>42</v>
      </c>
      <c r="E47" t="s">
        <v>43</v>
      </c>
      <c r="F47" t="s">
        <v>44</v>
      </c>
      <c r="G47" t="s">
        <v>45</v>
      </c>
      <c r="AH47" t="s">
        <v>42</v>
      </c>
      <c r="AI47" t="str">
        <f>"66298787421628"</f>
        <v>66298787421628</v>
      </c>
      <c r="AJ47" t="str">
        <f>"160N51"</f>
        <v>160N51</v>
      </c>
      <c r="AK47" t="s">
        <v>46</v>
      </c>
      <c r="AL47" s="1">
        <v>44816.54483796296</v>
      </c>
      <c r="AM47" t="s">
        <v>44</v>
      </c>
    </row>
    <row r="48" spans="1:39" x14ac:dyDescent="0.2">
      <c r="A48" t="s">
        <v>94</v>
      </c>
      <c r="B48" t="s">
        <v>40</v>
      </c>
      <c r="C48" t="s">
        <v>41</v>
      </c>
      <c r="D48" t="s">
        <v>42</v>
      </c>
      <c r="E48" t="s">
        <v>43</v>
      </c>
      <c r="F48" t="s">
        <v>44</v>
      </c>
      <c r="G48" t="s">
        <v>45</v>
      </c>
      <c r="AH48" t="s">
        <v>42</v>
      </c>
      <c r="AI48" t="str">
        <f>"66298787461211"</f>
        <v>66298787461211</v>
      </c>
      <c r="AJ48" t="str">
        <f>"160M51"</f>
        <v>160M51</v>
      </c>
      <c r="AK48" t="s">
        <v>46</v>
      </c>
      <c r="AL48" s="1">
        <v>44816.54483796296</v>
      </c>
      <c r="AM48" t="s">
        <v>44</v>
      </c>
    </row>
    <row r="49" spans="1:39" x14ac:dyDescent="0.2">
      <c r="A49" t="s">
        <v>95</v>
      </c>
      <c r="B49" t="s">
        <v>40</v>
      </c>
      <c r="C49" t="s">
        <v>41</v>
      </c>
      <c r="D49" t="s">
        <v>42</v>
      </c>
      <c r="E49" t="s">
        <v>43</v>
      </c>
      <c r="F49" t="s">
        <v>44</v>
      </c>
      <c r="G49" t="s">
        <v>45</v>
      </c>
      <c r="AH49" t="s">
        <v>42</v>
      </c>
      <c r="AI49" t="str">
        <f>"RPP2131THA"</f>
        <v>RPP2131THA</v>
      </c>
      <c r="AJ49" t="str">
        <f>"RPP2131THA"</f>
        <v>RPP2131THA</v>
      </c>
      <c r="AK49" t="s">
        <v>46</v>
      </c>
      <c r="AL49" s="1">
        <v>44816.54483796296</v>
      </c>
      <c r="AM49" t="s">
        <v>44</v>
      </c>
    </row>
    <row r="50" spans="1:39" x14ac:dyDescent="0.2">
      <c r="A50" t="s">
        <v>96</v>
      </c>
      <c r="B50" t="s">
        <v>40</v>
      </c>
      <c r="C50" t="s">
        <v>41</v>
      </c>
      <c r="D50" t="s">
        <v>42</v>
      </c>
      <c r="E50" t="s">
        <v>43</v>
      </c>
      <c r="F50" t="s">
        <v>44</v>
      </c>
      <c r="G50" t="s">
        <v>45</v>
      </c>
      <c r="AH50" t="s">
        <v>42</v>
      </c>
      <c r="AI50" t="str">
        <f>"66298787538000"</f>
        <v>66298787538000</v>
      </c>
      <c r="AJ50" t="str">
        <f>"169Q51"</f>
        <v>169Q51</v>
      </c>
      <c r="AK50" t="s">
        <v>46</v>
      </c>
      <c r="AL50" s="1">
        <v>44816.544849537036</v>
      </c>
      <c r="AM50" t="s">
        <v>44</v>
      </c>
    </row>
    <row r="51" spans="1:39" x14ac:dyDescent="0.2">
      <c r="A51" t="s">
        <v>96</v>
      </c>
      <c r="B51" t="s">
        <v>40</v>
      </c>
      <c r="C51" t="s">
        <v>41</v>
      </c>
      <c r="D51" t="s">
        <v>42</v>
      </c>
      <c r="E51" t="s">
        <v>43</v>
      </c>
      <c r="F51" t="s">
        <v>44</v>
      </c>
      <c r="G51" t="s">
        <v>45</v>
      </c>
      <c r="AH51" t="s">
        <v>42</v>
      </c>
      <c r="AI51" t="str">
        <f>"RPP2065THC"</f>
        <v>RPP2065THC</v>
      </c>
      <c r="AJ51" t="str">
        <f>"RPP2065THC"</f>
        <v>RPP2065THC</v>
      </c>
      <c r="AK51" t="s">
        <v>46</v>
      </c>
      <c r="AL51" s="1">
        <v>44862.791631944441</v>
      </c>
      <c r="AM51" t="s">
        <v>44</v>
      </c>
    </row>
    <row r="52" spans="1:39" x14ac:dyDescent="0.2">
      <c r="A52" t="s">
        <v>97</v>
      </c>
      <c r="B52" t="s">
        <v>40</v>
      </c>
      <c r="C52" t="s">
        <v>41</v>
      </c>
      <c r="D52" t="s">
        <v>42</v>
      </c>
      <c r="E52" t="s">
        <v>43</v>
      </c>
      <c r="F52" t="s">
        <v>44</v>
      </c>
      <c r="G52" t="s">
        <v>45</v>
      </c>
      <c r="AH52" t="s">
        <v>42</v>
      </c>
      <c r="AI52" t="str">
        <f>"14053"</f>
        <v>14053</v>
      </c>
      <c r="AJ52" t="str">
        <f>"14053"</f>
        <v>14053</v>
      </c>
      <c r="AK52" t="s">
        <v>46</v>
      </c>
      <c r="AL52" s="1">
        <v>44950.663912037038</v>
      </c>
      <c r="AM52" t="s">
        <v>44</v>
      </c>
    </row>
    <row r="53" spans="1:39" x14ac:dyDescent="0.2">
      <c r="A53" t="s">
        <v>98</v>
      </c>
      <c r="B53" t="s">
        <v>40</v>
      </c>
      <c r="C53" t="s">
        <v>41</v>
      </c>
      <c r="D53" t="s">
        <v>42</v>
      </c>
      <c r="E53" t="s">
        <v>43</v>
      </c>
      <c r="F53" t="s">
        <v>44</v>
      </c>
      <c r="G53" t="s">
        <v>45</v>
      </c>
      <c r="AH53" t="s">
        <v>42</v>
      </c>
      <c r="AI53" t="str">
        <f>"14054"</f>
        <v>14054</v>
      </c>
      <c r="AJ53" t="str">
        <f>"14054"</f>
        <v>14054</v>
      </c>
      <c r="AK53" t="s">
        <v>46</v>
      </c>
      <c r="AL53" s="1">
        <v>44950.665821759256</v>
      </c>
      <c r="AM53" t="s">
        <v>44</v>
      </c>
    </row>
    <row r="54" spans="1:39" x14ac:dyDescent="0.2">
      <c r="A54" t="s">
        <v>99</v>
      </c>
      <c r="B54" t="s">
        <v>40</v>
      </c>
      <c r="C54" t="s">
        <v>41</v>
      </c>
      <c r="D54" t="s">
        <v>42</v>
      </c>
      <c r="E54" t="s">
        <v>43</v>
      </c>
      <c r="F54" t="s">
        <v>44</v>
      </c>
      <c r="G54" t="s">
        <v>45</v>
      </c>
      <c r="AH54" t="s">
        <v>42</v>
      </c>
      <c r="AI54" t="str">
        <f>"14055"</f>
        <v>14055</v>
      </c>
      <c r="AJ54" t="str">
        <f>"14055"</f>
        <v>14055</v>
      </c>
      <c r="AK54" t="s">
        <v>46</v>
      </c>
      <c r="AL54" s="1">
        <v>44950.66678240741</v>
      </c>
      <c r="AM54" t="s">
        <v>44</v>
      </c>
    </row>
    <row r="55" spans="1:39" x14ac:dyDescent="0.2">
      <c r="A55" t="s">
        <v>100</v>
      </c>
      <c r="B55" t="s">
        <v>40</v>
      </c>
      <c r="C55" t="s">
        <v>41</v>
      </c>
      <c r="D55" t="s">
        <v>42</v>
      </c>
      <c r="E55" t="s">
        <v>43</v>
      </c>
      <c r="F55" t="s">
        <v>44</v>
      </c>
      <c r="G55" t="s">
        <v>45</v>
      </c>
      <c r="AH55" t="s">
        <v>42</v>
      </c>
      <c r="AI55" t="str">
        <f>"66298787578009"</f>
        <v>66298787578009</v>
      </c>
      <c r="AJ55" t="str">
        <f>"701786"</f>
        <v>701786</v>
      </c>
      <c r="AK55" t="s">
        <v>46</v>
      </c>
      <c r="AL55" s="1">
        <v>44816.544849537036</v>
      </c>
      <c r="AM55" t="s">
        <v>44</v>
      </c>
    </row>
    <row r="56" spans="1:39" x14ac:dyDescent="0.2">
      <c r="A56" t="s">
        <v>101</v>
      </c>
      <c r="B56" t="s">
        <v>40</v>
      </c>
      <c r="C56" t="s">
        <v>41</v>
      </c>
      <c r="D56" t="s">
        <v>42</v>
      </c>
      <c r="E56" t="s">
        <v>43</v>
      </c>
      <c r="F56" t="s">
        <v>44</v>
      </c>
      <c r="G56" t="s">
        <v>45</v>
      </c>
      <c r="AH56" t="s">
        <v>42</v>
      </c>
      <c r="AI56" t="str">
        <f>"66298787623732"</f>
        <v>66298787623732</v>
      </c>
      <c r="AJ56" t="str">
        <f>"701842"</f>
        <v>701842</v>
      </c>
      <c r="AK56" t="s">
        <v>46</v>
      </c>
      <c r="AL56" s="1">
        <v>44816.544861111113</v>
      </c>
      <c r="AM56" t="s">
        <v>44</v>
      </c>
    </row>
    <row r="57" spans="1:39" x14ac:dyDescent="0.2">
      <c r="A57" t="s">
        <v>102</v>
      </c>
      <c r="B57" t="s">
        <v>40</v>
      </c>
      <c r="C57" t="s">
        <v>41</v>
      </c>
      <c r="D57" t="s">
        <v>42</v>
      </c>
      <c r="E57" t="s">
        <v>43</v>
      </c>
      <c r="F57" t="s">
        <v>44</v>
      </c>
      <c r="G57" t="s">
        <v>45</v>
      </c>
      <c r="AH57" t="s">
        <v>42</v>
      </c>
      <c r="AI57" t="str">
        <f>"66298787673056"</f>
        <v>66298787673056</v>
      </c>
      <c r="AJ57" t="str">
        <f>"701787"</f>
        <v>701787</v>
      </c>
      <c r="AK57" t="s">
        <v>46</v>
      </c>
      <c r="AL57" s="1">
        <v>44816.544861111113</v>
      </c>
      <c r="AM57" t="s">
        <v>44</v>
      </c>
    </row>
    <row r="58" spans="1:39" x14ac:dyDescent="0.2">
      <c r="A58" t="s">
        <v>103</v>
      </c>
      <c r="B58" t="s">
        <v>40</v>
      </c>
      <c r="C58" t="s">
        <v>41</v>
      </c>
      <c r="D58" t="s">
        <v>42</v>
      </c>
      <c r="E58" t="s">
        <v>43</v>
      </c>
      <c r="F58" t="s">
        <v>44</v>
      </c>
      <c r="G58" t="s">
        <v>45</v>
      </c>
      <c r="AH58" t="s">
        <v>42</v>
      </c>
      <c r="AI58" t="str">
        <f>"66298787720426"</f>
        <v>66298787720426</v>
      </c>
      <c r="AJ58" t="str">
        <f>"701789"</f>
        <v>701789</v>
      </c>
      <c r="AK58" t="s">
        <v>46</v>
      </c>
      <c r="AL58" s="1">
        <v>44816.544872685183</v>
      </c>
      <c r="AM58" t="s">
        <v>44</v>
      </c>
    </row>
    <row r="59" spans="1:39" x14ac:dyDescent="0.2">
      <c r="A59" t="s">
        <v>104</v>
      </c>
      <c r="B59" t="s">
        <v>40</v>
      </c>
      <c r="C59" t="s">
        <v>41</v>
      </c>
      <c r="D59" t="s">
        <v>42</v>
      </c>
      <c r="E59" t="s">
        <v>43</v>
      </c>
      <c r="F59" t="s">
        <v>44</v>
      </c>
      <c r="G59" t="s">
        <v>45</v>
      </c>
      <c r="AH59" t="s">
        <v>42</v>
      </c>
      <c r="AI59" t="str">
        <f>"66298787768776"</f>
        <v>66298787768776</v>
      </c>
      <c r="AJ59" t="str">
        <f>"107996"</f>
        <v>107996</v>
      </c>
      <c r="AK59" t="s">
        <v>46</v>
      </c>
      <c r="AL59" s="1">
        <v>44816.544872685183</v>
      </c>
      <c r="AM59" t="s">
        <v>44</v>
      </c>
    </row>
    <row r="60" spans="1:39" x14ac:dyDescent="0.2">
      <c r="A60" t="s">
        <v>105</v>
      </c>
      <c r="B60" t="s">
        <v>40</v>
      </c>
      <c r="C60" t="s">
        <v>41</v>
      </c>
      <c r="D60" t="s">
        <v>42</v>
      </c>
      <c r="E60" t="s">
        <v>43</v>
      </c>
      <c r="F60" t="s">
        <v>44</v>
      </c>
      <c r="G60" t="s">
        <v>45</v>
      </c>
      <c r="AH60" t="s">
        <v>42</v>
      </c>
      <c r="AI60" t="str">
        <f>"66298787809728"</f>
        <v>66298787809728</v>
      </c>
      <c r="AJ60" t="str">
        <f>"107696"</f>
        <v>107696</v>
      </c>
      <c r="AK60" t="s">
        <v>46</v>
      </c>
      <c r="AL60" s="1">
        <v>44816.54488425926</v>
      </c>
      <c r="AM60" t="s">
        <v>44</v>
      </c>
    </row>
    <row r="61" spans="1:39" x14ac:dyDescent="0.2">
      <c r="A61" t="s">
        <v>106</v>
      </c>
      <c r="B61" t="s">
        <v>40</v>
      </c>
      <c r="C61" t="s">
        <v>41</v>
      </c>
      <c r="D61" t="s">
        <v>42</v>
      </c>
      <c r="E61" t="s">
        <v>43</v>
      </c>
      <c r="F61" t="s">
        <v>44</v>
      </c>
      <c r="G61" t="s">
        <v>45</v>
      </c>
      <c r="AH61" t="s">
        <v>42</v>
      </c>
      <c r="AI61" t="str">
        <f>"66298787857853"</f>
        <v>66298787857853</v>
      </c>
      <c r="AJ61" t="str">
        <f>"107796"</f>
        <v>107796</v>
      </c>
      <c r="AK61" t="s">
        <v>46</v>
      </c>
      <c r="AL61" s="1">
        <v>44816.54488425926</v>
      </c>
      <c r="AM61" t="s">
        <v>44</v>
      </c>
    </row>
    <row r="62" spans="1:39" x14ac:dyDescent="0.2">
      <c r="A62" t="s">
        <v>107</v>
      </c>
      <c r="B62" t="s">
        <v>40</v>
      </c>
      <c r="C62" t="s">
        <v>41</v>
      </c>
      <c r="D62" t="s">
        <v>42</v>
      </c>
      <c r="E62" t="s">
        <v>43</v>
      </c>
      <c r="F62" t="s">
        <v>44</v>
      </c>
      <c r="G62" t="s">
        <v>45</v>
      </c>
      <c r="AH62" t="s">
        <v>42</v>
      </c>
      <c r="AI62" t="str">
        <f>"66298787903641"</f>
        <v>66298787903641</v>
      </c>
      <c r="AJ62" t="str">
        <f>"800663"</f>
        <v>800663</v>
      </c>
      <c r="AK62" t="s">
        <v>46</v>
      </c>
      <c r="AL62" s="1">
        <v>44816.544895833336</v>
      </c>
      <c r="AM62" t="s">
        <v>44</v>
      </c>
    </row>
    <row r="63" spans="1:39" x14ac:dyDescent="0.2">
      <c r="A63" t="s">
        <v>108</v>
      </c>
      <c r="B63" t="s">
        <v>40</v>
      </c>
      <c r="C63" t="s">
        <v>41</v>
      </c>
      <c r="D63" t="s">
        <v>42</v>
      </c>
      <c r="E63" t="s">
        <v>43</v>
      </c>
      <c r="F63" t="s">
        <v>44</v>
      </c>
      <c r="G63" t="s">
        <v>45</v>
      </c>
      <c r="AH63" t="s">
        <v>42</v>
      </c>
      <c r="AI63" t="str">
        <f>"66298787945885"</f>
        <v>66298787945885</v>
      </c>
      <c r="AJ63" t="str">
        <f>"73920"</f>
        <v>73920</v>
      </c>
      <c r="AK63" t="s">
        <v>46</v>
      </c>
      <c r="AL63" s="1">
        <v>44816.544895833336</v>
      </c>
      <c r="AM63" t="s">
        <v>44</v>
      </c>
    </row>
    <row r="64" spans="1:39" x14ac:dyDescent="0.2">
      <c r="A64" t="s">
        <v>109</v>
      </c>
      <c r="B64" t="s">
        <v>40</v>
      </c>
      <c r="C64" t="s">
        <v>41</v>
      </c>
      <c r="D64" t="s">
        <v>42</v>
      </c>
      <c r="E64" t="s">
        <v>43</v>
      </c>
      <c r="F64" t="s">
        <v>44</v>
      </c>
      <c r="G64" t="s">
        <v>45</v>
      </c>
      <c r="AH64" t="s">
        <v>42</v>
      </c>
      <c r="AI64" t="str">
        <f>"66298787991826"</f>
        <v>66298787991826</v>
      </c>
      <c r="AJ64" t="str">
        <f>"H048"</f>
        <v>H048</v>
      </c>
      <c r="AK64" t="s">
        <v>46</v>
      </c>
      <c r="AL64" s="1">
        <v>44816.544895833336</v>
      </c>
      <c r="AM64" t="s">
        <v>44</v>
      </c>
    </row>
    <row r="65" spans="1:39" x14ac:dyDescent="0.2">
      <c r="A65" t="s">
        <v>110</v>
      </c>
      <c r="B65" t="s">
        <v>40</v>
      </c>
      <c r="C65" t="s">
        <v>41</v>
      </c>
      <c r="D65" t="s">
        <v>42</v>
      </c>
      <c r="E65" t="s">
        <v>43</v>
      </c>
      <c r="F65" t="s">
        <v>44</v>
      </c>
      <c r="G65" t="s">
        <v>45</v>
      </c>
      <c r="AH65" t="s">
        <v>42</v>
      </c>
      <c r="AI65" t="str">
        <f>"66298788034546"</f>
        <v>66298788034546</v>
      </c>
      <c r="AJ65" t="str">
        <f>"800536"</f>
        <v>800536</v>
      </c>
      <c r="AK65" t="s">
        <v>46</v>
      </c>
      <c r="AL65" s="1">
        <v>44816.544907407406</v>
      </c>
      <c r="AM65" t="s">
        <v>44</v>
      </c>
    </row>
    <row r="66" spans="1:39" x14ac:dyDescent="0.2">
      <c r="A66" t="s">
        <v>111</v>
      </c>
      <c r="B66" t="s">
        <v>40</v>
      </c>
      <c r="C66" t="s">
        <v>15</v>
      </c>
      <c r="D66" t="s">
        <v>42</v>
      </c>
      <c r="E66" t="s">
        <v>43</v>
      </c>
      <c r="F66" t="s">
        <v>44</v>
      </c>
      <c r="G66" t="s">
        <v>45</v>
      </c>
      <c r="AH66" t="s">
        <v>42</v>
      </c>
      <c r="AI66" t="str">
        <f>"66298788077576"</f>
        <v>66298788077576</v>
      </c>
      <c r="AJ66" t="str">
        <f>"KB004-C"</f>
        <v>KB004-C</v>
      </c>
      <c r="AK66" t="s">
        <v>46</v>
      </c>
      <c r="AL66" s="1">
        <v>44816.544907407406</v>
      </c>
      <c r="AM66" t="s">
        <v>44</v>
      </c>
    </row>
    <row r="67" spans="1:39" x14ac:dyDescent="0.2">
      <c r="A67" t="s">
        <v>112</v>
      </c>
      <c r="B67" t="s">
        <v>40</v>
      </c>
      <c r="C67" t="s">
        <v>15</v>
      </c>
      <c r="D67" t="s">
        <v>42</v>
      </c>
      <c r="E67" t="s">
        <v>43</v>
      </c>
      <c r="F67" t="s">
        <v>44</v>
      </c>
      <c r="G67" t="s">
        <v>45</v>
      </c>
      <c r="AH67" t="s">
        <v>42</v>
      </c>
      <c r="AI67" t="str">
        <f>"66298788119612"</f>
        <v>66298788119612</v>
      </c>
      <c r="AJ67" t="str">
        <f>"KB004-A"</f>
        <v>KB004-A</v>
      </c>
      <c r="AK67" t="s">
        <v>46</v>
      </c>
      <c r="AL67" s="1">
        <v>44816.544918981483</v>
      </c>
      <c r="AM67" t="s">
        <v>44</v>
      </c>
    </row>
    <row r="68" spans="1:39" x14ac:dyDescent="0.2">
      <c r="A68" t="s">
        <v>113</v>
      </c>
      <c r="B68" t="s">
        <v>40</v>
      </c>
      <c r="C68" t="s">
        <v>15</v>
      </c>
      <c r="D68" t="s">
        <v>42</v>
      </c>
      <c r="E68" t="s">
        <v>43</v>
      </c>
      <c r="F68" t="s">
        <v>44</v>
      </c>
      <c r="G68" t="s">
        <v>45</v>
      </c>
      <c r="AH68" t="s">
        <v>42</v>
      </c>
      <c r="AI68" t="str">
        <f>"66298788160575"</f>
        <v>66298788160575</v>
      </c>
      <c r="AJ68" t="str">
        <f>"KB004-B"</f>
        <v>KB004-B</v>
      </c>
      <c r="AK68" t="s">
        <v>46</v>
      </c>
      <c r="AL68" s="1">
        <v>44816.544918981483</v>
      </c>
      <c r="AM68" t="s">
        <v>44</v>
      </c>
    </row>
    <row r="69" spans="1:39" x14ac:dyDescent="0.2">
      <c r="A69" t="s">
        <v>114</v>
      </c>
      <c r="B69" t="s">
        <v>40</v>
      </c>
      <c r="C69" t="s">
        <v>15</v>
      </c>
      <c r="D69" t="s">
        <v>42</v>
      </c>
      <c r="E69" t="s">
        <v>43</v>
      </c>
      <c r="F69" t="s">
        <v>44</v>
      </c>
      <c r="G69" t="s">
        <v>45</v>
      </c>
      <c r="AH69" t="s">
        <v>42</v>
      </c>
      <c r="AI69" t="str">
        <f>"66298788200764"</f>
        <v>66298788200764</v>
      </c>
      <c r="AJ69" t="str">
        <f>"KB002"</f>
        <v>KB002</v>
      </c>
      <c r="AK69" t="s">
        <v>46</v>
      </c>
      <c r="AL69" s="1">
        <v>44816.544930555552</v>
      </c>
      <c r="AM69" t="s">
        <v>44</v>
      </c>
    </row>
    <row r="70" spans="1:39" x14ac:dyDescent="0.2">
      <c r="A70" t="s">
        <v>115</v>
      </c>
      <c r="B70" t="s">
        <v>40</v>
      </c>
      <c r="C70" t="s">
        <v>15</v>
      </c>
      <c r="D70" t="s">
        <v>42</v>
      </c>
      <c r="E70" t="s">
        <v>43</v>
      </c>
      <c r="F70" t="s">
        <v>44</v>
      </c>
      <c r="G70" t="s">
        <v>45</v>
      </c>
      <c r="AH70" t="s">
        <v>42</v>
      </c>
      <c r="AI70" t="str">
        <f>"66298788244552"</f>
        <v>66298788244552</v>
      </c>
      <c r="AJ70" t="str">
        <f>"KB004-D"</f>
        <v>KB004-D</v>
      </c>
      <c r="AK70" t="s">
        <v>46</v>
      </c>
      <c r="AL70" s="1">
        <v>44816.544930555552</v>
      </c>
      <c r="AM70" t="s">
        <v>44</v>
      </c>
    </row>
    <row r="71" spans="1:39" x14ac:dyDescent="0.2">
      <c r="A71" t="s">
        <v>116</v>
      </c>
      <c r="B71" t="s">
        <v>40</v>
      </c>
      <c r="C71" t="s">
        <v>15</v>
      </c>
      <c r="D71" t="s">
        <v>42</v>
      </c>
      <c r="E71" t="s">
        <v>43</v>
      </c>
      <c r="F71" t="s">
        <v>44</v>
      </c>
      <c r="G71" t="s">
        <v>45</v>
      </c>
      <c r="AH71" t="s">
        <v>42</v>
      </c>
      <c r="AI71" t="str">
        <f>"KB013-A"</f>
        <v>KB013-A</v>
      </c>
      <c r="AJ71" t="str">
        <f>"KB013-A"</f>
        <v>KB013-A</v>
      </c>
      <c r="AK71" t="s">
        <v>46</v>
      </c>
      <c r="AL71" s="1">
        <v>44816.544942129629</v>
      </c>
      <c r="AM71" t="s">
        <v>44</v>
      </c>
    </row>
    <row r="72" spans="1:39" x14ac:dyDescent="0.2">
      <c r="A72" t="s">
        <v>117</v>
      </c>
      <c r="B72" t="s">
        <v>40</v>
      </c>
      <c r="C72" t="s">
        <v>15</v>
      </c>
      <c r="D72" t="s">
        <v>42</v>
      </c>
      <c r="E72" t="s">
        <v>43</v>
      </c>
      <c r="F72" t="s">
        <v>44</v>
      </c>
      <c r="G72" t="s">
        <v>45</v>
      </c>
      <c r="AH72" t="s">
        <v>42</v>
      </c>
      <c r="AI72" t="str">
        <f>"66298788283502"</f>
        <v>66298788283502</v>
      </c>
      <c r="AJ72" t="str">
        <f>"KB004"</f>
        <v>KB004</v>
      </c>
      <c r="AK72" t="s">
        <v>46</v>
      </c>
      <c r="AL72" s="1">
        <v>44816.544930555552</v>
      </c>
      <c r="AM72" t="s">
        <v>44</v>
      </c>
    </row>
    <row r="73" spans="1:39" x14ac:dyDescent="0.2">
      <c r="A73" t="s">
        <v>118</v>
      </c>
      <c r="B73" t="s">
        <v>40</v>
      </c>
      <c r="C73" t="s">
        <v>50</v>
      </c>
      <c r="D73" t="s">
        <v>42</v>
      </c>
      <c r="E73" t="s">
        <v>43</v>
      </c>
      <c r="F73" t="s">
        <v>44</v>
      </c>
      <c r="G73" t="s">
        <v>45</v>
      </c>
      <c r="AH73" t="s">
        <v>42</v>
      </c>
      <c r="AI73" t="str">
        <f>"KB013"</f>
        <v>KB013</v>
      </c>
      <c r="AJ73" t="str">
        <f>"KB013"</f>
        <v>KB013</v>
      </c>
      <c r="AK73" t="s">
        <v>46</v>
      </c>
      <c r="AL73" s="1">
        <v>45131.69767361111</v>
      </c>
      <c r="AM73" t="s">
        <v>44</v>
      </c>
    </row>
    <row r="74" spans="1:39" x14ac:dyDescent="0.2">
      <c r="A74" t="s">
        <v>119</v>
      </c>
      <c r="B74" t="s">
        <v>40</v>
      </c>
      <c r="C74" t="s">
        <v>15</v>
      </c>
      <c r="D74" t="s">
        <v>42</v>
      </c>
      <c r="E74" t="s">
        <v>43</v>
      </c>
      <c r="F74" t="s">
        <v>44</v>
      </c>
      <c r="G74" t="s">
        <v>45</v>
      </c>
      <c r="AH74" t="s">
        <v>42</v>
      </c>
      <c r="AI74" t="str">
        <f>"66298788365361"</f>
        <v>66298788365361</v>
      </c>
      <c r="AJ74" t="str">
        <f>"KB002-8/10"</f>
        <v>KB002-8/10</v>
      </c>
      <c r="AK74" t="s">
        <v>46</v>
      </c>
      <c r="AL74" s="1">
        <v>44816.544942129629</v>
      </c>
      <c r="AM74" t="s">
        <v>44</v>
      </c>
    </row>
    <row r="75" spans="1:39" x14ac:dyDescent="0.2">
      <c r="A75" t="s">
        <v>120</v>
      </c>
      <c r="B75" t="s">
        <v>40</v>
      </c>
      <c r="C75" t="s">
        <v>15</v>
      </c>
      <c r="D75" t="s">
        <v>42</v>
      </c>
      <c r="E75" t="s">
        <v>43</v>
      </c>
      <c r="F75" t="s">
        <v>44</v>
      </c>
      <c r="G75" t="s">
        <v>45</v>
      </c>
      <c r="AH75" t="s">
        <v>42</v>
      </c>
      <c r="AI75" t="str">
        <f>"66298788405405"</f>
        <v>66298788405405</v>
      </c>
      <c r="AJ75" t="str">
        <f>"H112"</f>
        <v>H112</v>
      </c>
      <c r="AK75" t="s">
        <v>46</v>
      </c>
      <c r="AL75" s="1">
        <v>44816.544953703706</v>
      </c>
      <c r="AM75" t="s">
        <v>44</v>
      </c>
    </row>
    <row r="76" spans="1:39" x14ac:dyDescent="0.2">
      <c r="A76" t="s">
        <v>121</v>
      </c>
      <c r="B76" t="s">
        <v>40</v>
      </c>
      <c r="C76" t="s">
        <v>41</v>
      </c>
      <c r="D76" t="s">
        <v>42</v>
      </c>
      <c r="E76" t="s">
        <v>43</v>
      </c>
      <c r="F76" t="s">
        <v>44</v>
      </c>
      <c r="G76" t="s">
        <v>45</v>
      </c>
      <c r="AH76" t="s">
        <v>42</v>
      </c>
      <c r="AI76" t="str">
        <f>"JD027"</f>
        <v>JD027</v>
      </c>
      <c r="AJ76" t="str">
        <f>"JD027"</f>
        <v>JD027</v>
      </c>
      <c r="AK76" t="s">
        <v>46</v>
      </c>
      <c r="AL76" s="1">
        <v>44816.544953703706</v>
      </c>
      <c r="AM76" t="s">
        <v>44</v>
      </c>
    </row>
    <row r="77" spans="1:39" x14ac:dyDescent="0.2">
      <c r="A77" t="s">
        <v>122</v>
      </c>
      <c r="B77" t="s">
        <v>40</v>
      </c>
      <c r="C77" t="s">
        <v>41</v>
      </c>
      <c r="D77" t="s">
        <v>42</v>
      </c>
      <c r="E77" t="s">
        <v>43</v>
      </c>
      <c r="F77" t="s">
        <v>44</v>
      </c>
      <c r="G77" t="s">
        <v>45</v>
      </c>
      <c r="AH77" t="s">
        <v>42</v>
      </c>
      <c r="AI77" t="str">
        <f>"11980"</f>
        <v>11980</v>
      </c>
      <c r="AJ77" t="str">
        <f>"11980"</f>
        <v>11980</v>
      </c>
      <c r="AK77" t="s">
        <v>46</v>
      </c>
      <c r="AL77" s="1">
        <v>44950.673032407409</v>
      </c>
      <c r="AM77" t="s">
        <v>44</v>
      </c>
    </row>
    <row r="78" spans="1:39" x14ac:dyDescent="0.2">
      <c r="A78" t="s">
        <v>123</v>
      </c>
      <c r="B78" t="s">
        <v>40</v>
      </c>
      <c r="C78" t="s">
        <v>41</v>
      </c>
      <c r="D78" t="s">
        <v>42</v>
      </c>
      <c r="E78" t="s">
        <v>43</v>
      </c>
      <c r="F78" t="s">
        <v>44</v>
      </c>
      <c r="G78" t="s">
        <v>45</v>
      </c>
      <c r="AH78" t="s">
        <v>42</v>
      </c>
      <c r="AI78" t="str">
        <f>"66298788482471"</f>
        <v>66298788482471</v>
      </c>
      <c r="AJ78" t="str">
        <f>"JD026"</f>
        <v>JD026</v>
      </c>
      <c r="AK78" t="s">
        <v>46</v>
      </c>
      <c r="AL78" s="1">
        <v>44816.544953703706</v>
      </c>
      <c r="AM78" t="s">
        <v>44</v>
      </c>
    </row>
    <row r="79" spans="1:39" x14ac:dyDescent="0.2">
      <c r="A79" t="s">
        <v>124</v>
      </c>
      <c r="B79" t="s">
        <v>40</v>
      </c>
      <c r="C79" t="s">
        <v>41</v>
      </c>
      <c r="D79" t="s">
        <v>42</v>
      </c>
      <c r="E79" t="s">
        <v>43</v>
      </c>
      <c r="F79" t="s">
        <v>44</v>
      </c>
      <c r="G79" t="s">
        <v>45</v>
      </c>
      <c r="AH79" t="s">
        <v>42</v>
      </c>
      <c r="AI79" t="str">
        <f>"66298788582396"</f>
        <v>66298788582396</v>
      </c>
      <c r="AJ79" t="str">
        <f>"0016A-AMARILLO"</f>
        <v>0016A-AMARILLO</v>
      </c>
      <c r="AK79" t="s">
        <v>46</v>
      </c>
      <c r="AL79" s="1">
        <v>44816.544965277775</v>
      </c>
      <c r="AM79" t="s">
        <v>44</v>
      </c>
    </row>
    <row r="80" spans="1:39" x14ac:dyDescent="0.2">
      <c r="A80" t="s">
        <v>125</v>
      </c>
      <c r="B80" t="s">
        <v>40</v>
      </c>
      <c r="C80" t="s">
        <v>41</v>
      </c>
      <c r="D80" t="s">
        <v>42</v>
      </c>
      <c r="E80" t="s">
        <v>43</v>
      </c>
      <c r="F80" t="s">
        <v>44</v>
      </c>
      <c r="G80" t="s">
        <v>45</v>
      </c>
      <c r="AH80" t="s">
        <v>42</v>
      </c>
      <c r="AI80" t="str">
        <f>"66298788624911"</f>
        <v>66298788624911</v>
      </c>
      <c r="AJ80" t="str">
        <f>"0016A-AZUL"</f>
        <v>0016A-AZUL</v>
      </c>
      <c r="AK80" t="s">
        <v>46</v>
      </c>
      <c r="AL80" s="1">
        <v>44816.544976851852</v>
      </c>
      <c r="AM80" t="s">
        <v>44</v>
      </c>
    </row>
    <row r="81" spans="1:39" x14ac:dyDescent="0.2">
      <c r="A81" t="s">
        <v>126</v>
      </c>
      <c r="B81" t="s">
        <v>40</v>
      </c>
      <c r="C81" t="s">
        <v>41</v>
      </c>
      <c r="D81" t="s">
        <v>42</v>
      </c>
      <c r="E81" t="s">
        <v>43</v>
      </c>
      <c r="F81" t="s">
        <v>44</v>
      </c>
      <c r="G81" t="s">
        <v>45</v>
      </c>
      <c r="AH81" t="s">
        <v>42</v>
      </c>
      <c r="AI81" t="str">
        <f>"66298788662197"</f>
        <v>66298788662197</v>
      </c>
      <c r="AJ81" t="str">
        <f>"0016A-VERDE"</f>
        <v>0016A-VERDE</v>
      </c>
      <c r="AK81" t="s">
        <v>46</v>
      </c>
      <c r="AL81" s="1">
        <v>44816.544976851852</v>
      </c>
      <c r="AM81" t="s">
        <v>44</v>
      </c>
    </row>
    <row r="82" spans="1:39" x14ac:dyDescent="0.2">
      <c r="A82" t="s">
        <v>127</v>
      </c>
      <c r="B82" t="s">
        <v>40</v>
      </c>
      <c r="C82" t="s">
        <v>41</v>
      </c>
      <c r="D82" t="s">
        <v>42</v>
      </c>
      <c r="E82" t="s">
        <v>43</v>
      </c>
      <c r="F82" t="s">
        <v>44</v>
      </c>
      <c r="G82" t="s">
        <v>45</v>
      </c>
      <c r="AH82" t="s">
        <v>42</v>
      </c>
      <c r="AI82" t="str">
        <f>"66298788525204"</f>
        <v>66298788525204</v>
      </c>
      <c r="AJ82" t="str">
        <f>"JD028"</f>
        <v>JD028</v>
      </c>
      <c r="AK82" t="s">
        <v>46</v>
      </c>
      <c r="AL82" s="1">
        <v>44816.544965277775</v>
      </c>
      <c r="AM82" t="s">
        <v>44</v>
      </c>
    </row>
    <row r="83" spans="1:39" x14ac:dyDescent="0.2">
      <c r="A83" t="s">
        <v>128</v>
      </c>
      <c r="B83" t="s">
        <v>40</v>
      </c>
      <c r="C83" t="s">
        <v>129</v>
      </c>
      <c r="D83" t="s">
        <v>42</v>
      </c>
      <c r="E83" t="s">
        <v>43</v>
      </c>
      <c r="F83" t="s">
        <v>44</v>
      </c>
      <c r="G83" t="s">
        <v>45</v>
      </c>
      <c r="AH83" t="s">
        <v>42</v>
      </c>
      <c r="AI83" t="str">
        <f>"66298788701757"</f>
        <v>66298788701757</v>
      </c>
      <c r="AJ83" t="str">
        <f>"H2112"</f>
        <v>H2112</v>
      </c>
      <c r="AK83" t="s">
        <v>46</v>
      </c>
      <c r="AL83" s="1">
        <v>44816.544988425929</v>
      </c>
      <c r="AM83" t="s">
        <v>44</v>
      </c>
    </row>
    <row r="84" spans="1:39" x14ac:dyDescent="0.2">
      <c r="A84" t="s">
        <v>128</v>
      </c>
      <c r="B84" t="s">
        <v>40</v>
      </c>
      <c r="C84" t="s">
        <v>129</v>
      </c>
      <c r="D84" t="s">
        <v>42</v>
      </c>
      <c r="E84" t="s">
        <v>43</v>
      </c>
      <c r="F84" t="s">
        <v>44</v>
      </c>
      <c r="G84" t="s">
        <v>45</v>
      </c>
      <c r="AH84" t="s">
        <v>42</v>
      </c>
      <c r="AI84" t="str">
        <f>"VH001"</f>
        <v>VH001</v>
      </c>
      <c r="AJ84" t="str">
        <f>"VH001"</f>
        <v>VH001</v>
      </c>
      <c r="AK84" t="s">
        <v>46</v>
      </c>
      <c r="AL84" s="1">
        <v>44846.641967592594</v>
      </c>
      <c r="AM84" t="s">
        <v>44</v>
      </c>
    </row>
    <row r="85" spans="1:39" x14ac:dyDescent="0.2">
      <c r="A85" t="s">
        <v>130</v>
      </c>
      <c r="B85" t="s">
        <v>40</v>
      </c>
      <c r="C85" t="s">
        <v>50</v>
      </c>
      <c r="D85" t="s">
        <v>42</v>
      </c>
      <c r="E85" t="s">
        <v>43</v>
      </c>
      <c r="F85" t="s">
        <v>44</v>
      </c>
      <c r="G85" t="s">
        <v>45</v>
      </c>
      <c r="AH85" t="s">
        <v>42</v>
      </c>
      <c r="AI85" t="str">
        <f>"66298788744831"</f>
        <v>66298788744831</v>
      </c>
      <c r="AJ85" t="str">
        <f>"11108"</f>
        <v>11108</v>
      </c>
      <c r="AK85" t="s">
        <v>46</v>
      </c>
      <c r="AL85" s="1">
        <v>44816.544988425929</v>
      </c>
      <c r="AM85" t="s">
        <v>44</v>
      </c>
    </row>
    <row r="86" spans="1:39" x14ac:dyDescent="0.2">
      <c r="A86" t="s">
        <v>131</v>
      </c>
      <c r="B86" t="s">
        <v>40</v>
      </c>
      <c r="C86" t="s">
        <v>50</v>
      </c>
      <c r="D86" t="s">
        <v>42</v>
      </c>
      <c r="E86" t="s">
        <v>43</v>
      </c>
      <c r="F86" t="s">
        <v>44</v>
      </c>
      <c r="G86" t="s">
        <v>45</v>
      </c>
      <c r="AH86" t="s">
        <v>43</v>
      </c>
      <c r="AI86" t="str">
        <f>"66298788785072"</f>
        <v>66298788785072</v>
      </c>
      <c r="AJ86" t="str">
        <f>"H176"</f>
        <v>H176</v>
      </c>
      <c r="AK86" t="s">
        <v>46</v>
      </c>
      <c r="AL86" s="1">
        <v>44816.544988425929</v>
      </c>
      <c r="AM86" t="s">
        <v>44</v>
      </c>
    </row>
    <row r="87" spans="1:39" x14ac:dyDescent="0.2">
      <c r="A87" t="s">
        <v>131</v>
      </c>
      <c r="B87" t="s">
        <v>40</v>
      </c>
      <c r="C87" t="s">
        <v>50</v>
      </c>
      <c r="D87" t="s">
        <v>42</v>
      </c>
      <c r="E87" t="s">
        <v>43</v>
      </c>
      <c r="F87" t="s">
        <v>44</v>
      </c>
      <c r="G87" t="s">
        <v>45</v>
      </c>
      <c r="AH87" t="s">
        <v>42</v>
      </c>
      <c r="AI87" t="str">
        <f>"103036"</f>
        <v>103036</v>
      </c>
      <c r="AJ87" t="str">
        <f>"103036"</f>
        <v>103036</v>
      </c>
      <c r="AK87" t="s">
        <v>46</v>
      </c>
      <c r="AL87" s="1">
        <v>45134.706817129627</v>
      </c>
      <c r="AM87" t="s">
        <v>44</v>
      </c>
    </row>
    <row r="88" spans="1:39" x14ac:dyDescent="0.2">
      <c r="A88" t="s">
        <v>132</v>
      </c>
      <c r="B88" t="s">
        <v>40</v>
      </c>
      <c r="C88" t="s">
        <v>133</v>
      </c>
      <c r="D88" t="s">
        <v>42</v>
      </c>
      <c r="E88" t="s">
        <v>43</v>
      </c>
      <c r="F88" t="s">
        <v>44</v>
      </c>
      <c r="G88" t="s">
        <v>45</v>
      </c>
      <c r="AH88" t="s">
        <v>42</v>
      </c>
      <c r="AI88" t="str">
        <f>"66298788825464"</f>
        <v>66298788825464</v>
      </c>
      <c r="AJ88" t="str">
        <f>"H224"</f>
        <v>H224</v>
      </c>
      <c r="AK88" t="s">
        <v>46</v>
      </c>
      <c r="AL88" s="1">
        <v>44816.544999999998</v>
      </c>
      <c r="AM88" t="s">
        <v>44</v>
      </c>
    </row>
    <row r="89" spans="1:39" x14ac:dyDescent="0.2">
      <c r="A89" t="s">
        <v>134</v>
      </c>
      <c r="B89" t="s">
        <v>40</v>
      </c>
      <c r="C89" t="s">
        <v>133</v>
      </c>
      <c r="D89" t="s">
        <v>42</v>
      </c>
      <c r="E89" t="s">
        <v>43</v>
      </c>
      <c r="F89" t="s">
        <v>44</v>
      </c>
      <c r="G89" t="s">
        <v>45</v>
      </c>
      <c r="AH89" t="s">
        <v>42</v>
      </c>
      <c r="AI89" t="str">
        <f>"66298788864849"</f>
        <v>66298788864849</v>
      </c>
      <c r="AJ89" t="str">
        <f>"H089"</f>
        <v>H089</v>
      </c>
      <c r="AK89" t="s">
        <v>46</v>
      </c>
      <c r="AL89" s="1">
        <v>44816.544999999998</v>
      </c>
      <c r="AM89" t="s">
        <v>44</v>
      </c>
    </row>
    <row r="90" spans="1:39" x14ac:dyDescent="0.2">
      <c r="A90" t="s">
        <v>135</v>
      </c>
      <c r="B90" t="s">
        <v>40</v>
      </c>
      <c r="C90" t="s">
        <v>133</v>
      </c>
      <c r="D90" t="s">
        <v>42</v>
      </c>
      <c r="E90" t="s">
        <v>43</v>
      </c>
      <c r="F90" t="s">
        <v>44</v>
      </c>
      <c r="G90" t="s">
        <v>45</v>
      </c>
      <c r="AH90" t="s">
        <v>42</v>
      </c>
      <c r="AI90" t="str">
        <f>"66298788910490"</f>
        <v>66298788910490</v>
      </c>
      <c r="AJ90" t="str">
        <f>"HH103"</f>
        <v>HH103</v>
      </c>
      <c r="AK90" t="s">
        <v>46</v>
      </c>
      <c r="AL90" s="1">
        <v>44816.545011574075</v>
      </c>
      <c r="AM90" t="s">
        <v>44</v>
      </c>
    </row>
    <row r="91" spans="1:39" x14ac:dyDescent="0.2">
      <c r="A91" t="s">
        <v>135</v>
      </c>
      <c r="B91" t="s">
        <v>40</v>
      </c>
      <c r="C91" t="s">
        <v>133</v>
      </c>
      <c r="D91" t="s">
        <v>42</v>
      </c>
      <c r="E91" t="s">
        <v>43</v>
      </c>
      <c r="F91" t="s">
        <v>44</v>
      </c>
      <c r="G91" t="s">
        <v>45</v>
      </c>
      <c r="AH91" t="s">
        <v>42</v>
      </c>
      <c r="AI91" t="str">
        <f>"66298788916642"</f>
        <v>66298788916642</v>
      </c>
      <c r="AJ91" t="str">
        <f>"HH104"</f>
        <v>HH104</v>
      </c>
      <c r="AK91" t="s">
        <v>46</v>
      </c>
      <c r="AL91" s="1">
        <v>44816.545011574075</v>
      </c>
      <c r="AM91" t="s">
        <v>44</v>
      </c>
    </row>
    <row r="92" spans="1:39" x14ac:dyDescent="0.2">
      <c r="A92" t="s">
        <v>136</v>
      </c>
      <c r="B92" t="s">
        <v>40</v>
      </c>
      <c r="C92" t="s">
        <v>133</v>
      </c>
      <c r="D92" t="s">
        <v>42</v>
      </c>
      <c r="E92" t="s">
        <v>43</v>
      </c>
      <c r="F92" t="s">
        <v>44</v>
      </c>
      <c r="G92" t="s">
        <v>45</v>
      </c>
      <c r="AH92" t="s">
        <v>42</v>
      </c>
      <c r="AI92" t="str">
        <f>"66298788973431"</f>
        <v>66298788973431</v>
      </c>
      <c r="AJ92" t="str">
        <f>"H117"</f>
        <v>H117</v>
      </c>
      <c r="AK92" t="s">
        <v>46</v>
      </c>
      <c r="AL92" s="1">
        <v>44816.545011574075</v>
      </c>
      <c r="AM92" t="s">
        <v>44</v>
      </c>
    </row>
    <row r="93" spans="1:39" x14ac:dyDescent="0.2">
      <c r="A93" t="s">
        <v>137</v>
      </c>
      <c r="B93" t="s">
        <v>40</v>
      </c>
      <c r="C93" t="s">
        <v>50</v>
      </c>
      <c r="D93" t="s">
        <v>42</v>
      </c>
      <c r="E93" t="s">
        <v>43</v>
      </c>
      <c r="F93" t="s">
        <v>44</v>
      </c>
      <c r="G93" t="s">
        <v>45</v>
      </c>
      <c r="AH93" t="s">
        <v>42</v>
      </c>
      <c r="AI93" t="str">
        <f>"66298789015238"</f>
        <v>66298789015238</v>
      </c>
      <c r="AJ93" t="str">
        <f>"R008"</f>
        <v>R008</v>
      </c>
      <c r="AK93" t="s">
        <v>46</v>
      </c>
      <c r="AL93" s="1">
        <v>44816.545023148145</v>
      </c>
      <c r="AM93" t="s">
        <v>44</v>
      </c>
    </row>
    <row r="94" spans="1:39" x14ac:dyDescent="0.2">
      <c r="A94" t="s">
        <v>138</v>
      </c>
      <c r="B94" t="s">
        <v>40</v>
      </c>
      <c r="C94" t="s">
        <v>50</v>
      </c>
      <c r="D94" t="s">
        <v>42</v>
      </c>
      <c r="E94" t="s">
        <v>43</v>
      </c>
      <c r="F94" t="s">
        <v>44</v>
      </c>
      <c r="G94" t="s">
        <v>45</v>
      </c>
      <c r="AH94" t="s">
        <v>42</v>
      </c>
      <c r="AI94" t="str">
        <f>"66298789057871"</f>
        <v>66298789057871</v>
      </c>
      <c r="AJ94" t="str">
        <f>"00388-CROMADO"</f>
        <v>00388-CROMADO</v>
      </c>
      <c r="AK94" t="s">
        <v>46</v>
      </c>
      <c r="AL94" s="1">
        <v>44816.545023148145</v>
      </c>
      <c r="AM94" t="s">
        <v>44</v>
      </c>
    </row>
    <row r="95" spans="1:39" x14ac:dyDescent="0.2">
      <c r="A95" t="s">
        <v>139</v>
      </c>
      <c r="B95" t="s">
        <v>40</v>
      </c>
      <c r="C95" t="s">
        <v>50</v>
      </c>
      <c r="D95" t="s">
        <v>42</v>
      </c>
      <c r="E95" t="s">
        <v>43</v>
      </c>
      <c r="F95" t="s">
        <v>44</v>
      </c>
      <c r="G95" t="s">
        <v>45</v>
      </c>
      <c r="AH95" t="s">
        <v>42</v>
      </c>
      <c r="AI95" t="str">
        <f>"66298789098616"</f>
        <v>66298789098616</v>
      </c>
      <c r="AJ95" t="str">
        <f>"JC009-ROJO"</f>
        <v>JC009-ROJO</v>
      </c>
      <c r="AK95" t="s">
        <v>46</v>
      </c>
      <c r="AL95" s="1">
        <v>44816.545023148145</v>
      </c>
      <c r="AM95" t="s">
        <v>44</v>
      </c>
    </row>
    <row r="96" spans="1:39" x14ac:dyDescent="0.2">
      <c r="A96" t="s">
        <v>139</v>
      </c>
      <c r="B96" t="s">
        <v>40</v>
      </c>
      <c r="C96" t="s">
        <v>50</v>
      </c>
      <c r="D96" t="s">
        <v>42</v>
      </c>
      <c r="E96" t="s">
        <v>43</v>
      </c>
      <c r="F96" t="s">
        <v>44</v>
      </c>
      <c r="G96" t="s">
        <v>45</v>
      </c>
      <c r="AH96" t="s">
        <v>42</v>
      </c>
      <c r="AI96" t="str">
        <f>"66298789105653"</f>
        <v>66298789105653</v>
      </c>
      <c r="AJ96" t="str">
        <f>"JC009-B-ROJO"</f>
        <v>JC009-B-ROJO</v>
      </c>
      <c r="AK96" t="s">
        <v>46</v>
      </c>
      <c r="AL96" s="1">
        <v>44816.545034722221</v>
      </c>
      <c r="AM96" t="s">
        <v>44</v>
      </c>
    </row>
    <row r="97" spans="1:39" x14ac:dyDescent="0.2">
      <c r="A97" t="s">
        <v>140</v>
      </c>
      <c r="B97" t="s">
        <v>40</v>
      </c>
      <c r="C97" t="s">
        <v>50</v>
      </c>
      <c r="D97" t="s">
        <v>42</v>
      </c>
      <c r="E97" t="s">
        <v>43</v>
      </c>
      <c r="F97" t="s">
        <v>44</v>
      </c>
      <c r="G97" t="s">
        <v>45</v>
      </c>
      <c r="AH97" t="s">
        <v>42</v>
      </c>
      <c r="AI97" t="str">
        <f>"66298789161466"</f>
        <v>66298789161466</v>
      </c>
      <c r="AJ97" t="str">
        <f>"JC013-A-NEGRO"</f>
        <v>JC013-A-NEGRO</v>
      </c>
      <c r="AK97" t="s">
        <v>46</v>
      </c>
      <c r="AL97" s="1">
        <v>44816.545034722221</v>
      </c>
      <c r="AM97" t="s">
        <v>44</v>
      </c>
    </row>
    <row r="98" spans="1:39" x14ac:dyDescent="0.2">
      <c r="A98" t="s">
        <v>140</v>
      </c>
      <c r="B98" t="s">
        <v>40</v>
      </c>
      <c r="C98" t="s">
        <v>50</v>
      </c>
      <c r="D98" t="s">
        <v>42</v>
      </c>
      <c r="E98" t="s">
        <v>43</v>
      </c>
      <c r="F98" t="s">
        <v>44</v>
      </c>
      <c r="G98" t="s">
        <v>45</v>
      </c>
      <c r="AH98" t="s">
        <v>42</v>
      </c>
      <c r="AI98" t="str">
        <f>"JC013-A-ROJO"</f>
        <v>JC013-A-ROJO</v>
      </c>
      <c r="AJ98" t="str">
        <f>"JC013-A-ROJO"</f>
        <v>JC013-A-ROJO</v>
      </c>
      <c r="AK98" t="s">
        <v>46</v>
      </c>
      <c r="AL98" s="1">
        <v>45141.905590277776</v>
      </c>
      <c r="AM98" t="s">
        <v>44</v>
      </c>
    </row>
    <row r="99" spans="1:39" x14ac:dyDescent="0.2">
      <c r="A99" t="s">
        <v>141</v>
      </c>
      <c r="B99" t="s">
        <v>40</v>
      </c>
      <c r="C99" t="s">
        <v>50</v>
      </c>
      <c r="D99" t="s">
        <v>42</v>
      </c>
      <c r="E99" t="s">
        <v>43</v>
      </c>
      <c r="F99" t="s">
        <v>44</v>
      </c>
      <c r="G99" t="s">
        <v>45</v>
      </c>
      <c r="AH99" t="s">
        <v>42</v>
      </c>
      <c r="AI99" t="str">
        <f>"66298789203414"</f>
        <v>66298789203414</v>
      </c>
      <c r="AJ99" t="str">
        <f>"H031-A"</f>
        <v>H031-A</v>
      </c>
      <c r="AK99" t="s">
        <v>46</v>
      </c>
      <c r="AL99" s="1">
        <v>44816.545046296298</v>
      </c>
      <c r="AM99" t="s">
        <v>44</v>
      </c>
    </row>
    <row r="100" spans="1:39" x14ac:dyDescent="0.2">
      <c r="A100" t="s">
        <v>142</v>
      </c>
      <c r="B100" t="s">
        <v>40</v>
      </c>
      <c r="C100" t="s">
        <v>143</v>
      </c>
      <c r="D100" t="s">
        <v>42</v>
      </c>
      <c r="E100" t="s">
        <v>43</v>
      </c>
      <c r="F100" t="s">
        <v>44</v>
      </c>
      <c r="G100" t="s">
        <v>45</v>
      </c>
      <c r="AH100" t="s">
        <v>42</v>
      </c>
      <c r="AI100" t="str">
        <f>"66298789245299"</f>
        <v>66298789245299</v>
      </c>
      <c r="AJ100" t="str">
        <f>"400483"</f>
        <v>400483</v>
      </c>
      <c r="AK100" t="s">
        <v>46</v>
      </c>
      <c r="AL100" s="1">
        <v>44816.545046296298</v>
      </c>
      <c r="AM100" t="s">
        <v>44</v>
      </c>
    </row>
    <row r="101" spans="1:39" x14ac:dyDescent="0.2">
      <c r="A101" t="s">
        <v>144</v>
      </c>
      <c r="B101" t="s">
        <v>40</v>
      </c>
      <c r="C101" t="s">
        <v>143</v>
      </c>
      <c r="D101" t="s">
        <v>42</v>
      </c>
      <c r="E101" t="s">
        <v>43</v>
      </c>
      <c r="F101" t="s">
        <v>44</v>
      </c>
      <c r="G101" t="s">
        <v>45</v>
      </c>
      <c r="AH101" t="s">
        <v>42</v>
      </c>
      <c r="AI101" t="str">
        <f>"66298789282704"</f>
        <v>66298789282704</v>
      </c>
      <c r="AJ101" t="str">
        <f>"310790275-0001"</f>
        <v>310790275-0001</v>
      </c>
      <c r="AK101" t="s">
        <v>46</v>
      </c>
      <c r="AL101" s="1">
        <v>44816.545046296298</v>
      </c>
      <c r="AM101" t="s">
        <v>44</v>
      </c>
    </row>
    <row r="102" spans="1:39" x14ac:dyDescent="0.2">
      <c r="A102" t="s">
        <v>145</v>
      </c>
      <c r="B102" t="s">
        <v>40</v>
      </c>
      <c r="C102" t="s">
        <v>143</v>
      </c>
      <c r="D102" t="s">
        <v>42</v>
      </c>
      <c r="E102" t="s">
        <v>43</v>
      </c>
      <c r="F102" t="s">
        <v>44</v>
      </c>
      <c r="G102" t="s">
        <v>45</v>
      </c>
      <c r="AH102" t="s">
        <v>42</v>
      </c>
      <c r="AI102" t="str">
        <f>"66298789322737"</f>
        <v>66298789322737</v>
      </c>
      <c r="AJ102" t="str">
        <f>"SL-22200-000"</f>
        <v>SL-22200-000</v>
      </c>
      <c r="AK102" t="s">
        <v>46</v>
      </c>
      <c r="AL102" s="1">
        <v>44816.545057870368</v>
      </c>
      <c r="AM102" t="s">
        <v>44</v>
      </c>
    </row>
    <row r="103" spans="1:39" x14ac:dyDescent="0.2">
      <c r="A103" t="s">
        <v>146</v>
      </c>
      <c r="B103" t="s">
        <v>40</v>
      </c>
      <c r="C103" t="s">
        <v>143</v>
      </c>
      <c r="D103" t="s">
        <v>42</v>
      </c>
      <c r="E103" t="s">
        <v>43</v>
      </c>
      <c r="F103" t="s">
        <v>44</v>
      </c>
      <c r="G103" t="s">
        <v>45</v>
      </c>
      <c r="AH103" t="s">
        <v>42</v>
      </c>
      <c r="AI103" t="str">
        <f>"66298789363541"</f>
        <v>66298789363541</v>
      </c>
      <c r="AJ103" t="str">
        <f>"DM-1710-25"</f>
        <v>DM-1710-25</v>
      </c>
      <c r="AK103" t="s">
        <v>46</v>
      </c>
      <c r="AL103" s="1">
        <v>44816.545057870368</v>
      </c>
      <c r="AM103" t="s">
        <v>44</v>
      </c>
    </row>
    <row r="104" spans="1:39" x14ac:dyDescent="0.2">
      <c r="A104" t="s">
        <v>147</v>
      </c>
      <c r="B104" t="s">
        <v>40</v>
      </c>
      <c r="C104" t="s">
        <v>143</v>
      </c>
      <c r="D104" t="s">
        <v>42</v>
      </c>
      <c r="E104" t="s">
        <v>43</v>
      </c>
      <c r="F104" t="s">
        <v>44</v>
      </c>
      <c r="G104" t="s">
        <v>45</v>
      </c>
      <c r="AH104" t="s">
        <v>42</v>
      </c>
      <c r="AI104" t="str">
        <f>"66298789403957"</f>
        <v>66298789403957</v>
      </c>
      <c r="AJ104" t="str">
        <f>"52400-KWF-901"</f>
        <v>52400-KWF-901</v>
      </c>
      <c r="AK104" t="s">
        <v>46</v>
      </c>
      <c r="AL104" s="1">
        <v>44816.545069444444</v>
      </c>
      <c r="AM104" t="s">
        <v>44</v>
      </c>
    </row>
    <row r="105" spans="1:39" x14ac:dyDescent="0.2">
      <c r="A105" t="s">
        <v>148</v>
      </c>
      <c r="B105" t="s">
        <v>40</v>
      </c>
      <c r="C105" t="s">
        <v>143</v>
      </c>
      <c r="D105" t="s">
        <v>42</v>
      </c>
      <c r="E105" t="s">
        <v>43</v>
      </c>
      <c r="F105" t="s">
        <v>44</v>
      </c>
      <c r="G105" t="s">
        <v>45</v>
      </c>
      <c r="AH105" t="s">
        <v>42</v>
      </c>
      <c r="AI105" t="str">
        <f>"66298789441912"</f>
        <v>66298789441912</v>
      </c>
      <c r="AJ105" t="str">
        <f>"52400-KSP-861"</f>
        <v>52400-KSP-861</v>
      </c>
      <c r="AK105" t="s">
        <v>46</v>
      </c>
      <c r="AL105" s="1">
        <v>44816.545069444444</v>
      </c>
      <c r="AM105" t="s">
        <v>44</v>
      </c>
    </row>
    <row r="106" spans="1:39" x14ac:dyDescent="0.2">
      <c r="A106" t="s">
        <v>149</v>
      </c>
      <c r="B106" t="s">
        <v>40</v>
      </c>
      <c r="C106" t="s">
        <v>143</v>
      </c>
      <c r="D106" t="s">
        <v>42</v>
      </c>
      <c r="E106" t="s">
        <v>43</v>
      </c>
      <c r="F106" t="s">
        <v>44</v>
      </c>
      <c r="G106" t="s">
        <v>45</v>
      </c>
      <c r="AH106" t="s">
        <v>42</v>
      </c>
      <c r="AI106" t="str">
        <f>"66298789482134"</f>
        <v>66298789482134</v>
      </c>
      <c r="AJ106" t="str">
        <f>"52400-KPF-891"</f>
        <v>52400-KPF-891</v>
      </c>
      <c r="AK106" t="s">
        <v>46</v>
      </c>
      <c r="AL106" s="1">
        <v>44816.545069444444</v>
      </c>
      <c r="AM106" t="s">
        <v>44</v>
      </c>
    </row>
    <row r="107" spans="1:39" x14ac:dyDescent="0.2">
      <c r="A107" t="s">
        <v>150</v>
      </c>
      <c r="B107" t="s">
        <v>40</v>
      </c>
      <c r="C107" t="s">
        <v>143</v>
      </c>
      <c r="D107" t="s">
        <v>42</v>
      </c>
      <c r="E107" t="s">
        <v>43</v>
      </c>
      <c r="F107" t="s">
        <v>44</v>
      </c>
      <c r="G107" t="s">
        <v>45</v>
      </c>
      <c r="AH107" t="s">
        <v>43</v>
      </c>
      <c r="AI107" t="str">
        <f>"66298789531909"</f>
        <v>66298789531909</v>
      </c>
      <c r="AJ107" t="str">
        <f>"62100-44AB2-019"</f>
        <v>62100-44AB2-019</v>
      </c>
      <c r="AK107" t="s">
        <v>46</v>
      </c>
      <c r="AL107" s="1">
        <v>44816.545081018521</v>
      </c>
      <c r="AM107" t="s">
        <v>44</v>
      </c>
    </row>
    <row r="108" spans="1:39" x14ac:dyDescent="0.2">
      <c r="A108" t="s">
        <v>151</v>
      </c>
      <c r="B108" t="s">
        <v>40</v>
      </c>
      <c r="C108" t="s">
        <v>143</v>
      </c>
      <c r="D108" t="s">
        <v>42</v>
      </c>
      <c r="E108" t="s">
        <v>43</v>
      </c>
      <c r="F108" t="s">
        <v>44</v>
      </c>
      <c r="G108" t="s">
        <v>45</v>
      </c>
      <c r="AH108" t="s">
        <v>42</v>
      </c>
      <c r="AI108" t="str">
        <f>"66298789573602"</f>
        <v>66298789573602</v>
      </c>
      <c r="AJ108" t="str">
        <f>"21C-F2210-00"</f>
        <v>21C-F2210-00</v>
      </c>
      <c r="AK108" t="s">
        <v>46</v>
      </c>
      <c r="AL108" s="1">
        <v>44816.545081018521</v>
      </c>
      <c r="AM108" t="s">
        <v>44</v>
      </c>
    </row>
    <row r="109" spans="1:39" x14ac:dyDescent="0.2">
      <c r="A109" t="s">
        <v>152</v>
      </c>
      <c r="B109" t="s">
        <v>40</v>
      </c>
      <c r="C109" t="s">
        <v>143</v>
      </c>
      <c r="D109" t="s">
        <v>42</v>
      </c>
      <c r="E109" t="s">
        <v>43</v>
      </c>
      <c r="F109" t="s">
        <v>44</v>
      </c>
      <c r="G109" t="s">
        <v>45</v>
      </c>
      <c r="AH109" t="s">
        <v>42</v>
      </c>
      <c r="AI109" t="str">
        <f>"SA025"</f>
        <v>SA025</v>
      </c>
      <c r="AJ109" t="str">
        <f>"SA025"</f>
        <v>SA025</v>
      </c>
      <c r="AK109" t="s">
        <v>46</v>
      </c>
      <c r="AL109" s="1">
        <v>44945.764930555553</v>
      </c>
      <c r="AM109" t="s">
        <v>44</v>
      </c>
    </row>
    <row r="110" spans="1:39" x14ac:dyDescent="0.2">
      <c r="A110" t="s">
        <v>153</v>
      </c>
      <c r="B110" t="s">
        <v>40</v>
      </c>
      <c r="C110" t="s">
        <v>143</v>
      </c>
      <c r="D110" t="s">
        <v>42</v>
      </c>
      <c r="E110" t="s">
        <v>43</v>
      </c>
      <c r="F110" t="s">
        <v>44</v>
      </c>
      <c r="G110" t="s">
        <v>45</v>
      </c>
      <c r="AH110" t="s">
        <v>42</v>
      </c>
      <c r="AI110" t="str">
        <f>"66298789618646"</f>
        <v>66298789618646</v>
      </c>
      <c r="AJ110" t="str">
        <f>"52400-KBB-981ZA"</f>
        <v>52400-KBB-981ZA</v>
      </c>
      <c r="AK110" t="s">
        <v>46</v>
      </c>
      <c r="AL110" s="1">
        <v>44816.545092592591</v>
      </c>
      <c r="AM110" t="s">
        <v>44</v>
      </c>
    </row>
    <row r="111" spans="1:39" x14ac:dyDescent="0.2">
      <c r="A111" t="s">
        <v>154</v>
      </c>
      <c r="B111" t="s">
        <v>40</v>
      </c>
      <c r="C111" t="s">
        <v>143</v>
      </c>
      <c r="D111" t="s">
        <v>42</v>
      </c>
      <c r="E111" t="s">
        <v>43</v>
      </c>
      <c r="F111" t="s">
        <v>44</v>
      </c>
      <c r="G111" t="s">
        <v>45</v>
      </c>
      <c r="AH111" t="s">
        <v>42</v>
      </c>
      <c r="AI111" t="str">
        <f>"52400-KPE-841ZA"</f>
        <v>52400-KPE-841ZA</v>
      </c>
      <c r="AJ111" t="str">
        <f>"52400-KPE-841ZA"</f>
        <v>52400-KPE-841ZA</v>
      </c>
      <c r="AK111" t="s">
        <v>46</v>
      </c>
      <c r="AL111" s="1">
        <v>44870.644548611112</v>
      </c>
      <c r="AM111" t="s">
        <v>44</v>
      </c>
    </row>
    <row r="112" spans="1:39" x14ac:dyDescent="0.2">
      <c r="A112" t="s">
        <v>155</v>
      </c>
      <c r="B112" t="s">
        <v>40</v>
      </c>
      <c r="C112" t="s">
        <v>143</v>
      </c>
      <c r="D112" t="s">
        <v>42</v>
      </c>
      <c r="E112" t="s">
        <v>43</v>
      </c>
      <c r="F112" t="s">
        <v>44</v>
      </c>
      <c r="G112" t="s">
        <v>45</v>
      </c>
      <c r="AH112" t="s">
        <v>42</v>
      </c>
      <c r="AI112" t="str">
        <f>"66298789658264"</f>
        <v>66298789658264</v>
      </c>
      <c r="AJ112" t="str">
        <f>"5RM-22210-01"</f>
        <v>5RM-22210-01</v>
      </c>
      <c r="AK112" t="s">
        <v>46</v>
      </c>
      <c r="AL112" s="1">
        <v>44816.545092592591</v>
      </c>
      <c r="AM112" t="s">
        <v>44</v>
      </c>
    </row>
    <row r="113" spans="1:39" x14ac:dyDescent="0.2">
      <c r="A113" t="s">
        <v>156</v>
      </c>
      <c r="B113" t="s">
        <v>40</v>
      </c>
      <c r="C113" t="s">
        <v>143</v>
      </c>
      <c r="D113" t="s">
        <v>42</v>
      </c>
      <c r="E113" t="s">
        <v>43</v>
      </c>
      <c r="F113" t="s">
        <v>44</v>
      </c>
      <c r="G113" t="s">
        <v>45</v>
      </c>
      <c r="AH113" t="s">
        <v>42</v>
      </c>
      <c r="AI113" t="str">
        <f>"66298789700390"</f>
        <v>66298789700390</v>
      </c>
      <c r="AJ113" t="str">
        <f>"5JU-F2210-00"</f>
        <v>5JU-F2210-00</v>
      </c>
      <c r="AK113" t="s">
        <v>46</v>
      </c>
      <c r="AL113" s="1">
        <v>44816.545104166667</v>
      </c>
      <c r="AM113" t="s">
        <v>44</v>
      </c>
    </row>
    <row r="114" spans="1:39" x14ac:dyDescent="0.2">
      <c r="A114" t="s">
        <v>157</v>
      </c>
      <c r="B114" t="s">
        <v>40</v>
      </c>
      <c r="C114" t="s">
        <v>143</v>
      </c>
      <c r="D114" t="s">
        <v>42</v>
      </c>
      <c r="E114" t="s">
        <v>43</v>
      </c>
      <c r="F114" t="s">
        <v>44</v>
      </c>
      <c r="G114" t="s">
        <v>45</v>
      </c>
      <c r="AH114" t="s">
        <v>42</v>
      </c>
      <c r="AI114" t="str">
        <f>"66298789740767"</f>
        <v>66298789740767</v>
      </c>
      <c r="AJ114" t="str">
        <f>"24P-F2210-01"</f>
        <v>24P-F2210-01</v>
      </c>
      <c r="AK114" t="s">
        <v>46</v>
      </c>
      <c r="AL114" s="1">
        <v>44816.545104166667</v>
      </c>
      <c r="AM114" t="s">
        <v>44</v>
      </c>
    </row>
    <row r="115" spans="1:39" x14ac:dyDescent="0.2">
      <c r="A115" t="s">
        <v>158</v>
      </c>
      <c r="B115" t="s">
        <v>40</v>
      </c>
      <c r="C115" t="s">
        <v>143</v>
      </c>
      <c r="D115" t="s">
        <v>42</v>
      </c>
      <c r="E115" t="s">
        <v>43</v>
      </c>
      <c r="F115" t="s">
        <v>44</v>
      </c>
      <c r="G115" t="s">
        <v>45</v>
      </c>
      <c r="AH115" t="s">
        <v>42</v>
      </c>
      <c r="AI115" t="str">
        <f>"66298789779675"</f>
        <v>66298789779675</v>
      </c>
      <c r="AJ115" t="str">
        <f>"4ST-F2210-00"</f>
        <v>4ST-F2210-00</v>
      </c>
      <c r="AK115" t="s">
        <v>46</v>
      </c>
      <c r="AL115" s="1">
        <v>44816.545104166667</v>
      </c>
      <c r="AM115" t="s">
        <v>44</v>
      </c>
    </row>
    <row r="116" spans="1:39" x14ac:dyDescent="0.2">
      <c r="A116" t="s">
        <v>159</v>
      </c>
      <c r="B116" t="s">
        <v>40</v>
      </c>
      <c r="C116" t="s">
        <v>143</v>
      </c>
      <c r="D116" t="s">
        <v>42</v>
      </c>
      <c r="E116" t="s">
        <v>43</v>
      </c>
      <c r="F116" t="s">
        <v>44</v>
      </c>
      <c r="G116" t="s">
        <v>45</v>
      </c>
      <c r="AH116" t="s">
        <v>42</v>
      </c>
      <c r="AI116" t="str">
        <f>"66298789821597"</f>
        <v>66298789821597</v>
      </c>
      <c r="AJ116" t="str">
        <f>"62100-45F21-000"</f>
        <v>62100-45F21-000</v>
      </c>
      <c r="AK116" t="s">
        <v>46</v>
      </c>
      <c r="AL116" s="1">
        <v>44816.545115740744</v>
      </c>
      <c r="AM116" t="s">
        <v>44</v>
      </c>
    </row>
    <row r="117" spans="1:39" x14ac:dyDescent="0.2">
      <c r="A117" t="s">
        <v>160</v>
      </c>
      <c r="B117" t="s">
        <v>40</v>
      </c>
      <c r="C117" t="s">
        <v>143</v>
      </c>
      <c r="D117" t="s">
        <v>42</v>
      </c>
      <c r="E117" t="s">
        <v>43</v>
      </c>
      <c r="F117" t="s">
        <v>44</v>
      </c>
      <c r="G117" t="s">
        <v>45</v>
      </c>
      <c r="AH117" t="s">
        <v>42</v>
      </c>
      <c r="AI117" t="str">
        <f>"66298789899639"</f>
        <v>66298789899639</v>
      </c>
      <c r="AJ117" t="str">
        <f>"400488"</f>
        <v>400488</v>
      </c>
      <c r="AK117" t="s">
        <v>46</v>
      </c>
      <c r="AL117" s="1">
        <v>44816.545115740744</v>
      </c>
      <c r="AM117" t="s">
        <v>44</v>
      </c>
    </row>
    <row r="118" spans="1:39" x14ac:dyDescent="0.2">
      <c r="A118" t="s">
        <v>161</v>
      </c>
      <c r="B118" t="s">
        <v>40</v>
      </c>
      <c r="C118" t="s">
        <v>143</v>
      </c>
      <c r="D118" t="s">
        <v>42</v>
      </c>
      <c r="E118" t="s">
        <v>43</v>
      </c>
      <c r="F118" t="s">
        <v>44</v>
      </c>
      <c r="G118" t="s">
        <v>45</v>
      </c>
      <c r="AH118" t="s">
        <v>42</v>
      </c>
      <c r="AI118" t="str">
        <f>"66298789864357"</f>
        <v>66298789864357</v>
      </c>
      <c r="AJ118" t="str">
        <f>"80874"</f>
        <v>80874</v>
      </c>
      <c r="AK118" t="s">
        <v>46</v>
      </c>
      <c r="AL118" s="1">
        <v>44816.545115740744</v>
      </c>
      <c r="AM118" t="s">
        <v>44</v>
      </c>
    </row>
    <row r="119" spans="1:39" x14ac:dyDescent="0.2">
      <c r="A119" t="s">
        <v>162</v>
      </c>
      <c r="B119" t="s">
        <v>40</v>
      </c>
      <c r="C119" t="s">
        <v>143</v>
      </c>
      <c r="D119" t="s">
        <v>42</v>
      </c>
      <c r="E119" t="s">
        <v>43</v>
      </c>
      <c r="F119" t="s">
        <v>44</v>
      </c>
      <c r="G119" t="s">
        <v>45</v>
      </c>
      <c r="AH119" t="s">
        <v>42</v>
      </c>
      <c r="AI119" t="str">
        <f>"66298789937694"</f>
        <v>66298789937694</v>
      </c>
      <c r="AJ119" t="str">
        <f>"62100-053H1-000"</f>
        <v>62100-053H1-000</v>
      </c>
      <c r="AK119" t="s">
        <v>46</v>
      </c>
      <c r="AL119" s="1">
        <v>44816.545127314814</v>
      </c>
      <c r="AM119" t="s">
        <v>44</v>
      </c>
    </row>
    <row r="120" spans="1:39" x14ac:dyDescent="0.2">
      <c r="A120" t="s">
        <v>163</v>
      </c>
      <c r="B120" t="s">
        <v>40</v>
      </c>
      <c r="C120" t="s">
        <v>143</v>
      </c>
      <c r="D120" t="s">
        <v>42</v>
      </c>
      <c r="E120" t="s">
        <v>43</v>
      </c>
      <c r="F120" t="s">
        <v>44</v>
      </c>
      <c r="G120" t="s">
        <v>45</v>
      </c>
      <c r="AH120" t="s">
        <v>42</v>
      </c>
      <c r="AI120" t="str">
        <f>"SA003"</f>
        <v>SA003</v>
      </c>
      <c r="AJ120" t="str">
        <f>"SA003"</f>
        <v>SA003</v>
      </c>
      <c r="AK120" t="s">
        <v>46</v>
      </c>
      <c r="AL120" s="1">
        <v>44858.657314814816</v>
      </c>
      <c r="AM120" t="s">
        <v>44</v>
      </c>
    </row>
    <row r="121" spans="1:39" x14ac:dyDescent="0.2">
      <c r="A121" t="s">
        <v>164</v>
      </c>
      <c r="B121" t="s">
        <v>40</v>
      </c>
      <c r="C121" t="s">
        <v>143</v>
      </c>
      <c r="D121" t="s">
        <v>42</v>
      </c>
      <c r="E121" t="s">
        <v>43</v>
      </c>
      <c r="F121" t="s">
        <v>44</v>
      </c>
      <c r="G121" t="s">
        <v>45</v>
      </c>
      <c r="AH121" t="s">
        <v>42</v>
      </c>
      <c r="AI121" t="str">
        <f>"1V1-22210-0393"</f>
        <v>1V1-22210-0393</v>
      </c>
      <c r="AJ121" t="str">
        <f>"1V1-22210-0393"</f>
        <v>1V1-22210-0393</v>
      </c>
      <c r="AK121" t="s">
        <v>46</v>
      </c>
      <c r="AL121" s="1">
        <v>44816.545127314814</v>
      </c>
      <c r="AM121" t="s">
        <v>44</v>
      </c>
    </row>
    <row r="122" spans="1:39" x14ac:dyDescent="0.2">
      <c r="A122" t="s">
        <v>165</v>
      </c>
      <c r="B122" t="s">
        <v>40</v>
      </c>
      <c r="C122" t="s">
        <v>143</v>
      </c>
      <c r="D122" t="s">
        <v>42</v>
      </c>
      <c r="E122" t="s">
        <v>43</v>
      </c>
      <c r="F122" t="s">
        <v>44</v>
      </c>
      <c r="G122" t="s">
        <v>45</v>
      </c>
      <c r="AH122" t="s">
        <v>42</v>
      </c>
      <c r="AI122" t="str">
        <f>"66298790030782"</f>
        <v>66298790030782</v>
      </c>
      <c r="AJ122" t="str">
        <f>"52400-KVC-900"</f>
        <v>52400-KVC-900</v>
      </c>
      <c r="AK122" t="s">
        <v>46</v>
      </c>
      <c r="AL122" s="1">
        <v>44816.545138888891</v>
      </c>
      <c r="AM122" t="s">
        <v>44</v>
      </c>
    </row>
    <row r="123" spans="1:39" x14ac:dyDescent="0.2">
      <c r="A123" t="s">
        <v>166</v>
      </c>
      <c r="B123" t="s">
        <v>40</v>
      </c>
      <c r="C123" t="s">
        <v>143</v>
      </c>
      <c r="D123" t="s">
        <v>42</v>
      </c>
      <c r="E123" t="s">
        <v>43</v>
      </c>
      <c r="F123" t="s">
        <v>44</v>
      </c>
      <c r="G123" t="s">
        <v>45</v>
      </c>
      <c r="AH123" t="s">
        <v>42</v>
      </c>
      <c r="AI123" t="str">
        <f>"66298790211516"</f>
        <v>66298790211516</v>
      </c>
      <c r="AJ123" t="str">
        <f>"400455"</f>
        <v>400455</v>
      </c>
      <c r="AK123" t="s">
        <v>46</v>
      </c>
      <c r="AL123" s="1">
        <v>44816.545162037037</v>
      </c>
      <c r="AM123" t="s">
        <v>44</v>
      </c>
    </row>
    <row r="124" spans="1:39" x14ac:dyDescent="0.2">
      <c r="A124" t="s">
        <v>167</v>
      </c>
      <c r="B124" t="s">
        <v>40</v>
      </c>
      <c r="C124" t="s">
        <v>143</v>
      </c>
      <c r="D124" t="s">
        <v>42</v>
      </c>
      <c r="E124" t="s">
        <v>43</v>
      </c>
      <c r="F124" t="s">
        <v>44</v>
      </c>
      <c r="G124" t="s">
        <v>45</v>
      </c>
      <c r="AH124" t="s">
        <v>42</v>
      </c>
      <c r="AI124" t="str">
        <f>"66298790074966"</f>
        <v>66298790074966</v>
      </c>
      <c r="AJ124" t="str">
        <f>"22P-F2210-00"</f>
        <v>22P-F2210-00</v>
      </c>
      <c r="AK124" t="s">
        <v>46</v>
      </c>
      <c r="AL124" s="1">
        <v>44816.545138888891</v>
      </c>
      <c r="AM124" t="s">
        <v>44</v>
      </c>
    </row>
    <row r="125" spans="1:39" x14ac:dyDescent="0.2">
      <c r="A125" t="s">
        <v>167</v>
      </c>
      <c r="B125" t="s">
        <v>40</v>
      </c>
      <c r="C125" t="s">
        <v>143</v>
      </c>
      <c r="D125" t="s">
        <v>42</v>
      </c>
      <c r="E125" t="s">
        <v>43</v>
      </c>
      <c r="F125" t="s">
        <v>44</v>
      </c>
      <c r="G125" t="s">
        <v>45</v>
      </c>
      <c r="AH125" t="s">
        <v>42</v>
      </c>
      <c r="AI125" t="str">
        <f>"66298790124672"</f>
        <v>66298790124672</v>
      </c>
      <c r="AJ125" t="str">
        <f>"5VL-F2210-01"</f>
        <v>5VL-F2210-01</v>
      </c>
      <c r="AK125" t="s">
        <v>46</v>
      </c>
      <c r="AL125" s="1">
        <v>44816.54515046296</v>
      </c>
      <c r="AM125" t="s">
        <v>44</v>
      </c>
    </row>
    <row r="126" spans="1:39" x14ac:dyDescent="0.2">
      <c r="A126" t="s">
        <v>168</v>
      </c>
      <c r="B126" t="s">
        <v>40</v>
      </c>
      <c r="C126" t="s">
        <v>143</v>
      </c>
      <c r="D126" t="s">
        <v>42</v>
      </c>
      <c r="E126" t="s">
        <v>43</v>
      </c>
      <c r="F126" t="s">
        <v>44</v>
      </c>
      <c r="G126" t="s">
        <v>45</v>
      </c>
      <c r="AH126" t="s">
        <v>42</v>
      </c>
      <c r="AI126" t="str">
        <f>"66298790261414"</f>
        <v>66298790261414</v>
      </c>
      <c r="AJ126" t="str">
        <f>"400490"</f>
        <v>400490</v>
      </c>
      <c r="AK126" t="s">
        <v>46</v>
      </c>
      <c r="AL126" s="1">
        <v>44816.545162037037</v>
      </c>
      <c r="AM126" t="s">
        <v>44</v>
      </c>
    </row>
    <row r="127" spans="1:39" x14ac:dyDescent="0.2">
      <c r="A127" t="s">
        <v>169</v>
      </c>
      <c r="B127" t="s">
        <v>40</v>
      </c>
      <c r="C127" t="s">
        <v>143</v>
      </c>
      <c r="D127" t="s">
        <v>42</v>
      </c>
      <c r="E127" t="s">
        <v>43</v>
      </c>
      <c r="F127" t="s">
        <v>44</v>
      </c>
      <c r="G127" t="s">
        <v>45</v>
      </c>
      <c r="AH127" t="s">
        <v>42</v>
      </c>
      <c r="AI127" t="str">
        <f>"66298790300499"</f>
        <v>66298790300499</v>
      </c>
      <c r="AJ127" t="str">
        <f>"400486"</f>
        <v>400486</v>
      </c>
      <c r="AK127" t="s">
        <v>46</v>
      </c>
      <c r="AL127" s="1">
        <v>44816.545173611114</v>
      </c>
      <c r="AM127" t="s">
        <v>44</v>
      </c>
    </row>
    <row r="128" spans="1:39" x14ac:dyDescent="0.2">
      <c r="A128" t="s">
        <v>170</v>
      </c>
      <c r="B128" t="s">
        <v>40</v>
      </c>
      <c r="C128" t="s">
        <v>143</v>
      </c>
      <c r="D128" t="s">
        <v>42</v>
      </c>
      <c r="E128" t="s">
        <v>43</v>
      </c>
      <c r="F128" t="s">
        <v>44</v>
      </c>
      <c r="G128" t="s">
        <v>45</v>
      </c>
      <c r="AH128" t="s">
        <v>42</v>
      </c>
      <c r="AI128" t="str">
        <f>"66298790340896"</f>
        <v>66298790340896</v>
      </c>
      <c r="AJ128" t="str">
        <f>"SA005"</f>
        <v>SA005</v>
      </c>
      <c r="AK128" t="s">
        <v>46</v>
      </c>
      <c r="AL128" s="1">
        <v>44816.545173611114</v>
      </c>
      <c r="AM128" t="s">
        <v>44</v>
      </c>
    </row>
    <row r="129" spans="1:39" x14ac:dyDescent="0.2">
      <c r="A129" t="s">
        <v>171</v>
      </c>
      <c r="B129" t="s">
        <v>40</v>
      </c>
      <c r="C129" t="s">
        <v>172</v>
      </c>
      <c r="D129" t="s">
        <v>42</v>
      </c>
      <c r="E129" t="s">
        <v>43</v>
      </c>
      <c r="F129" t="s">
        <v>44</v>
      </c>
      <c r="G129" t="s">
        <v>45</v>
      </c>
      <c r="AH129" t="s">
        <v>42</v>
      </c>
      <c r="AI129" t="str">
        <f>"66298790381677"</f>
        <v>66298790381677</v>
      </c>
      <c r="AJ129" t="str">
        <f>"81526"</f>
        <v>81526</v>
      </c>
      <c r="AK129" t="s">
        <v>46</v>
      </c>
      <c r="AL129" s="1">
        <v>44816.545173611114</v>
      </c>
      <c r="AM129" t="s">
        <v>44</v>
      </c>
    </row>
    <row r="130" spans="1:39" x14ac:dyDescent="0.2">
      <c r="A130" t="s">
        <v>173</v>
      </c>
      <c r="B130" t="s">
        <v>40</v>
      </c>
      <c r="C130" t="s">
        <v>172</v>
      </c>
      <c r="D130" t="s">
        <v>42</v>
      </c>
      <c r="E130" t="s">
        <v>43</v>
      </c>
      <c r="F130" t="s">
        <v>44</v>
      </c>
      <c r="G130" t="s">
        <v>45</v>
      </c>
      <c r="AH130" t="s">
        <v>42</v>
      </c>
      <c r="AI130" t="str">
        <f>"66298790426257"</f>
        <v>66298790426257</v>
      </c>
      <c r="AJ130" t="str">
        <f>"A-2746C"</f>
        <v>A-2746C</v>
      </c>
      <c r="AK130" t="s">
        <v>46</v>
      </c>
      <c r="AL130" s="1">
        <v>44816.545185185183</v>
      </c>
      <c r="AM130" t="s">
        <v>44</v>
      </c>
    </row>
    <row r="131" spans="1:39" x14ac:dyDescent="0.2">
      <c r="A131" t="s">
        <v>174</v>
      </c>
      <c r="B131" t="s">
        <v>40</v>
      </c>
      <c r="C131" t="s">
        <v>172</v>
      </c>
      <c r="D131" t="s">
        <v>42</v>
      </c>
      <c r="E131" t="s">
        <v>43</v>
      </c>
      <c r="F131" t="s">
        <v>44</v>
      </c>
      <c r="G131" t="s">
        <v>45</v>
      </c>
      <c r="AH131" t="s">
        <v>42</v>
      </c>
      <c r="AI131" t="str">
        <f>"66298790467302"</f>
        <v>66298790467302</v>
      </c>
      <c r="AJ131" t="str">
        <f>"400913"</f>
        <v>400913</v>
      </c>
      <c r="AK131" t="s">
        <v>46</v>
      </c>
      <c r="AL131" s="1">
        <v>44816.545185185183</v>
      </c>
      <c r="AM131" t="s">
        <v>44</v>
      </c>
    </row>
    <row r="132" spans="1:39" x14ac:dyDescent="0.2">
      <c r="A132" t="s">
        <v>175</v>
      </c>
      <c r="B132" t="s">
        <v>40</v>
      </c>
      <c r="C132" t="s">
        <v>172</v>
      </c>
      <c r="D132" t="s">
        <v>42</v>
      </c>
      <c r="E132" t="s">
        <v>43</v>
      </c>
      <c r="F132" t="s">
        <v>44</v>
      </c>
      <c r="G132" t="s">
        <v>45</v>
      </c>
      <c r="AH132" t="s">
        <v>42</v>
      </c>
      <c r="AI132" t="str">
        <f>"66298790509113"</f>
        <v>66298790509113</v>
      </c>
      <c r="AJ132" t="str">
        <f>"12728C1"</f>
        <v>12728C1</v>
      </c>
      <c r="AK132" t="s">
        <v>46</v>
      </c>
      <c r="AL132" s="1">
        <v>44816.54519675926</v>
      </c>
      <c r="AM132" t="s">
        <v>44</v>
      </c>
    </row>
    <row r="133" spans="1:39" x14ac:dyDescent="0.2">
      <c r="A133" t="s">
        <v>176</v>
      </c>
      <c r="B133" t="s">
        <v>40</v>
      </c>
      <c r="C133" t="s">
        <v>172</v>
      </c>
      <c r="D133" t="s">
        <v>42</v>
      </c>
      <c r="E133" t="s">
        <v>43</v>
      </c>
      <c r="F133" t="s">
        <v>44</v>
      </c>
      <c r="G133" t="s">
        <v>45</v>
      </c>
      <c r="AH133" t="s">
        <v>42</v>
      </c>
      <c r="AI133" t="str">
        <f>"66298790549304"</f>
        <v>66298790549304</v>
      </c>
      <c r="AJ133" t="str">
        <f>"H4-12458MV-BI"</f>
        <v>H4-12458MV-BI</v>
      </c>
      <c r="AK133" t="s">
        <v>46</v>
      </c>
      <c r="AL133" s="1">
        <v>44816.54519675926</v>
      </c>
      <c r="AM133" t="s">
        <v>44</v>
      </c>
    </row>
    <row r="134" spans="1:39" x14ac:dyDescent="0.2">
      <c r="A134" t="s">
        <v>177</v>
      </c>
      <c r="B134" t="s">
        <v>40</v>
      </c>
      <c r="C134" t="s">
        <v>172</v>
      </c>
      <c r="D134" t="s">
        <v>42</v>
      </c>
      <c r="E134" t="s">
        <v>43</v>
      </c>
      <c r="F134" t="s">
        <v>44</v>
      </c>
      <c r="G134" t="s">
        <v>45</v>
      </c>
      <c r="AH134" t="s">
        <v>42</v>
      </c>
      <c r="AI134" t="str">
        <f>"66298790596730"</f>
        <v>66298790596730</v>
      </c>
      <c r="AJ134" t="str">
        <f>"400588"</f>
        <v>400588</v>
      </c>
      <c r="AK134" t="s">
        <v>46</v>
      </c>
      <c r="AL134" s="1">
        <v>44816.54519675926</v>
      </c>
      <c r="AM134" t="s">
        <v>44</v>
      </c>
    </row>
    <row r="135" spans="1:39" x14ac:dyDescent="0.2">
      <c r="A135" t="s">
        <v>178</v>
      </c>
      <c r="B135" t="s">
        <v>40</v>
      </c>
      <c r="C135" t="s">
        <v>172</v>
      </c>
      <c r="D135" t="s">
        <v>42</v>
      </c>
      <c r="E135" t="s">
        <v>43</v>
      </c>
      <c r="F135" t="s">
        <v>44</v>
      </c>
      <c r="G135" t="s">
        <v>45</v>
      </c>
      <c r="AH135" t="s">
        <v>42</v>
      </c>
      <c r="AI135" t="str">
        <f>"66298790642327"</f>
        <v>66298790642327</v>
      </c>
      <c r="AJ135" t="str">
        <f>"400159"</f>
        <v>400159</v>
      </c>
      <c r="AK135" t="s">
        <v>46</v>
      </c>
      <c r="AL135" s="1">
        <v>44816.545208333337</v>
      </c>
      <c r="AM135" t="s">
        <v>44</v>
      </c>
    </row>
    <row r="136" spans="1:39" x14ac:dyDescent="0.2">
      <c r="A136" t="s">
        <v>179</v>
      </c>
      <c r="B136" t="s">
        <v>40</v>
      </c>
      <c r="C136" t="s">
        <v>172</v>
      </c>
      <c r="D136" t="s">
        <v>42</v>
      </c>
      <c r="E136" t="s">
        <v>43</v>
      </c>
      <c r="F136" t="s">
        <v>44</v>
      </c>
      <c r="G136" t="s">
        <v>45</v>
      </c>
      <c r="AH136" t="s">
        <v>42</v>
      </c>
      <c r="AI136" t="str">
        <f>"BA20"</f>
        <v>BA20</v>
      </c>
      <c r="AJ136" t="str">
        <f>"BA20"</f>
        <v>BA20</v>
      </c>
      <c r="AK136" t="s">
        <v>46</v>
      </c>
      <c r="AL136" s="1">
        <v>45086.68959490741</v>
      </c>
      <c r="AM136" t="s">
        <v>44</v>
      </c>
    </row>
    <row r="137" spans="1:39" x14ac:dyDescent="0.2">
      <c r="A137" t="s">
        <v>180</v>
      </c>
      <c r="B137" t="s">
        <v>40</v>
      </c>
      <c r="C137" t="s">
        <v>172</v>
      </c>
      <c r="D137" t="s">
        <v>42</v>
      </c>
      <c r="E137" t="s">
        <v>43</v>
      </c>
      <c r="F137" t="s">
        <v>44</v>
      </c>
      <c r="G137" t="s">
        <v>45</v>
      </c>
      <c r="AH137" t="s">
        <v>42</v>
      </c>
      <c r="AI137" t="str">
        <f>"66298790679312"</f>
        <v>66298790679312</v>
      </c>
      <c r="AJ137" t="str">
        <f>"400914"</f>
        <v>400914</v>
      </c>
      <c r="AK137" t="s">
        <v>46</v>
      </c>
      <c r="AL137" s="1">
        <v>44816.545208333337</v>
      </c>
      <c r="AM137" t="s">
        <v>44</v>
      </c>
    </row>
    <row r="138" spans="1:39" x14ac:dyDescent="0.2">
      <c r="A138" t="s">
        <v>181</v>
      </c>
      <c r="B138" t="s">
        <v>40</v>
      </c>
      <c r="C138" t="s">
        <v>172</v>
      </c>
      <c r="D138" t="s">
        <v>42</v>
      </c>
      <c r="E138" t="s">
        <v>43</v>
      </c>
      <c r="F138" t="s">
        <v>44</v>
      </c>
      <c r="G138" t="s">
        <v>45</v>
      </c>
      <c r="AH138" t="s">
        <v>42</v>
      </c>
      <c r="AI138" t="str">
        <f>"PX43T"</f>
        <v>PX43T</v>
      </c>
      <c r="AJ138" t="str">
        <f>"PX43T"</f>
        <v>PX43T</v>
      </c>
      <c r="AK138" t="s">
        <v>46</v>
      </c>
      <c r="AL138" s="1">
        <v>45086.6875</v>
      </c>
      <c r="AM138" t="s">
        <v>44</v>
      </c>
    </row>
    <row r="139" spans="1:39" x14ac:dyDescent="0.2">
      <c r="A139" t="s">
        <v>182</v>
      </c>
      <c r="B139" t="s">
        <v>40</v>
      </c>
      <c r="C139" t="s">
        <v>172</v>
      </c>
      <c r="D139" t="s">
        <v>42</v>
      </c>
      <c r="E139" t="s">
        <v>43</v>
      </c>
      <c r="F139" t="s">
        <v>44</v>
      </c>
      <c r="G139" t="s">
        <v>45</v>
      </c>
      <c r="AH139" t="s">
        <v>42</v>
      </c>
      <c r="AI139" t="str">
        <f>"66298790731121"</f>
        <v>66298790731121</v>
      </c>
      <c r="AJ139" t="str">
        <f>"81527"</f>
        <v>81527</v>
      </c>
      <c r="AK139" t="s">
        <v>46</v>
      </c>
      <c r="AL139" s="1">
        <v>44816.545219907406</v>
      </c>
      <c r="AM139" t="s">
        <v>44</v>
      </c>
    </row>
    <row r="140" spans="1:39" x14ac:dyDescent="0.2">
      <c r="A140" t="s">
        <v>182</v>
      </c>
      <c r="B140" t="s">
        <v>40</v>
      </c>
      <c r="C140" t="s">
        <v>172</v>
      </c>
      <c r="D140" t="s">
        <v>42</v>
      </c>
      <c r="E140" t="s">
        <v>43</v>
      </c>
      <c r="F140" t="s">
        <v>44</v>
      </c>
      <c r="G140" t="s">
        <v>45</v>
      </c>
      <c r="AH140" t="s">
        <v>42</v>
      </c>
      <c r="AI140" t="str">
        <f>"66298790769154"</f>
        <v>66298790769154</v>
      </c>
      <c r="AJ140" t="str">
        <f>"AY-2748-K"</f>
        <v>AY-2748-K</v>
      </c>
      <c r="AK140" t="s">
        <v>46</v>
      </c>
      <c r="AL140" s="1">
        <v>44816.545219907406</v>
      </c>
      <c r="AM140" t="s">
        <v>44</v>
      </c>
    </row>
    <row r="141" spans="1:39" x14ac:dyDescent="0.2">
      <c r="A141" t="s">
        <v>183</v>
      </c>
      <c r="B141" t="s">
        <v>40</v>
      </c>
      <c r="C141" t="s">
        <v>172</v>
      </c>
      <c r="D141" t="s">
        <v>42</v>
      </c>
      <c r="E141" t="s">
        <v>43</v>
      </c>
      <c r="F141" t="s">
        <v>44</v>
      </c>
      <c r="G141" t="s">
        <v>45</v>
      </c>
      <c r="AH141" t="s">
        <v>42</v>
      </c>
      <c r="AI141" t="str">
        <f>"66298790806601"</f>
        <v>66298790806601</v>
      </c>
      <c r="AJ141" t="str">
        <f>"400589"</f>
        <v>400589</v>
      </c>
      <c r="AK141" t="s">
        <v>46</v>
      </c>
      <c r="AL141" s="1">
        <v>44816.545231481483</v>
      </c>
      <c r="AM141" t="s">
        <v>44</v>
      </c>
    </row>
    <row r="142" spans="1:39" x14ac:dyDescent="0.2">
      <c r="A142" t="s">
        <v>184</v>
      </c>
      <c r="B142" t="s">
        <v>40</v>
      </c>
      <c r="C142" t="s">
        <v>172</v>
      </c>
      <c r="D142" t="s">
        <v>42</v>
      </c>
      <c r="E142" t="s">
        <v>43</v>
      </c>
      <c r="F142" t="s">
        <v>44</v>
      </c>
      <c r="G142" t="s">
        <v>45</v>
      </c>
      <c r="AH142" t="s">
        <v>42</v>
      </c>
      <c r="AI142" t="str">
        <f>"66298790855077"</f>
        <v>66298790855077</v>
      </c>
      <c r="AJ142" t="str">
        <f>"4464-H"</f>
        <v>4464-H</v>
      </c>
      <c r="AK142" t="s">
        <v>46</v>
      </c>
      <c r="AL142" s="1">
        <v>44816.545231481483</v>
      </c>
      <c r="AM142" t="s">
        <v>44</v>
      </c>
    </row>
    <row r="143" spans="1:39" x14ac:dyDescent="0.2">
      <c r="A143" t="s">
        <v>185</v>
      </c>
      <c r="B143" t="s">
        <v>40</v>
      </c>
      <c r="C143" t="s">
        <v>172</v>
      </c>
      <c r="D143" t="s">
        <v>42</v>
      </c>
      <c r="E143" t="s">
        <v>43</v>
      </c>
      <c r="F143" t="s">
        <v>44</v>
      </c>
      <c r="G143" t="s">
        <v>45</v>
      </c>
      <c r="AH143" t="s">
        <v>42</v>
      </c>
      <c r="AI143" t="str">
        <f>"66298790896822"</f>
        <v>66298790896822</v>
      </c>
      <c r="AJ143" t="str">
        <f>"SW-H7"</f>
        <v>SW-H7</v>
      </c>
      <c r="AK143" t="s">
        <v>46</v>
      </c>
      <c r="AL143" s="1">
        <v>44816.545231481483</v>
      </c>
      <c r="AM143" t="s">
        <v>44</v>
      </c>
    </row>
    <row r="144" spans="1:39" x14ac:dyDescent="0.2">
      <c r="A144" t="s">
        <v>186</v>
      </c>
      <c r="B144" t="s">
        <v>40</v>
      </c>
      <c r="C144" t="s">
        <v>172</v>
      </c>
      <c r="D144" t="s">
        <v>42</v>
      </c>
      <c r="E144" t="s">
        <v>43</v>
      </c>
      <c r="F144" t="s">
        <v>44</v>
      </c>
      <c r="G144" t="s">
        <v>45</v>
      </c>
      <c r="AH144" t="s">
        <v>42</v>
      </c>
      <c r="AI144" t="str">
        <f>"66298790938668"</f>
        <v>66298790938668</v>
      </c>
      <c r="AJ144" t="str">
        <f>"AY-50340-BX"</f>
        <v>AY-50340-BX</v>
      </c>
      <c r="AK144" t="s">
        <v>46</v>
      </c>
      <c r="AL144" s="1">
        <v>44816.545243055552</v>
      </c>
      <c r="AM144" t="s">
        <v>44</v>
      </c>
    </row>
    <row r="145" spans="1:39" x14ac:dyDescent="0.2">
      <c r="A145" t="s">
        <v>187</v>
      </c>
      <c r="B145" t="s">
        <v>40</v>
      </c>
      <c r="C145" t="s">
        <v>172</v>
      </c>
      <c r="D145" t="s">
        <v>42</v>
      </c>
      <c r="E145" t="s">
        <v>43</v>
      </c>
      <c r="F145" t="s">
        <v>44</v>
      </c>
      <c r="G145" t="s">
        <v>45</v>
      </c>
      <c r="AH145" t="s">
        <v>42</v>
      </c>
      <c r="AI145" t="str">
        <f>"66298790980057"</f>
        <v>66298790980057</v>
      </c>
      <c r="AJ145" t="str">
        <f>"VF064"</f>
        <v>VF064</v>
      </c>
      <c r="AK145" t="s">
        <v>46</v>
      </c>
      <c r="AL145" s="1">
        <v>44816.545243055552</v>
      </c>
      <c r="AM145" t="s">
        <v>44</v>
      </c>
    </row>
    <row r="146" spans="1:39" x14ac:dyDescent="0.2">
      <c r="A146" t="s">
        <v>188</v>
      </c>
      <c r="B146" t="s">
        <v>40</v>
      </c>
      <c r="C146" t="s">
        <v>172</v>
      </c>
      <c r="D146" t="s">
        <v>42</v>
      </c>
      <c r="E146" t="s">
        <v>43</v>
      </c>
      <c r="F146" t="s">
        <v>44</v>
      </c>
      <c r="G146" t="s">
        <v>45</v>
      </c>
      <c r="AH146" t="s">
        <v>42</v>
      </c>
      <c r="AI146" t="str">
        <f>"66298791021092"</f>
        <v>66298791021092</v>
      </c>
      <c r="AJ146" t="str">
        <f>"VF063"</f>
        <v>VF063</v>
      </c>
      <c r="AK146" t="s">
        <v>46</v>
      </c>
      <c r="AL146" s="1">
        <v>44816.545254629629</v>
      </c>
      <c r="AM146" t="s">
        <v>44</v>
      </c>
    </row>
    <row r="147" spans="1:39" x14ac:dyDescent="0.2">
      <c r="A147" t="s">
        <v>189</v>
      </c>
      <c r="B147" t="s">
        <v>40</v>
      </c>
      <c r="C147" t="s">
        <v>172</v>
      </c>
      <c r="D147" t="s">
        <v>42</v>
      </c>
      <c r="E147" t="s">
        <v>43</v>
      </c>
      <c r="F147" t="s">
        <v>44</v>
      </c>
      <c r="G147" t="s">
        <v>45</v>
      </c>
      <c r="AH147" t="s">
        <v>42</v>
      </c>
      <c r="AI147" t="str">
        <f>"66298791062450"</f>
        <v>66298791062450</v>
      </c>
      <c r="AJ147" t="str">
        <f>"VF065"</f>
        <v>VF065</v>
      </c>
      <c r="AK147" t="s">
        <v>46</v>
      </c>
      <c r="AL147" s="1">
        <v>44816.545254629629</v>
      </c>
      <c r="AM147" t="s">
        <v>44</v>
      </c>
    </row>
    <row r="148" spans="1:39" x14ac:dyDescent="0.2">
      <c r="A148" t="s">
        <v>190</v>
      </c>
      <c r="B148" t="s">
        <v>40</v>
      </c>
      <c r="C148" t="s">
        <v>172</v>
      </c>
      <c r="D148" t="s">
        <v>42</v>
      </c>
      <c r="E148" t="s">
        <v>43</v>
      </c>
      <c r="F148" t="s">
        <v>44</v>
      </c>
      <c r="G148" t="s">
        <v>45</v>
      </c>
      <c r="AH148" t="s">
        <v>42</v>
      </c>
      <c r="AI148" t="str">
        <f>"134881"</f>
        <v>134881</v>
      </c>
      <c r="AJ148" t="str">
        <f>"134881"</f>
        <v>134881</v>
      </c>
      <c r="AK148" t="s">
        <v>46</v>
      </c>
      <c r="AL148" s="1">
        <v>45106.906643518516</v>
      </c>
      <c r="AM148" t="s">
        <v>44</v>
      </c>
    </row>
    <row r="149" spans="1:39" x14ac:dyDescent="0.2">
      <c r="A149" t="s">
        <v>191</v>
      </c>
      <c r="B149" t="s">
        <v>40</v>
      </c>
      <c r="C149" t="s">
        <v>172</v>
      </c>
      <c r="D149" t="s">
        <v>42</v>
      </c>
      <c r="E149" t="s">
        <v>43</v>
      </c>
      <c r="F149" t="s">
        <v>44</v>
      </c>
      <c r="G149" t="s">
        <v>45</v>
      </c>
      <c r="AH149" t="s">
        <v>42</v>
      </c>
      <c r="AI149" t="str">
        <f>"VF024"</f>
        <v>VF024</v>
      </c>
      <c r="AJ149" t="str">
        <f>"VF024"</f>
        <v>VF024</v>
      </c>
      <c r="AK149" t="s">
        <v>46</v>
      </c>
      <c r="AL149" s="1">
        <v>45086.693495370368</v>
      </c>
      <c r="AM149" t="s">
        <v>44</v>
      </c>
    </row>
    <row r="150" spans="1:39" x14ac:dyDescent="0.2">
      <c r="A150" t="s">
        <v>192</v>
      </c>
      <c r="B150" t="s">
        <v>40</v>
      </c>
      <c r="C150" t="s">
        <v>172</v>
      </c>
      <c r="D150" t="s">
        <v>42</v>
      </c>
      <c r="E150" t="s">
        <v>43</v>
      </c>
      <c r="F150" t="s">
        <v>44</v>
      </c>
      <c r="G150" t="s">
        <v>45</v>
      </c>
      <c r="AH150" t="s">
        <v>42</v>
      </c>
      <c r="AI150" t="str">
        <f>"66298791108060"</f>
        <v>66298791108060</v>
      </c>
      <c r="AJ150" t="str">
        <f>"VF009"</f>
        <v>VF009</v>
      </c>
      <c r="AK150" t="s">
        <v>46</v>
      </c>
      <c r="AL150" s="1">
        <v>44816.545266203706</v>
      </c>
      <c r="AM150" t="s">
        <v>44</v>
      </c>
    </row>
    <row r="151" spans="1:39" x14ac:dyDescent="0.2">
      <c r="A151" t="s">
        <v>193</v>
      </c>
      <c r="B151" t="s">
        <v>40</v>
      </c>
      <c r="C151" t="s">
        <v>172</v>
      </c>
      <c r="D151" t="s">
        <v>42</v>
      </c>
      <c r="E151" t="s">
        <v>43</v>
      </c>
      <c r="F151" t="s">
        <v>44</v>
      </c>
      <c r="G151" t="s">
        <v>45</v>
      </c>
      <c r="AH151" t="s">
        <v>42</v>
      </c>
      <c r="AI151" t="str">
        <f>"66298791149793"</f>
        <v>66298791149793</v>
      </c>
      <c r="AJ151" t="str">
        <f>"VF032"</f>
        <v>VF032</v>
      </c>
      <c r="AK151" t="s">
        <v>46</v>
      </c>
      <c r="AL151" s="1">
        <v>44816.545266203706</v>
      </c>
      <c r="AM151" t="s">
        <v>44</v>
      </c>
    </row>
    <row r="152" spans="1:39" x14ac:dyDescent="0.2">
      <c r="A152" t="s">
        <v>194</v>
      </c>
      <c r="B152" t="s">
        <v>40</v>
      </c>
      <c r="C152" t="s">
        <v>172</v>
      </c>
      <c r="D152" t="s">
        <v>42</v>
      </c>
      <c r="E152" t="s">
        <v>43</v>
      </c>
      <c r="F152" t="s">
        <v>44</v>
      </c>
      <c r="G152" t="s">
        <v>45</v>
      </c>
      <c r="AH152" t="s">
        <v>42</v>
      </c>
      <c r="AI152" t="str">
        <f>"1003"</f>
        <v>1003</v>
      </c>
      <c r="AJ152" t="str">
        <f>"1003"</f>
        <v>1003</v>
      </c>
      <c r="AK152" t="s">
        <v>46</v>
      </c>
      <c r="AL152" s="1">
        <v>44996.687488425923</v>
      </c>
      <c r="AM152" t="s">
        <v>44</v>
      </c>
    </row>
    <row r="153" spans="1:39" x14ac:dyDescent="0.2">
      <c r="A153" t="s">
        <v>194</v>
      </c>
      <c r="B153" t="s">
        <v>40</v>
      </c>
      <c r="C153" t="s">
        <v>172</v>
      </c>
      <c r="D153" t="s">
        <v>42</v>
      </c>
      <c r="E153" t="s">
        <v>43</v>
      </c>
      <c r="F153" t="s">
        <v>44</v>
      </c>
      <c r="G153" t="s">
        <v>45</v>
      </c>
      <c r="AH153" t="s">
        <v>42</v>
      </c>
      <c r="AI153" t="str">
        <f>"13066"</f>
        <v>13066</v>
      </c>
      <c r="AJ153" t="str">
        <f>"13066"</f>
        <v>13066</v>
      </c>
      <c r="AK153" t="s">
        <v>46</v>
      </c>
      <c r="AL153" s="1">
        <v>45134.72115740741</v>
      </c>
      <c r="AM153" t="s">
        <v>44</v>
      </c>
    </row>
    <row r="154" spans="1:39" x14ac:dyDescent="0.2">
      <c r="A154" t="s">
        <v>195</v>
      </c>
      <c r="B154" t="s">
        <v>40</v>
      </c>
      <c r="C154" t="s">
        <v>172</v>
      </c>
      <c r="D154" t="s">
        <v>42</v>
      </c>
      <c r="E154" t="s">
        <v>43</v>
      </c>
      <c r="F154" t="s">
        <v>44</v>
      </c>
      <c r="G154" t="s">
        <v>45</v>
      </c>
      <c r="AH154" t="s">
        <v>42</v>
      </c>
      <c r="AI154" t="str">
        <f>"66298791189346"</f>
        <v>66298791189346</v>
      </c>
      <c r="AJ154" t="str">
        <f>"400160"</f>
        <v>400160</v>
      </c>
      <c r="AK154" t="s">
        <v>46</v>
      </c>
      <c r="AL154" s="1">
        <v>44816.545266203706</v>
      </c>
      <c r="AM154" t="s">
        <v>44</v>
      </c>
    </row>
    <row r="155" spans="1:39" x14ac:dyDescent="0.2">
      <c r="A155" t="s">
        <v>196</v>
      </c>
      <c r="B155" t="s">
        <v>40</v>
      </c>
      <c r="C155" t="s">
        <v>172</v>
      </c>
      <c r="D155" t="s">
        <v>42</v>
      </c>
      <c r="E155" t="s">
        <v>43</v>
      </c>
      <c r="F155" t="s">
        <v>44</v>
      </c>
      <c r="G155" t="s">
        <v>45</v>
      </c>
      <c r="AH155" t="s">
        <v>42</v>
      </c>
      <c r="AI155" t="str">
        <f>"66298791232937"</f>
        <v>66298791232937</v>
      </c>
      <c r="AJ155" t="str">
        <f>"12496NACP"</f>
        <v>12496NACP</v>
      </c>
      <c r="AK155" t="s">
        <v>46</v>
      </c>
      <c r="AL155" s="1">
        <v>44816.545277777775</v>
      </c>
      <c r="AM155" t="s">
        <v>44</v>
      </c>
    </row>
    <row r="156" spans="1:39" x14ac:dyDescent="0.2">
      <c r="A156" t="s">
        <v>197</v>
      </c>
      <c r="B156" t="s">
        <v>40</v>
      </c>
      <c r="C156" t="s">
        <v>172</v>
      </c>
      <c r="D156" t="s">
        <v>42</v>
      </c>
      <c r="E156" t="s">
        <v>43</v>
      </c>
      <c r="F156" t="s">
        <v>44</v>
      </c>
      <c r="G156" t="s">
        <v>45</v>
      </c>
      <c r="AH156" t="s">
        <v>42</v>
      </c>
      <c r="AI156" t="str">
        <f>"66298791273388"</f>
        <v>66298791273388</v>
      </c>
      <c r="AJ156" t="str">
        <f>"AMP-T13"</f>
        <v>AMP-T13</v>
      </c>
      <c r="AK156" t="s">
        <v>46</v>
      </c>
      <c r="AL156" s="1">
        <v>44816.545277777775</v>
      </c>
      <c r="AM156" t="s">
        <v>44</v>
      </c>
    </row>
    <row r="157" spans="1:39" x14ac:dyDescent="0.2">
      <c r="A157" t="s">
        <v>198</v>
      </c>
      <c r="B157" t="s">
        <v>40</v>
      </c>
      <c r="C157" t="s">
        <v>172</v>
      </c>
      <c r="D157" t="s">
        <v>42</v>
      </c>
      <c r="E157" t="s">
        <v>43</v>
      </c>
      <c r="F157" t="s">
        <v>44</v>
      </c>
      <c r="G157" t="s">
        <v>45</v>
      </c>
      <c r="AH157" t="s">
        <v>42</v>
      </c>
      <c r="AI157" t="str">
        <f>"66298791313891"</f>
        <v>66298791313891</v>
      </c>
      <c r="AJ157" t="str">
        <f>"VF027"</f>
        <v>VF027</v>
      </c>
      <c r="AK157" t="s">
        <v>46</v>
      </c>
      <c r="AL157" s="1">
        <v>44816.545289351852</v>
      </c>
      <c r="AM157" t="s">
        <v>44</v>
      </c>
    </row>
    <row r="158" spans="1:39" x14ac:dyDescent="0.2">
      <c r="A158" t="s">
        <v>199</v>
      </c>
      <c r="B158" t="s">
        <v>40</v>
      </c>
      <c r="C158" t="s">
        <v>172</v>
      </c>
      <c r="D158" t="s">
        <v>42</v>
      </c>
      <c r="E158" t="s">
        <v>43</v>
      </c>
      <c r="F158" t="s">
        <v>44</v>
      </c>
      <c r="G158" t="s">
        <v>45</v>
      </c>
      <c r="AH158" t="s">
        <v>42</v>
      </c>
      <c r="AI158" t="str">
        <f>"66298791356474"</f>
        <v>66298791356474</v>
      </c>
      <c r="AJ158" t="str">
        <f>"504"</f>
        <v>504</v>
      </c>
      <c r="AK158" t="s">
        <v>46</v>
      </c>
      <c r="AL158" s="1">
        <v>44816.545289351852</v>
      </c>
      <c r="AM158" t="s">
        <v>44</v>
      </c>
    </row>
    <row r="159" spans="1:39" x14ac:dyDescent="0.2">
      <c r="A159" t="s">
        <v>200</v>
      </c>
      <c r="B159" t="s">
        <v>40</v>
      </c>
      <c r="C159" t="s">
        <v>172</v>
      </c>
      <c r="D159" t="s">
        <v>42</v>
      </c>
      <c r="E159" t="s">
        <v>43</v>
      </c>
      <c r="F159" t="s">
        <v>44</v>
      </c>
      <c r="G159" t="s">
        <v>45</v>
      </c>
      <c r="AH159" t="s">
        <v>42</v>
      </c>
      <c r="AI159" t="str">
        <f>"66298791397313"</f>
        <v>66298791397313</v>
      </c>
      <c r="AJ159" t="str">
        <f>"L10AF"</f>
        <v>L10AF</v>
      </c>
      <c r="AK159" t="s">
        <v>46</v>
      </c>
      <c r="AL159" s="1">
        <v>44816.545289351852</v>
      </c>
      <c r="AM159" t="s">
        <v>44</v>
      </c>
    </row>
    <row r="160" spans="1:39" x14ac:dyDescent="0.2">
      <c r="A160" t="s">
        <v>201</v>
      </c>
      <c r="B160" t="s">
        <v>40</v>
      </c>
      <c r="C160" t="s">
        <v>172</v>
      </c>
      <c r="D160" t="s">
        <v>42</v>
      </c>
      <c r="E160" t="s">
        <v>43</v>
      </c>
      <c r="F160" t="s">
        <v>44</v>
      </c>
      <c r="G160" t="s">
        <v>45</v>
      </c>
      <c r="AH160" t="s">
        <v>42</v>
      </c>
      <c r="AI160" t="str">
        <f>"66298791437612"</f>
        <v>66298791437612</v>
      </c>
      <c r="AJ160" t="str">
        <f>"L10R"</f>
        <v>L10R</v>
      </c>
      <c r="AK160" t="s">
        <v>46</v>
      </c>
      <c r="AL160" s="1">
        <v>44816.545300925929</v>
      </c>
      <c r="AM160" t="s">
        <v>44</v>
      </c>
    </row>
    <row r="161" spans="1:39" x14ac:dyDescent="0.2">
      <c r="A161" t="s">
        <v>202</v>
      </c>
      <c r="B161" t="s">
        <v>40</v>
      </c>
      <c r="C161" t="s">
        <v>172</v>
      </c>
      <c r="D161" t="s">
        <v>42</v>
      </c>
      <c r="E161" t="s">
        <v>43</v>
      </c>
      <c r="F161" t="s">
        <v>44</v>
      </c>
      <c r="G161" t="s">
        <v>45</v>
      </c>
      <c r="AH161" t="s">
        <v>42</v>
      </c>
      <c r="AI161" t="str">
        <f>"66298791486656"</f>
        <v>66298791486656</v>
      </c>
      <c r="AJ161" t="str">
        <f>"L0103B"</f>
        <v>L0103B</v>
      </c>
      <c r="AK161" t="s">
        <v>46</v>
      </c>
      <c r="AL161" s="1">
        <v>44816.545300925929</v>
      </c>
      <c r="AM161" t="s">
        <v>44</v>
      </c>
    </row>
    <row r="162" spans="1:39" x14ac:dyDescent="0.2">
      <c r="A162" t="s">
        <v>203</v>
      </c>
      <c r="B162" t="s">
        <v>40</v>
      </c>
      <c r="C162" t="s">
        <v>172</v>
      </c>
      <c r="D162" t="s">
        <v>42</v>
      </c>
      <c r="E162" t="s">
        <v>43</v>
      </c>
      <c r="F162" t="s">
        <v>44</v>
      </c>
      <c r="G162" t="s">
        <v>45</v>
      </c>
      <c r="AH162" t="s">
        <v>42</v>
      </c>
      <c r="AI162" t="str">
        <f>"66298791589185"</f>
        <v>66298791589185</v>
      </c>
      <c r="AJ162" t="str">
        <f>"12499CP"</f>
        <v>12499CP</v>
      </c>
      <c r="AK162" t="s">
        <v>46</v>
      </c>
      <c r="AL162" s="1">
        <v>44816.545312499999</v>
      </c>
      <c r="AM162" t="s">
        <v>44</v>
      </c>
    </row>
    <row r="163" spans="1:39" x14ac:dyDescent="0.2">
      <c r="A163" t="s">
        <v>204</v>
      </c>
      <c r="B163" t="s">
        <v>40</v>
      </c>
      <c r="C163" t="s">
        <v>172</v>
      </c>
      <c r="D163" t="s">
        <v>42</v>
      </c>
      <c r="E163" t="s">
        <v>43</v>
      </c>
      <c r="F163" t="s">
        <v>44</v>
      </c>
      <c r="G163" t="s">
        <v>45</v>
      </c>
      <c r="AH163" t="s">
        <v>42</v>
      </c>
      <c r="AI163" t="str">
        <f>"66298791633549"</f>
        <v>66298791633549</v>
      </c>
      <c r="AJ163" t="str">
        <f>"400165"</f>
        <v>400165</v>
      </c>
      <c r="AK163" t="s">
        <v>46</v>
      </c>
      <c r="AL163" s="1">
        <v>44816.545324074075</v>
      </c>
      <c r="AM163" t="s">
        <v>44</v>
      </c>
    </row>
    <row r="164" spans="1:39" x14ac:dyDescent="0.2">
      <c r="A164" t="s">
        <v>205</v>
      </c>
      <c r="B164" t="s">
        <v>40</v>
      </c>
      <c r="C164" t="s">
        <v>172</v>
      </c>
      <c r="D164" t="s">
        <v>42</v>
      </c>
      <c r="E164" t="s">
        <v>43</v>
      </c>
      <c r="F164" t="s">
        <v>44</v>
      </c>
      <c r="G164" t="s">
        <v>45</v>
      </c>
      <c r="AH164" t="s">
        <v>42</v>
      </c>
      <c r="AI164" t="str">
        <f>"66298791673488"</f>
        <v>66298791673488</v>
      </c>
      <c r="AJ164" t="str">
        <f>"8134R"</f>
        <v>8134R</v>
      </c>
      <c r="AK164" t="s">
        <v>46</v>
      </c>
      <c r="AL164" s="1">
        <v>44816.545324074075</v>
      </c>
      <c r="AM164" t="s">
        <v>44</v>
      </c>
    </row>
    <row r="165" spans="1:39" x14ac:dyDescent="0.2">
      <c r="A165" t="s">
        <v>206</v>
      </c>
      <c r="B165" t="s">
        <v>40</v>
      </c>
      <c r="C165" t="s">
        <v>172</v>
      </c>
      <c r="D165" t="s">
        <v>42</v>
      </c>
      <c r="E165" t="s">
        <v>43</v>
      </c>
      <c r="F165" t="s">
        <v>44</v>
      </c>
      <c r="G165" t="s">
        <v>45</v>
      </c>
      <c r="AH165" t="s">
        <v>42</v>
      </c>
      <c r="AI165" t="str">
        <f>"66298791529843"</f>
        <v>66298791529843</v>
      </c>
      <c r="AJ165" t="str">
        <f>"8134"</f>
        <v>8134</v>
      </c>
      <c r="AK165" t="s">
        <v>46</v>
      </c>
      <c r="AL165" s="1">
        <v>44816.545312499999</v>
      </c>
      <c r="AM165" t="s">
        <v>44</v>
      </c>
    </row>
    <row r="166" spans="1:39" x14ac:dyDescent="0.2">
      <c r="A166" t="s">
        <v>206</v>
      </c>
      <c r="B166" t="s">
        <v>40</v>
      </c>
      <c r="C166" t="s">
        <v>172</v>
      </c>
      <c r="D166" t="s">
        <v>42</v>
      </c>
      <c r="E166" t="s">
        <v>43</v>
      </c>
      <c r="F166" t="s">
        <v>44</v>
      </c>
      <c r="G166" t="s">
        <v>45</v>
      </c>
      <c r="AH166" t="s">
        <v>42</v>
      </c>
      <c r="AI166" t="str">
        <f>"66298791535267"</f>
        <v>66298791535267</v>
      </c>
      <c r="AJ166" t="str">
        <f>"8134F"</f>
        <v>8134F</v>
      </c>
      <c r="AK166" t="s">
        <v>46</v>
      </c>
      <c r="AL166" s="1">
        <v>44816.545312499999</v>
      </c>
      <c r="AM166" t="s">
        <v>44</v>
      </c>
    </row>
    <row r="167" spans="1:39" x14ac:dyDescent="0.2">
      <c r="A167" t="s">
        <v>207</v>
      </c>
      <c r="B167" t="s">
        <v>40</v>
      </c>
      <c r="C167" t="s">
        <v>172</v>
      </c>
      <c r="D167" t="s">
        <v>42</v>
      </c>
      <c r="E167" t="s">
        <v>43</v>
      </c>
      <c r="F167" t="s">
        <v>44</v>
      </c>
      <c r="G167" t="s">
        <v>45</v>
      </c>
      <c r="AH167" t="s">
        <v>42</v>
      </c>
      <c r="AI167" t="str">
        <f>"66298791714436"</f>
        <v>66298791714436</v>
      </c>
      <c r="AJ167" t="str">
        <f>"0238"</f>
        <v>0238</v>
      </c>
      <c r="AK167" t="s">
        <v>46</v>
      </c>
      <c r="AL167" s="1">
        <v>44816.545335648145</v>
      </c>
      <c r="AM167" t="s">
        <v>44</v>
      </c>
    </row>
    <row r="168" spans="1:39" x14ac:dyDescent="0.2">
      <c r="A168" t="s">
        <v>208</v>
      </c>
      <c r="B168" t="s">
        <v>40</v>
      </c>
      <c r="C168" t="s">
        <v>172</v>
      </c>
      <c r="D168" t="s">
        <v>42</v>
      </c>
      <c r="E168" t="s">
        <v>43</v>
      </c>
      <c r="F168" t="s">
        <v>44</v>
      </c>
      <c r="G168" t="s">
        <v>45</v>
      </c>
      <c r="AH168" t="s">
        <v>42</v>
      </c>
      <c r="AI168" t="str">
        <f>"66298791758169"</f>
        <v>66298791758169</v>
      </c>
      <c r="AJ168" t="str">
        <f>"515152"</f>
        <v>515152</v>
      </c>
      <c r="AK168" t="s">
        <v>46</v>
      </c>
      <c r="AL168" s="1">
        <v>44816.545335648145</v>
      </c>
      <c r="AM168" t="s">
        <v>44</v>
      </c>
    </row>
    <row r="169" spans="1:39" x14ac:dyDescent="0.2">
      <c r="A169" t="s">
        <v>209</v>
      </c>
      <c r="B169" t="s">
        <v>40</v>
      </c>
      <c r="C169" t="s">
        <v>172</v>
      </c>
      <c r="D169" t="s">
        <v>42</v>
      </c>
      <c r="E169" t="s">
        <v>43</v>
      </c>
      <c r="F169" t="s">
        <v>44</v>
      </c>
      <c r="G169" t="s">
        <v>45</v>
      </c>
      <c r="AH169" t="s">
        <v>42</v>
      </c>
      <c r="AI169" t="str">
        <f>"66298791800422"</f>
        <v>66298791800422</v>
      </c>
      <c r="AJ169" t="str">
        <f>"400577"</f>
        <v>400577</v>
      </c>
      <c r="AK169" t="s">
        <v>46</v>
      </c>
      <c r="AL169" s="1">
        <v>44816.545347222222</v>
      </c>
      <c r="AM169" t="s">
        <v>44</v>
      </c>
    </row>
    <row r="170" spans="1:39" x14ac:dyDescent="0.2">
      <c r="A170" t="s">
        <v>210</v>
      </c>
      <c r="B170" t="s">
        <v>40</v>
      </c>
      <c r="C170" t="s">
        <v>172</v>
      </c>
      <c r="D170" t="s">
        <v>42</v>
      </c>
      <c r="E170" t="s">
        <v>43</v>
      </c>
      <c r="F170" t="s">
        <v>44</v>
      </c>
      <c r="G170" t="s">
        <v>45</v>
      </c>
      <c r="AH170" t="s">
        <v>42</v>
      </c>
      <c r="AI170" t="str">
        <f>"66298791838956"</f>
        <v>66298791838956</v>
      </c>
      <c r="AJ170" t="str">
        <f>"400578"</f>
        <v>400578</v>
      </c>
      <c r="AK170" t="s">
        <v>46</v>
      </c>
      <c r="AL170" s="1">
        <v>44816.545347222222</v>
      </c>
      <c r="AM170" t="s">
        <v>44</v>
      </c>
    </row>
    <row r="171" spans="1:39" x14ac:dyDescent="0.2">
      <c r="A171" t="s">
        <v>211</v>
      </c>
      <c r="B171" t="s">
        <v>40</v>
      </c>
      <c r="C171" t="s">
        <v>172</v>
      </c>
      <c r="D171" t="s">
        <v>42</v>
      </c>
      <c r="E171" t="s">
        <v>43</v>
      </c>
      <c r="F171" t="s">
        <v>44</v>
      </c>
      <c r="G171" t="s">
        <v>45</v>
      </c>
      <c r="AH171" t="s">
        <v>42</v>
      </c>
      <c r="AI171" t="str">
        <f>"135024"</f>
        <v>135024</v>
      </c>
      <c r="AJ171" t="str">
        <f>"135024"</f>
        <v>135024</v>
      </c>
      <c r="AK171" t="s">
        <v>46</v>
      </c>
      <c r="AL171" s="1">
        <v>44995.585555555554</v>
      </c>
      <c r="AM171" t="s">
        <v>44</v>
      </c>
    </row>
    <row r="172" spans="1:39" x14ac:dyDescent="0.2">
      <c r="A172" t="s">
        <v>212</v>
      </c>
      <c r="B172" t="s">
        <v>40</v>
      </c>
      <c r="C172" t="s">
        <v>172</v>
      </c>
      <c r="D172" t="s">
        <v>42</v>
      </c>
      <c r="E172" t="s">
        <v>43</v>
      </c>
      <c r="F172" t="s">
        <v>44</v>
      </c>
      <c r="G172" t="s">
        <v>45</v>
      </c>
      <c r="AH172" t="s">
        <v>42</v>
      </c>
      <c r="AI172" t="str">
        <f>"128677"</f>
        <v>128677</v>
      </c>
      <c r="AJ172" t="str">
        <f>"128677"</f>
        <v>128677</v>
      </c>
      <c r="AK172" t="s">
        <v>46</v>
      </c>
      <c r="AL172" s="1">
        <v>44995.586898148147</v>
      </c>
      <c r="AM172" t="s">
        <v>44</v>
      </c>
    </row>
    <row r="173" spans="1:39" x14ac:dyDescent="0.2">
      <c r="A173" t="s">
        <v>213</v>
      </c>
      <c r="B173" t="s">
        <v>40</v>
      </c>
      <c r="C173" t="s">
        <v>214</v>
      </c>
      <c r="D173" t="s">
        <v>42</v>
      </c>
      <c r="E173" t="s">
        <v>43</v>
      </c>
      <c r="F173" t="s">
        <v>44</v>
      </c>
      <c r="G173" t="s">
        <v>45</v>
      </c>
      <c r="AH173" t="s">
        <v>42</v>
      </c>
      <c r="AI173" t="str">
        <f>"51028-STD"</f>
        <v>51028-STD</v>
      </c>
      <c r="AJ173" t="str">
        <f>"51028-STD"</f>
        <v>51028-STD</v>
      </c>
      <c r="AK173" t="s">
        <v>46</v>
      </c>
      <c r="AL173" s="1">
        <v>44902.757430555554</v>
      </c>
      <c r="AM173" t="s">
        <v>44</v>
      </c>
    </row>
    <row r="174" spans="1:39" x14ac:dyDescent="0.2">
      <c r="A174" t="s">
        <v>215</v>
      </c>
      <c r="B174" t="s">
        <v>40</v>
      </c>
      <c r="C174" t="s">
        <v>214</v>
      </c>
      <c r="D174" t="s">
        <v>42</v>
      </c>
      <c r="E174" t="s">
        <v>43</v>
      </c>
      <c r="F174" t="s">
        <v>44</v>
      </c>
      <c r="G174" t="s">
        <v>45</v>
      </c>
      <c r="AH174" t="s">
        <v>42</v>
      </c>
      <c r="AI174" t="str">
        <f>"66298791880282"</f>
        <v>66298791880282</v>
      </c>
      <c r="AJ174" t="str">
        <f>"12140-19B10-SJP"</f>
        <v>12140-19B10-SJP</v>
      </c>
      <c r="AK174" t="s">
        <v>46</v>
      </c>
      <c r="AL174" s="1">
        <v>44816.545347222222</v>
      </c>
      <c r="AM174" t="s">
        <v>44</v>
      </c>
    </row>
    <row r="175" spans="1:39" x14ac:dyDescent="0.2">
      <c r="A175" t="s">
        <v>216</v>
      </c>
      <c r="B175" t="s">
        <v>40</v>
      </c>
      <c r="C175" t="s">
        <v>214</v>
      </c>
      <c r="D175" t="s">
        <v>42</v>
      </c>
      <c r="E175" t="s">
        <v>43</v>
      </c>
      <c r="F175" t="s">
        <v>44</v>
      </c>
      <c r="G175" t="s">
        <v>45</v>
      </c>
      <c r="AH175" t="s">
        <v>42</v>
      </c>
      <c r="AI175" t="str">
        <f>"66298791926684"</f>
        <v>66298791926684</v>
      </c>
      <c r="AJ175" t="str">
        <f>"12140H3E000H000"</f>
        <v>12140H3E000H000</v>
      </c>
      <c r="AK175" t="s">
        <v>46</v>
      </c>
      <c r="AL175" s="1">
        <v>44816.545358796298</v>
      </c>
      <c r="AM175" t="s">
        <v>44</v>
      </c>
    </row>
    <row r="176" spans="1:39" x14ac:dyDescent="0.2">
      <c r="A176" t="s">
        <v>217</v>
      </c>
      <c r="B176" t="s">
        <v>40</v>
      </c>
      <c r="C176" t="s">
        <v>214</v>
      </c>
      <c r="D176" t="s">
        <v>42</v>
      </c>
      <c r="E176" t="s">
        <v>43</v>
      </c>
      <c r="F176" t="s">
        <v>44</v>
      </c>
      <c r="G176" t="s">
        <v>45</v>
      </c>
      <c r="AH176" t="s">
        <v>42</v>
      </c>
      <c r="AI176" t="str">
        <f>"66298791971324"</f>
        <v>66298791971324</v>
      </c>
      <c r="AJ176" t="str">
        <f>"13011-KVC-890JP"</f>
        <v>13011-KVC-890JP</v>
      </c>
      <c r="AK176" t="s">
        <v>46</v>
      </c>
      <c r="AL176" s="1">
        <v>44816.545358796298</v>
      </c>
      <c r="AM176" t="s">
        <v>44</v>
      </c>
    </row>
    <row r="177" spans="1:39" x14ac:dyDescent="0.2">
      <c r="A177" t="s">
        <v>218</v>
      </c>
      <c r="B177" t="s">
        <v>40</v>
      </c>
      <c r="C177" t="s">
        <v>214</v>
      </c>
      <c r="D177" t="s">
        <v>42</v>
      </c>
      <c r="E177" t="s">
        <v>43</v>
      </c>
      <c r="F177" t="s">
        <v>44</v>
      </c>
      <c r="G177" t="s">
        <v>45</v>
      </c>
      <c r="AH177" t="s">
        <v>42</v>
      </c>
      <c r="AI177" t="str">
        <f>"66298792011649"</f>
        <v>66298792011649</v>
      </c>
      <c r="AJ177" t="str">
        <f>"13013-KT1-306JP"</f>
        <v>13013-KT1-306JP</v>
      </c>
      <c r="AK177" t="s">
        <v>46</v>
      </c>
      <c r="AL177" s="1">
        <v>44816.545370370368</v>
      </c>
      <c r="AM177" t="s">
        <v>44</v>
      </c>
    </row>
    <row r="178" spans="1:39" x14ac:dyDescent="0.2">
      <c r="A178" t="s">
        <v>219</v>
      </c>
      <c r="B178" t="s">
        <v>40</v>
      </c>
      <c r="C178" t="s">
        <v>214</v>
      </c>
      <c r="D178" t="s">
        <v>42</v>
      </c>
      <c r="E178" t="s">
        <v>43</v>
      </c>
      <c r="F178" t="s">
        <v>44</v>
      </c>
      <c r="G178" t="s">
        <v>45</v>
      </c>
      <c r="AH178" t="s">
        <v>42</v>
      </c>
      <c r="AI178" t="str">
        <f>"66298792049420"</f>
        <v>66298792049420</v>
      </c>
      <c r="AJ178" t="str">
        <f>"13015-KT1-306JP"</f>
        <v>13015-KT1-306JP</v>
      </c>
      <c r="AK178" t="s">
        <v>46</v>
      </c>
      <c r="AL178" s="1">
        <v>44816.545370370368</v>
      </c>
      <c r="AM178" t="s">
        <v>44</v>
      </c>
    </row>
    <row r="179" spans="1:39" x14ac:dyDescent="0.2">
      <c r="A179" t="s">
        <v>220</v>
      </c>
      <c r="B179" t="s">
        <v>40</v>
      </c>
      <c r="C179" t="s">
        <v>214</v>
      </c>
      <c r="D179" t="s">
        <v>42</v>
      </c>
      <c r="E179" t="s">
        <v>43</v>
      </c>
      <c r="F179" t="s">
        <v>44</v>
      </c>
      <c r="G179" t="s">
        <v>45</v>
      </c>
      <c r="AH179" t="s">
        <v>42</v>
      </c>
      <c r="AI179" t="str">
        <f>"66298792093046"</f>
        <v>66298792093046</v>
      </c>
      <c r="AJ179" t="str">
        <f>"13011-MN1-305JP"</f>
        <v>13011-MN1-305JP</v>
      </c>
      <c r="AK179" t="s">
        <v>46</v>
      </c>
      <c r="AL179" s="1">
        <v>44816.545370370368</v>
      </c>
      <c r="AM179" t="s">
        <v>44</v>
      </c>
    </row>
    <row r="180" spans="1:39" x14ac:dyDescent="0.2">
      <c r="A180" t="s">
        <v>221</v>
      </c>
      <c r="B180" t="s">
        <v>40</v>
      </c>
      <c r="C180" t="s">
        <v>50</v>
      </c>
      <c r="D180" t="s">
        <v>42</v>
      </c>
      <c r="E180" t="s">
        <v>43</v>
      </c>
      <c r="F180" t="s">
        <v>44</v>
      </c>
      <c r="G180" t="s">
        <v>45</v>
      </c>
      <c r="AH180" t="s">
        <v>42</v>
      </c>
      <c r="AI180" t="str">
        <f>"R045"</f>
        <v>R045</v>
      </c>
      <c r="AJ180" t="str">
        <f>"R045"</f>
        <v>R045</v>
      </c>
      <c r="AK180" t="s">
        <v>46</v>
      </c>
      <c r="AL180" s="1">
        <v>44816.545381944445</v>
      </c>
      <c r="AM180" t="s">
        <v>44</v>
      </c>
    </row>
    <row r="181" spans="1:39" x14ac:dyDescent="0.2">
      <c r="A181" t="s">
        <v>222</v>
      </c>
      <c r="B181" t="s">
        <v>40</v>
      </c>
      <c r="C181" t="s">
        <v>50</v>
      </c>
      <c r="D181" t="s">
        <v>42</v>
      </c>
      <c r="E181" t="s">
        <v>43</v>
      </c>
      <c r="F181" t="s">
        <v>44</v>
      </c>
      <c r="G181" t="s">
        <v>45</v>
      </c>
      <c r="AH181" t="s">
        <v>42</v>
      </c>
      <c r="AI181" t="str">
        <f>"R045-A"</f>
        <v>R045-A</v>
      </c>
      <c r="AJ181" t="str">
        <f>"R045-A"</f>
        <v>R045-A</v>
      </c>
      <c r="AK181" t="s">
        <v>46</v>
      </c>
      <c r="AL181" s="1">
        <v>45174.743009259262</v>
      </c>
      <c r="AM181" t="s">
        <v>44</v>
      </c>
    </row>
    <row r="182" spans="1:39" x14ac:dyDescent="0.2">
      <c r="A182" t="s">
        <v>223</v>
      </c>
      <c r="B182" t="s">
        <v>40</v>
      </c>
      <c r="C182" t="s">
        <v>50</v>
      </c>
      <c r="D182" t="s">
        <v>42</v>
      </c>
      <c r="E182" t="s">
        <v>43</v>
      </c>
      <c r="F182" t="s">
        <v>44</v>
      </c>
      <c r="G182" t="s">
        <v>45</v>
      </c>
      <c r="AH182" t="s">
        <v>42</v>
      </c>
      <c r="AI182" t="str">
        <f>"2319"</f>
        <v>2319</v>
      </c>
      <c r="AJ182" t="str">
        <f>"2319"</f>
        <v>2319</v>
      </c>
      <c r="AK182" t="s">
        <v>46</v>
      </c>
      <c r="AL182" s="1">
        <v>44995.594444444447</v>
      </c>
      <c r="AM182" t="s">
        <v>44</v>
      </c>
    </row>
    <row r="183" spans="1:39" x14ac:dyDescent="0.2">
      <c r="A183" t="s">
        <v>224</v>
      </c>
      <c r="B183" t="s">
        <v>40</v>
      </c>
      <c r="C183" t="s">
        <v>50</v>
      </c>
      <c r="D183" t="s">
        <v>42</v>
      </c>
      <c r="E183" t="s">
        <v>43</v>
      </c>
      <c r="F183" t="s">
        <v>44</v>
      </c>
      <c r="G183" t="s">
        <v>45</v>
      </c>
      <c r="AH183" t="s">
        <v>42</v>
      </c>
      <c r="AI183" t="str">
        <f>"WF034"</f>
        <v>WF034</v>
      </c>
      <c r="AJ183" t="str">
        <f>"WF034"</f>
        <v>WF034</v>
      </c>
      <c r="AK183" t="s">
        <v>46</v>
      </c>
      <c r="AL183" s="1">
        <v>45086.705289351848</v>
      </c>
      <c r="AM183" t="s">
        <v>44</v>
      </c>
    </row>
    <row r="184" spans="1:39" x14ac:dyDescent="0.2">
      <c r="A184" t="s">
        <v>224</v>
      </c>
      <c r="B184" t="s">
        <v>40</v>
      </c>
      <c r="C184" t="s">
        <v>50</v>
      </c>
      <c r="D184" t="s">
        <v>42</v>
      </c>
      <c r="E184" t="s">
        <v>43</v>
      </c>
      <c r="F184" t="s">
        <v>44</v>
      </c>
      <c r="G184" t="s">
        <v>45</v>
      </c>
      <c r="AH184" t="s">
        <v>42</v>
      </c>
      <c r="AI184" t="str">
        <f>"WF038"</f>
        <v>WF038</v>
      </c>
      <c r="AJ184" t="str">
        <f>"WF038"</f>
        <v>WF038</v>
      </c>
      <c r="AK184" t="s">
        <v>46</v>
      </c>
      <c r="AL184" s="1">
        <v>45086.706145833334</v>
      </c>
      <c r="AM184" t="s">
        <v>44</v>
      </c>
    </row>
    <row r="185" spans="1:39" x14ac:dyDescent="0.2">
      <c r="A185" t="s">
        <v>225</v>
      </c>
      <c r="B185" t="s">
        <v>40</v>
      </c>
      <c r="C185" t="s">
        <v>226</v>
      </c>
      <c r="D185" t="s">
        <v>42</v>
      </c>
      <c r="E185" t="s">
        <v>43</v>
      </c>
      <c r="F185" t="s">
        <v>44</v>
      </c>
      <c r="G185" t="s">
        <v>45</v>
      </c>
      <c r="AH185" t="s">
        <v>42</v>
      </c>
      <c r="AI185" t="str">
        <f>"BK010"</f>
        <v>BK010</v>
      </c>
      <c r="AJ185" t="str">
        <f>"BK010"</f>
        <v>BK010</v>
      </c>
      <c r="AK185" t="s">
        <v>46</v>
      </c>
      <c r="AL185" s="1">
        <v>45033.931770833333</v>
      </c>
      <c r="AM185" t="s">
        <v>44</v>
      </c>
    </row>
    <row r="186" spans="1:39" x14ac:dyDescent="0.2">
      <c r="A186" t="s">
        <v>227</v>
      </c>
      <c r="B186" t="s">
        <v>40</v>
      </c>
      <c r="C186" t="s">
        <v>226</v>
      </c>
      <c r="D186" t="s">
        <v>42</v>
      </c>
      <c r="E186" t="s">
        <v>43</v>
      </c>
      <c r="F186" t="s">
        <v>44</v>
      </c>
      <c r="G186" t="s">
        <v>45</v>
      </c>
      <c r="AH186" t="s">
        <v>42</v>
      </c>
      <c r="AI186" t="str">
        <f>"BK082"</f>
        <v>BK082</v>
      </c>
      <c r="AJ186" t="str">
        <f>"BK082"</f>
        <v>BK082</v>
      </c>
      <c r="AK186" t="s">
        <v>46</v>
      </c>
      <c r="AL186" s="1">
        <v>45111.912499999999</v>
      </c>
      <c r="AM186" t="s">
        <v>44</v>
      </c>
    </row>
    <row r="187" spans="1:39" x14ac:dyDescent="0.2">
      <c r="A187" t="s">
        <v>228</v>
      </c>
      <c r="B187" t="s">
        <v>40</v>
      </c>
      <c r="C187" t="s">
        <v>229</v>
      </c>
      <c r="D187" t="s">
        <v>42</v>
      </c>
      <c r="E187" t="s">
        <v>43</v>
      </c>
      <c r="F187" t="s">
        <v>44</v>
      </c>
      <c r="G187" t="s">
        <v>45</v>
      </c>
      <c r="AH187" t="s">
        <v>42</v>
      </c>
      <c r="AI187" t="str">
        <f>"66298792174431"</f>
        <v>66298792174431</v>
      </c>
      <c r="AJ187" t="str">
        <f>"82044"</f>
        <v>82044</v>
      </c>
      <c r="AK187" t="s">
        <v>46</v>
      </c>
      <c r="AL187" s="1">
        <v>44816.545381944445</v>
      </c>
      <c r="AM187" t="s">
        <v>44</v>
      </c>
    </row>
    <row r="188" spans="1:39" x14ac:dyDescent="0.2">
      <c r="A188" t="s">
        <v>230</v>
      </c>
      <c r="B188" t="s">
        <v>40</v>
      </c>
      <c r="C188" t="s">
        <v>229</v>
      </c>
      <c r="D188" t="s">
        <v>42</v>
      </c>
      <c r="E188" t="s">
        <v>43</v>
      </c>
      <c r="F188" t="s">
        <v>44</v>
      </c>
      <c r="G188" t="s">
        <v>45</v>
      </c>
      <c r="AH188" t="s">
        <v>42</v>
      </c>
      <c r="AI188" t="str">
        <f>"66298792218736"</f>
        <v>66298792218736</v>
      </c>
      <c r="AJ188" t="str">
        <f>"82045"</f>
        <v>82045</v>
      </c>
      <c r="AK188" t="s">
        <v>46</v>
      </c>
      <c r="AL188" s="1">
        <v>44816.545393518521</v>
      </c>
      <c r="AM188" t="s">
        <v>44</v>
      </c>
    </row>
    <row r="189" spans="1:39" x14ac:dyDescent="0.2">
      <c r="A189" t="s">
        <v>231</v>
      </c>
      <c r="B189" t="s">
        <v>40</v>
      </c>
      <c r="C189" t="s">
        <v>229</v>
      </c>
      <c r="D189" t="s">
        <v>42</v>
      </c>
      <c r="E189" t="s">
        <v>43</v>
      </c>
      <c r="F189" t="s">
        <v>44</v>
      </c>
      <c r="G189" t="s">
        <v>45</v>
      </c>
      <c r="AH189" t="s">
        <v>42</v>
      </c>
      <c r="AI189" t="str">
        <f>"66298792261874"</f>
        <v>66298792261874</v>
      </c>
      <c r="AJ189" t="str">
        <f>"82040"</f>
        <v>82040</v>
      </c>
      <c r="AK189" t="s">
        <v>46</v>
      </c>
      <c r="AL189" s="1">
        <v>44816.545393518521</v>
      </c>
      <c r="AM189" t="s">
        <v>44</v>
      </c>
    </row>
    <row r="190" spans="1:39" x14ac:dyDescent="0.2">
      <c r="A190" t="s">
        <v>232</v>
      </c>
      <c r="B190" t="s">
        <v>40</v>
      </c>
      <c r="C190" t="s">
        <v>229</v>
      </c>
      <c r="D190" t="s">
        <v>42</v>
      </c>
      <c r="E190" t="s">
        <v>43</v>
      </c>
      <c r="F190" t="s">
        <v>44</v>
      </c>
      <c r="G190" t="s">
        <v>45</v>
      </c>
      <c r="AH190" t="s">
        <v>42</v>
      </c>
      <c r="AI190" t="str">
        <f>"66298792302619"</f>
        <v>66298792302619</v>
      </c>
      <c r="AJ190" t="str">
        <f>"82041"</f>
        <v>82041</v>
      </c>
      <c r="AK190" t="s">
        <v>46</v>
      </c>
      <c r="AL190" s="1">
        <v>44816.545405092591</v>
      </c>
      <c r="AM190" t="s">
        <v>44</v>
      </c>
    </row>
    <row r="191" spans="1:39" x14ac:dyDescent="0.2">
      <c r="A191" t="s">
        <v>233</v>
      </c>
      <c r="B191" t="s">
        <v>40</v>
      </c>
      <c r="C191" t="s">
        <v>229</v>
      </c>
      <c r="D191" t="s">
        <v>42</v>
      </c>
      <c r="E191" t="s">
        <v>43</v>
      </c>
      <c r="F191" t="s">
        <v>44</v>
      </c>
      <c r="G191" t="s">
        <v>45</v>
      </c>
      <c r="AH191" t="s">
        <v>42</v>
      </c>
      <c r="AI191" t="str">
        <f>"66298792343614"</f>
        <v>66298792343614</v>
      </c>
      <c r="AJ191" t="str">
        <f>"82042"</f>
        <v>82042</v>
      </c>
      <c r="AK191" t="s">
        <v>46</v>
      </c>
      <c r="AL191" s="1">
        <v>44816.545405092591</v>
      </c>
      <c r="AM191" t="s">
        <v>44</v>
      </c>
    </row>
    <row r="192" spans="1:39" x14ac:dyDescent="0.2">
      <c r="A192" t="s">
        <v>234</v>
      </c>
      <c r="B192" t="s">
        <v>40</v>
      </c>
      <c r="C192" t="s">
        <v>41</v>
      </c>
      <c r="D192" t="s">
        <v>42</v>
      </c>
      <c r="E192" t="s">
        <v>43</v>
      </c>
      <c r="F192" t="s">
        <v>235</v>
      </c>
      <c r="G192" t="s">
        <v>45</v>
      </c>
      <c r="AH192" t="s">
        <v>42</v>
      </c>
      <c r="AI192" t="str">
        <f>"66298786900538"</f>
        <v>66298786900538</v>
      </c>
      <c r="AJ192" t="str">
        <f>"30-91901"</f>
        <v>30-91901</v>
      </c>
      <c r="AK192" t="s">
        <v>46</v>
      </c>
      <c r="AL192" s="1">
        <v>44816.54478009259</v>
      </c>
      <c r="AM192" t="s">
        <v>235</v>
      </c>
    </row>
    <row r="193" spans="1:39" x14ac:dyDescent="0.2">
      <c r="A193" t="s">
        <v>236</v>
      </c>
      <c r="B193" t="s">
        <v>40</v>
      </c>
      <c r="C193" t="s">
        <v>41</v>
      </c>
      <c r="D193" t="s">
        <v>42</v>
      </c>
      <c r="E193" t="s">
        <v>43</v>
      </c>
      <c r="F193" t="s">
        <v>235</v>
      </c>
      <c r="G193" t="s">
        <v>45</v>
      </c>
      <c r="AH193" t="s">
        <v>42</v>
      </c>
      <c r="AI193" t="str">
        <f>"66298786946070"</f>
        <v>66298786946070</v>
      </c>
      <c r="AJ193" t="str">
        <f>"34-96901"</f>
        <v>34-96901</v>
      </c>
      <c r="AK193" t="s">
        <v>46</v>
      </c>
      <c r="AL193" s="1">
        <v>44816.54478009259</v>
      </c>
      <c r="AM193" t="s">
        <v>235</v>
      </c>
    </row>
    <row r="194" spans="1:39" x14ac:dyDescent="0.2">
      <c r="A194" t="s">
        <v>237</v>
      </c>
      <c r="B194" t="s">
        <v>40</v>
      </c>
      <c r="C194" t="s">
        <v>41</v>
      </c>
      <c r="D194" t="s">
        <v>42</v>
      </c>
      <c r="E194" t="s">
        <v>43</v>
      </c>
      <c r="F194" t="s">
        <v>235</v>
      </c>
      <c r="G194" t="s">
        <v>45</v>
      </c>
      <c r="AH194" t="s">
        <v>42</v>
      </c>
      <c r="AI194" t="str">
        <f>"66298786987466"</f>
        <v>66298786987466</v>
      </c>
      <c r="AJ194" t="str">
        <f>"35901"</f>
        <v>35901</v>
      </c>
      <c r="AK194" t="s">
        <v>46</v>
      </c>
      <c r="AL194" s="1">
        <v>44816.54478009259</v>
      </c>
      <c r="AM194" t="s">
        <v>235</v>
      </c>
    </row>
    <row r="195" spans="1:39" x14ac:dyDescent="0.2">
      <c r="A195" t="s">
        <v>237</v>
      </c>
      <c r="B195" t="s">
        <v>40</v>
      </c>
      <c r="C195" t="s">
        <v>41</v>
      </c>
      <c r="D195" t="s">
        <v>42</v>
      </c>
      <c r="E195" t="s">
        <v>43</v>
      </c>
      <c r="F195" t="s">
        <v>235</v>
      </c>
      <c r="G195" t="s">
        <v>45</v>
      </c>
      <c r="AH195" t="s">
        <v>42</v>
      </c>
      <c r="AI195" t="str">
        <f>"66298786994860"</f>
        <v>66298786994860</v>
      </c>
      <c r="AJ195" t="str">
        <f>"30-92901"</f>
        <v>30-92901</v>
      </c>
      <c r="AK195" t="s">
        <v>46</v>
      </c>
      <c r="AL195" s="1">
        <v>44816.54478009259</v>
      </c>
      <c r="AM195" t="s">
        <v>235</v>
      </c>
    </row>
    <row r="196" spans="1:39" x14ac:dyDescent="0.2">
      <c r="A196" t="s">
        <v>238</v>
      </c>
      <c r="B196" t="s">
        <v>40</v>
      </c>
      <c r="C196" t="s">
        <v>239</v>
      </c>
      <c r="D196" t="s">
        <v>42</v>
      </c>
      <c r="E196" t="s">
        <v>43</v>
      </c>
      <c r="F196" t="s">
        <v>44</v>
      </c>
      <c r="G196" t="s">
        <v>45</v>
      </c>
      <c r="AH196" t="s">
        <v>42</v>
      </c>
      <c r="AI196" t="str">
        <f>"66298792387580"</f>
        <v>66298792387580</v>
      </c>
      <c r="AJ196" t="str">
        <f>"PP-30105-022JP"</f>
        <v>PP-30105-022JP</v>
      </c>
      <c r="AK196" t="s">
        <v>46</v>
      </c>
      <c r="AL196" s="1">
        <v>44816.545405092591</v>
      </c>
      <c r="AM196" t="s">
        <v>44</v>
      </c>
    </row>
    <row r="197" spans="1:39" x14ac:dyDescent="0.2">
      <c r="A197" t="s">
        <v>240</v>
      </c>
      <c r="B197" t="s">
        <v>40</v>
      </c>
      <c r="C197" t="s">
        <v>239</v>
      </c>
      <c r="D197" t="s">
        <v>42</v>
      </c>
      <c r="E197" t="s">
        <v>43</v>
      </c>
      <c r="F197" t="s">
        <v>44</v>
      </c>
      <c r="G197" t="s">
        <v>45</v>
      </c>
      <c r="AH197" t="s">
        <v>42</v>
      </c>
      <c r="AI197" t="str">
        <f>"66298792429596"</f>
        <v>66298792429596</v>
      </c>
      <c r="AJ197" t="str">
        <f>"14431-397-310"</f>
        <v>14431-397-310</v>
      </c>
      <c r="AK197" t="s">
        <v>46</v>
      </c>
      <c r="AL197" s="1">
        <v>44816.545416666668</v>
      </c>
      <c r="AM197" t="s">
        <v>44</v>
      </c>
    </row>
    <row r="198" spans="1:39" x14ac:dyDescent="0.2">
      <c r="A198" t="s">
        <v>241</v>
      </c>
      <c r="B198" t="s">
        <v>40</v>
      </c>
      <c r="C198" t="s">
        <v>239</v>
      </c>
      <c r="D198" t="s">
        <v>42</v>
      </c>
      <c r="E198" t="s">
        <v>43</v>
      </c>
      <c r="F198" t="s">
        <v>44</v>
      </c>
      <c r="G198" t="s">
        <v>45</v>
      </c>
      <c r="AH198" t="s">
        <v>42</v>
      </c>
      <c r="AI198" t="str">
        <f>"66298792464425"</f>
        <v>66298792464425</v>
      </c>
      <c r="AJ198" t="str">
        <f>"12850-25C00JP"</f>
        <v>12850-25C00JP</v>
      </c>
      <c r="AK198" t="s">
        <v>46</v>
      </c>
      <c r="AL198" s="1">
        <v>44816.545416666668</v>
      </c>
      <c r="AM198" t="s">
        <v>44</v>
      </c>
    </row>
    <row r="199" spans="1:39" x14ac:dyDescent="0.2">
      <c r="A199" t="s">
        <v>242</v>
      </c>
      <c r="B199" t="s">
        <v>40</v>
      </c>
      <c r="C199" t="s">
        <v>239</v>
      </c>
      <c r="D199" t="s">
        <v>42</v>
      </c>
      <c r="E199" t="s">
        <v>43</v>
      </c>
      <c r="F199" t="s">
        <v>44</v>
      </c>
      <c r="G199" t="s">
        <v>45</v>
      </c>
      <c r="AH199" t="s">
        <v>42</v>
      </c>
      <c r="AI199" t="str">
        <f>"66298792505817"</f>
        <v>66298792505817</v>
      </c>
      <c r="AJ199" t="str">
        <f>"12840-20G20JP"</f>
        <v>12840-20G20JP</v>
      </c>
      <c r="AK199" t="s">
        <v>46</v>
      </c>
      <c r="AL199" s="1">
        <v>44816.545428240737</v>
      </c>
      <c r="AM199" t="s">
        <v>44</v>
      </c>
    </row>
    <row r="200" spans="1:39" x14ac:dyDescent="0.2">
      <c r="A200" t="s">
        <v>243</v>
      </c>
      <c r="B200" t="s">
        <v>40</v>
      </c>
      <c r="C200" t="s">
        <v>239</v>
      </c>
      <c r="D200" t="s">
        <v>42</v>
      </c>
      <c r="E200" t="s">
        <v>43</v>
      </c>
      <c r="F200" t="s">
        <v>44</v>
      </c>
      <c r="G200" t="s">
        <v>45</v>
      </c>
      <c r="AH200" t="s">
        <v>42</v>
      </c>
      <c r="AI200" t="str">
        <f>"66298792550046"</f>
        <v>66298792550046</v>
      </c>
      <c r="AJ200" t="str">
        <f>"21C-E2151-00JP"</f>
        <v>21C-E2151-00JP</v>
      </c>
      <c r="AK200" t="s">
        <v>46</v>
      </c>
      <c r="AL200" s="1">
        <v>44816.545428240737</v>
      </c>
      <c r="AM200" t="s">
        <v>44</v>
      </c>
    </row>
    <row r="201" spans="1:39" x14ac:dyDescent="0.2">
      <c r="A201" t="s">
        <v>244</v>
      </c>
      <c r="B201" t="s">
        <v>40</v>
      </c>
      <c r="C201" t="s">
        <v>239</v>
      </c>
      <c r="D201" t="s">
        <v>42</v>
      </c>
      <c r="E201" t="s">
        <v>43</v>
      </c>
      <c r="F201" t="s">
        <v>44</v>
      </c>
      <c r="G201" t="s">
        <v>45</v>
      </c>
      <c r="AH201" t="s">
        <v>42</v>
      </c>
      <c r="AI201" t="str">
        <f>"66298792588913"</f>
        <v>66298792588913</v>
      </c>
      <c r="AJ201" t="str">
        <f>"JD-5112-07"</f>
        <v>JD-5112-07</v>
      </c>
      <c r="AK201" t="s">
        <v>46</v>
      </c>
      <c r="AL201" s="1">
        <v>44816.545428240737</v>
      </c>
      <c r="AM201" t="s">
        <v>44</v>
      </c>
    </row>
    <row r="202" spans="1:39" x14ac:dyDescent="0.2">
      <c r="A202" t="s">
        <v>245</v>
      </c>
      <c r="B202" t="s">
        <v>40</v>
      </c>
      <c r="C202" t="s">
        <v>239</v>
      </c>
      <c r="D202" t="s">
        <v>42</v>
      </c>
      <c r="E202" t="s">
        <v>43</v>
      </c>
      <c r="F202" t="s">
        <v>44</v>
      </c>
      <c r="G202" t="s">
        <v>45</v>
      </c>
      <c r="AH202" t="s">
        <v>42</v>
      </c>
      <c r="AI202" t="str">
        <f>"66298792626092"</f>
        <v>66298792626092</v>
      </c>
      <c r="AJ202" t="str">
        <f>"DS-1013-33"</f>
        <v>DS-1013-33</v>
      </c>
      <c r="AK202" t="s">
        <v>46</v>
      </c>
      <c r="AL202" s="1">
        <v>44816.545439814814</v>
      </c>
      <c r="AM202" t="s">
        <v>44</v>
      </c>
    </row>
    <row r="203" spans="1:39" x14ac:dyDescent="0.2">
      <c r="A203" t="s">
        <v>246</v>
      </c>
      <c r="B203" t="s">
        <v>40</v>
      </c>
      <c r="C203" t="s">
        <v>239</v>
      </c>
      <c r="D203" t="s">
        <v>42</v>
      </c>
      <c r="E203" t="s">
        <v>43</v>
      </c>
      <c r="F203" t="s">
        <v>44</v>
      </c>
      <c r="G203" t="s">
        <v>45</v>
      </c>
      <c r="AH203" t="s">
        <v>42</v>
      </c>
      <c r="AI203" t="str">
        <f>"66298792663953"</f>
        <v>66298792663953</v>
      </c>
      <c r="AJ203" t="str">
        <f>"14431-KVC-900JP"</f>
        <v>14431-KVC-900JP</v>
      </c>
      <c r="AK203" t="s">
        <v>46</v>
      </c>
      <c r="AL203" s="1">
        <v>44816.545439814814</v>
      </c>
      <c r="AM203" t="s">
        <v>44</v>
      </c>
    </row>
    <row r="204" spans="1:39" x14ac:dyDescent="0.2">
      <c r="A204" t="s">
        <v>247</v>
      </c>
      <c r="B204" t="s">
        <v>40</v>
      </c>
      <c r="C204" t="s">
        <v>239</v>
      </c>
      <c r="D204" t="s">
        <v>42</v>
      </c>
      <c r="E204" t="s">
        <v>43</v>
      </c>
      <c r="F204" t="s">
        <v>44</v>
      </c>
      <c r="G204" t="s">
        <v>45</v>
      </c>
      <c r="AH204" t="s">
        <v>42</v>
      </c>
      <c r="AI204" t="str">
        <f>"66298792707258"</f>
        <v>66298792707258</v>
      </c>
      <c r="AJ204" t="str">
        <f>"5D9-E2151-00JP"</f>
        <v>5D9-E2151-00JP</v>
      </c>
      <c r="AK204" t="s">
        <v>46</v>
      </c>
      <c r="AL204" s="1">
        <v>44816.545451388891</v>
      </c>
      <c r="AM204" t="s">
        <v>44</v>
      </c>
    </row>
    <row r="205" spans="1:39" x14ac:dyDescent="0.2">
      <c r="A205" t="s">
        <v>248</v>
      </c>
      <c r="B205" t="s">
        <v>40</v>
      </c>
      <c r="C205" t="s">
        <v>239</v>
      </c>
      <c r="D205" t="s">
        <v>42</v>
      </c>
      <c r="E205" t="s">
        <v>43</v>
      </c>
      <c r="F205" t="s">
        <v>44</v>
      </c>
      <c r="G205" t="s">
        <v>45</v>
      </c>
      <c r="AH205" t="s">
        <v>42</v>
      </c>
      <c r="AI205" t="str">
        <f>"66298792748292"</f>
        <v>66298792748292</v>
      </c>
      <c r="AJ205" t="str">
        <f>"14431-383-000JP"</f>
        <v>14431-383-000JP</v>
      </c>
      <c r="AK205" t="s">
        <v>46</v>
      </c>
      <c r="AL205" s="1">
        <v>44816.545451388891</v>
      </c>
      <c r="AM205" t="s">
        <v>44</v>
      </c>
    </row>
    <row r="206" spans="1:39" x14ac:dyDescent="0.2">
      <c r="A206" t="s">
        <v>249</v>
      </c>
      <c r="B206" t="s">
        <v>40</v>
      </c>
      <c r="C206" t="s">
        <v>239</v>
      </c>
      <c r="D206" t="s">
        <v>42</v>
      </c>
      <c r="E206" t="s">
        <v>43</v>
      </c>
      <c r="F206" t="s">
        <v>44</v>
      </c>
      <c r="G206" t="s">
        <v>45</v>
      </c>
      <c r="AH206" t="s">
        <v>42</v>
      </c>
      <c r="AI206" t="str">
        <f>"66298792784535"</f>
        <v>66298792784535</v>
      </c>
      <c r="AJ206" t="str">
        <f>"29U-12151-00JP"</f>
        <v>29U-12151-00JP</v>
      </c>
      <c r="AK206" t="s">
        <v>46</v>
      </c>
      <c r="AL206" s="1">
        <v>44816.545451388891</v>
      </c>
      <c r="AM206" t="s">
        <v>44</v>
      </c>
    </row>
    <row r="207" spans="1:39" x14ac:dyDescent="0.2">
      <c r="A207" t="s">
        <v>250</v>
      </c>
      <c r="B207" t="s">
        <v>40</v>
      </c>
      <c r="C207" t="s">
        <v>239</v>
      </c>
      <c r="D207" t="s">
        <v>42</v>
      </c>
      <c r="E207" t="s">
        <v>43</v>
      </c>
      <c r="F207" t="s">
        <v>44</v>
      </c>
      <c r="G207" t="s">
        <v>45</v>
      </c>
      <c r="AH207" t="s">
        <v>42</v>
      </c>
      <c r="AI207" t="str">
        <f>"66298792824285"</f>
        <v>66298792824285</v>
      </c>
      <c r="AJ207" t="str">
        <f>"5YY-E2151-00JP"</f>
        <v>5YY-E2151-00JP</v>
      </c>
      <c r="AK207" t="s">
        <v>46</v>
      </c>
      <c r="AL207" s="1">
        <v>44816.54546296296</v>
      </c>
      <c r="AM207" t="s">
        <v>44</v>
      </c>
    </row>
    <row r="208" spans="1:39" x14ac:dyDescent="0.2">
      <c r="A208" t="s">
        <v>251</v>
      </c>
      <c r="B208" t="s">
        <v>40</v>
      </c>
      <c r="C208" t="s">
        <v>239</v>
      </c>
      <c r="D208" t="s">
        <v>42</v>
      </c>
      <c r="E208" t="s">
        <v>43</v>
      </c>
      <c r="F208" t="s">
        <v>44</v>
      </c>
      <c r="G208" t="s">
        <v>45</v>
      </c>
      <c r="AH208" t="s">
        <v>42</v>
      </c>
      <c r="AI208" t="str">
        <f>"66298792866188"</f>
        <v>66298792866188</v>
      </c>
      <c r="AJ208" t="str">
        <f>"14441-KR0-000"</f>
        <v>14441-KR0-000</v>
      </c>
      <c r="AK208" t="s">
        <v>46</v>
      </c>
      <c r="AL208" s="1">
        <v>44816.54546296296</v>
      </c>
      <c r="AM208" t="s">
        <v>44</v>
      </c>
    </row>
    <row r="209" spans="1:39" x14ac:dyDescent="0.2">
      <c r="A209" t="s">
        <v>252</v>
      </c>
      <c r="B209" t="s">
        <v>40</v>
      </c>
      <c r="C209" t="s">
        <v>239</v>
      </c>
      <c r="D209" t="s">
        <v>42</v>
      </c>
      <c r="E209" t="s">
        <v>43</v>
      </c>
      <c r="F209" t="s">
        <v>44</v>
      </c>
      <c r="G209" t="s">
        <v>45</v>
      </c>
      <c r="AH209" t="s">
        <v>42</v>
      </c>
      <c r="AI209" t="str">
        <f>"66298792909139"</f>
        <v>66298792909139</v>
      </c>
      <c r="AJ209" t="str">
        <f>"400972"</f>
        <v>400972</v>
      </c>
      <c r="AK209" t="s">
        <v>46</v>
      </c>
      <c r="AL209" s="1">
        <v>44816.545474537037</v>
      </c>
      <c r="AM209" t="s">
        <v>44</v>
      </c>
    </row>
    <row r="210" spans="1:39" x14ac:dyDescent="0.2">
      <c r="A210" t="s">
        <v>253</v>
      </c>
      <c r="B210" t="s">
        <v>40</v>
      </c>
      <c r="C210" t="s">
        <v>239</v>
      </c>
      <c r="D210" t="s">
        <v>42</v>
      </c>
      <c r="E210" t="s">
        <v>43</v>
      </c>
      <c r="F210" t="s">
        <v>44</v>
      </c>
      <c r="G210" t="s">
        <v>45</v>
      </c>
      <c r="AH210" t="s">
        <v>42</v>
      </c>
      <c r="AI210" t="str">
        <f>"66298792946951"</f>
        <v>66298792946951</v>
      </c>
      <c r="AJ210" t="str">
        <f>"EVO-30105-022JP"</f>
        <v>EVO-30105-022JP</v>
      </c>
      <c r="AK210" t="s">
        <v>46</v>
      </c>
      <c r="AL210" s="1">
        <v>44816.545474537037</v>
      </c>
      <c r="AM210" t="s">
        <v>44</v>
      </c>
    </row>
    <row r="211" spans="1:39" x14ac:dyDescent="0.2">
      <c r="A211" t="s">
        <v>253</v>
      </c>
      <c r="B211" t="s">
        <v>40</v>
      </c>
      <c r="C211" t="s">
        <v>239</v>
      </c>
      <c r="D211" t="s">
        <v>42</v>
      </c>
      <c r="E211" t="s">
        <v>43</v>
      </c>
      <c r="F211" t="s">
        <v>44</v>
      </c>
      <c r="G211" t="s">
        <v>45</v>
      </c>
      <c r="AH211" t="s">
        <v>42</v>
      </c>
      <c r="AI211" t="str">
        <f>"DE029"</f>
        <v>DE029</v>
      </c>
      <c r="AJ211" t="str">
        <f>"DE029"</f>
        <v>DE029</v>
      </c>
      <c r="AK211" t="s">
        <v>46</v>
      </c>
      <c r="AL211" s="1">
        <v>44995.742766203701</v>
      </c>
      <c r="AM211" t="s">
        <v>44</v>
      </c>
    </row>
    <row r="212" spans="1:39" x14ac:dyDescent="0.2">
      <c r="A212" t="s">
        <v>254</v>
      </c>
      <c r="B212" t="s">
        <v>40</v>
      </c>
      <c r="C212" t="s">
        <v>239</v>
      </c>
      <c r="D212" t="s">
        <v>42</v>
      </c>
      <c r="E212" t="s">
        <v>43</v>
      </c>
      <c r="F212" t="s">
        <v>44</v>
      </c>
      <c r="G212" t="s">
        <v>45</v>
      </c>
      <c r="AH212" t="s">
        <v>42</v>
      </c>
      <c r="AI212" t="str">
        <f>"66298792984030"</f>
        <v>66298792984030</v>
      </c>
      <c r="AJ212" t="str">
        <f>"400973"</f>
        <v>400973</v>
      </c>
      <c r="AK212" t="s">
        <v>46</v>
      </c>
      <c r="AL212" s="1">
        <v>44816.545474537037</v>
      </c>
      <c r="AM212" t="s">
        <v>44</v>
      </c>
    </row>
    <row r="213" spans="1:39" x14ac:dyDescent="0.2">
      <c r="A213" t="s">
        <v>255</v>
      </c>
      <c r="B213" t="s">
        <v>40</v>
      </c>
      <c r="C213" t="s">
        <v>239</v>
      </c>
      <c r="D213" t="s">
        <v>42</v>
      </c>
      <c r="E213" t="s">
        <v>43</v>
      </c>
      <c r="F213" t="s">
        <v>44</v>
      </c>
      <c r="G213" t="s">
        <v>45</v>
      </c>
      <c r="AH213" t="s">
        <v>42</v>
      </c>
      <c r="AI213" t="str">
        <f>"66298793023787"</f>
        <v>66298793023787</v>
      </c>
      <c r="AJ213" t="str">
        <f>"12840-25C00JP"</f>
        <v>12840-25C00JP</v>
      </c>
      <c r="AK213" t="s">
        <v>46</v>
      </c>
      <c r="AL213" s="1">
        <v>44816.545486111114</v>
      </c>
      <c r="AM213" t="s">
        <v>44</v>
      </c>
    </row>
    <row r="214" spans="1:39" x14ac:dyDescent="0.2">
      <c r="A214" t="s">
        <v>256</v>
      </c>
      <c r="B214" t="s">
        <v>40</v>
      </c>
      <c r="C214" t="s">
        <v>239</v>
      </c>
      <c r="D214" t="s">
        <v>42</v>
      </c>
      <c r="E214" t="s">
        <v>43</v>
      </c>
      <c r="F214" t="s">
        <v>44</v>
      </c>
      <c r="G214" t="s">
        <v>45</v>
      </c>
      <c r="AH214" t="s">
        <v>42</v>
      </c>
      <c r="AI214" t="str">
        <f>"66298793065656"</f>
        <v>66298793065656</v>
      </c>
      <c r="AJ214" t="str">
        <f>"400958"</f>
        <v>400958</v>
      </c>
      <c r="AK214" t="s">
        <v>46</v>
      </c>
      <c r="AL214" s="1">
        <v>44816.545486111114</v>
      </c>
      <c r="AM214" t="s">
        <v>44</v>
      </c>
    </row>
    <row r="215" spans="1:39" x14ac:dyDescent="0.2">
      <c r="A215" t="s">
        <v>257</v>
      </c>
      <c r="B215" t="s">
        <v>40</v>
      </c>
      <c r="C215" t="s">
        <v>239</v>
      </c>
      <c r="D215" t="s">
        <v>42</v>
      </c>
      <c r="E215" t="s">
        <v>43</v>
      </c>
      <c r="F215" t="s">
        <v>44</v>
      </c>
      <c r="G215" t="s">
        <v>45</v>
      </c>
      <c r="AH215" t="s">
        <v>42</v>
      </c>
      <c r="AI215" t="str">
        <f>"66298793151609"</f>
        <v>66298793151609</v>
      </c>
      <c r="AJ215" t="str">
        <f>"400960"</f>
        <v>400960</v>
      </c>
      <c r="AK215" t="s">
        <v>46</v>
      </c>
      <c r="AL215" s="1">
        <v>44816.545497685183</v>
      </c>
      <c r="AM215" t="s">
        <v>44</v>
      </c>
    </row>
    <row r="216" spans="1:39" x14ac:dyDescent="0.2">
      <c r="A216" t="s">
        <v>258</v>
      </c>
      <c r="B216" t="s">
        <v>40</v>
      </c>
      <c r="C216" t="s">
        <v>239</v>
      </c>
      <c r="D216" t="s">
        <v>42</v>
      </c>
      <c r="E216" t="s">
        <v>43</v>
      </c>
      <c r="F216" t="s">
        <v>44</v>
      </c>
      <c r="G216" t="s">
        <v>45</v>
      </c>
      <c r="AH216" t="s">
        <v>42</v>
      </c>
      <c r="AI216" t="str">
        <f>"66298793106096"</f>
        <v>66298793106096</v>
      </c>
      <c r="AJ216" t="str">
        <f>"400961"</f>
        <v>400961</v>
      </c>
      <c r="AK216" t="s">
        <v>46</v>
      </c>
      <c r="AL216" s="1">
        <v>44816.545497685183</v>
      </c>
      <c r="AM216" t="s">
        <v>44</v>
      </c>
    </row>
    <row r="217" spans="1:39" x14ac:dyDescent="0.2">
      <c r="A217" t="s">
        <v>259</v>
      </c>
      <c r="B217" t="s">
        <v>40</v>
      </c>
      <c r="C217" t="s">
        <v>239</v>
      </c>
      <c r="D217" t="s">
        <v>42</v>
      </c>
      <c r="E217" t="s">
        <v>43</v>
      </c>
      <c r="F217" t="s">
        <v>44</v>
      </c>
      <c r="G217" t="s">
        <v>45</v>
      </c>
      <c r="AH217" t="s">
        <v>42</v>
      </c>
      <c r="AI217" t="str">
        <f>"66298793191112"</f>
        <v>66298793191112</v>
      </c>
      <c r="AJ217" t="str">
        <f>"400962"</f>
        <v>400962</v>
      </c>
      <c r="AK217" t="s">
        <v>46</v>
      </c>
      <c r="AL217" s="1">
        <v>44816.545497685183</v>
      </c>
      <c r="AM217" t="s">
        <v>44</v>
      </c>
    </row>
    <row r="218" spans="1:39" x14ac:dyDescent="0.2">
      <c r="A218" t="s">
        <v>260</v>
      </c>
      <c r="B218" t="s">
        <v>40</v>
      </c>
      <c r="C218" t="s">
        <v>239</v>
      </c>
      <c r="D218" t="s">
        <v>42</v>
      </c>
      <c r="E218" t="s">
        <v>43</v>
      </c>
      <c r="F218" t="s">
        <v>44</v>
      </c>
      <c r="G218" t="s">
        <v>45</v>
      </c>
      <c r="AH218" t="s">
        <v>42</v>
      </c>
      <c r="AI218" t="str">
        <f>"66298793235544"</f>
        <v>66298793235544</v>
      </c>
      <c r="AJ218" t="str">
        <f>"14431-035-020JP"</f>
        <v>14431-035-020JP</v>
      </c>
      <c r="AK218" t="s">
        <v>46</v>
      </c>
      <c r="AL218" s="1">
        <v>44816.54550925926</v>
      </c>
      <c r="AM218" t="s">
        <v>44</v>
      </c>
    </row>
    <row r="219" spans="1:39" x14ac:dyDescent="0.2">
      <c r="A219" t="s">
        <v>261</v>
      </c>
      <c r="B219" t="s">
        <v>40</v>
      </c>
      <c r="C219" t="s">
        <v>239</v>
      </c>
      <c r="D219" t="s">
        <v>42</v>
      </c>
      <c r="E219" t="s">
        <v>43</v>
      </c>
      <c r="F219" t="s">
        <v>44</v>
      </c>
      <c r="G219" t="s">
        <v>45</v>
      </c>
      <c r="AH219" t="s">
        <v>42</v>
      </c>
      <c r="AI219" t="str">
        <f>"66298793272731"</f>
        <v>66298793272731</v>
      </c>
      <c r="AJ219" t="str">
        <f>"401049"</f>
        <v>401049</v>
      </c>
      <c r="AK219" t="s">
        <v>46</v>
      </c>
      <c r="AL219" s="1">
        <v>44816.54550925926</v>
      </c>
      <c r="AM219" t="s">
        <v>44</v>
      </c>
    </row>
    <row r="220" spans="1:39" x14ac:dyDescent="0.2">
      <c r="A220" t="s">
        <v>262</v>
      </c>
      <c r="B220" t="s">
        <v>40</v>
      </c>
      <c r="C220" t="s">
        <v>239</v>
      </c>
      <c r="D220" t="s">
        <v>42</v>
      </c>
      <c r="E220" t="s">
        <v>43</v>
      </c>
      <c r="F220" t="s">
        <v>44</v>
      </c>
      <c r="G220" t="s">
        <v>45</v>
      </c>
      <c r="AH220" t="s">
        <v>42</v>
      </c>
      <c r="AI220" t="str">
        <f>"66298793312333"</f>
        <v>66298793312333</v>
      </c>
      <c r="AJ220" t="str">
        <f>"400964"</f>
        <v>400964</v>
      </c>
      <c r="AK220" t="s">
        <v>46</v>
      </c>
      <c r="AL220" s="1">
        <v>44816.545520833337</v>
      </c>
      <c r="AM220" t="s">
        <v>44</v>
      </c>
    </row>
    <row r="221" spans="1:39" x14ac:dyDescent="0.2">
      <c r="A221" t="s">
        <v>263</v>
      </c>
      <c r="B221" t="s">
        <v>40</v>
      </c>
      <c r="C221" t="s">
        <v>239</v>
      </c>
      <c r="D221" t="s">
        <v>42</v>
      </c>
      <c r="E221" t="s">
        <v>43</v>
      </c>
      <c r="F221" t="s">
        <v>44</v>
      </c>
      <c r="G221" t="s">
        <v>45</v>
      </c>
      <c r="AH221" t="s">
        <v>42</v>
      </c>
      <c r="AI221" t="str">
        <f>"66298793356420"</f>
        <v>66298793356420</v>
      </c>
      <c r="AJ221" t="str">
        <f>"400965"</f>
        <v>400965</v>
      </c>
      <c r="AK221" t="s">
        <v>46</v>
      </c>
      <c r="AL221" s="1">
        <v>44816.545520833337</v>
      </c>
      <c r="AM221" t="s">
        <v>44</v>
      </c>
    </row>
    <row r="222" spans="1:39" x14ac:dyDescent="0.2">
      <c r="A222" t="s">
        <v>264</v>
      </c>
      <c r="B222" t="s">
        <v>40</v>
      </c>
      <c r="C222" t="s">
        <v>239</v>
      </c>
      <c r="D222" t="s">
        <v>42</v>
      </c>
      <c r="E222" t="s">
        <v>43</v>
      </c>
      <c r="F222" t="s">
        <v>44</v>
      </c>
      <c r="G222" t="s">
        <v>45</v>
      </c>
      <c r="AH222" t="s">
        <v>42</v>
      </c>
      <c r="AI222" t="str">
        <f>"66298793395124"</f>
        <v>66298793395124</v>
      </c>
      <c r="AJ222" t="str">
        <f>"400970"</f>
        <v>400970</v>
      </c>
      <c r="AK222" t="s">
        <v>46</v>
      </c>
      <c r="AL222" s="1">
        <v>44816.545520833337</v>
      </c>
      <c r="AM222" t="s">
        <v>44</v>
      </c>
    </row>
    <row r="223" spans="1:39" x14ac:dyDescent="0.2">
      <c r="A223" t="s">
        <v>265</v>
      </c>
      <c r="B223" t="s">
        <v>40</v>
      </c>
      <c r="C223" t="s">
        <v>239</v>
      </c>
      <c r="D223" t="s">
        <v>42</v>
      </c>
      <c r="E223" t="s">
        <v>43</v>
      </c>
      <c r="F223" t="s">
        <v>44</v>
      </c>
      <c r="G223" t="s">
        <v>45</v>
      </c>
      <c r="AH223" t="s">
        <v>42</v>
      </c>
      <c r="AI223" t="str">
        <f>"66298793432571"</f>
        <v>66298793432571</v>
      </c>
      <c r="AJ223" t="str">
        <f>"400101"</f>
        <v>400101</v>
      </c>
      <c r="AK223" t="s">
        <v>46</v>
      </c>
      <c r="AL223" s="1">
        <v>44816.545532407406</v>
      </c>
      <c r="AM223" t="s">
        <v>44</v>
      </c>
    </row>
    <row r="224" spans="1:39" x14ac:dyDescent="0.2">
      <c r="A224" t="s">
        <v>266</v>
      </c>
      <c r="B224" t="s">
        <v>40</v>
      </c>
      <c r="C224" t="s">
        <v>239</v>
      </c>
      <c r="D224" t="s">
        <v>42</v>
      </c>
      <c r="E224" t="s">
        <v>43</v>
      </c>
      <c r="F224" t="s">
        <v>44</v>
      </c>
      <c r="G224" t="s">
        <v>45</v>
      </c>
      <c r="AH224" t="s">
        <v>42</v>
      </c>
      <c r="AI224" t="str">
        <f>"66298793477567"</f>
        <v>66298793477567</v>
      </c>
      <c r="AJ224" t="str">
        <f>"400963"</f>
        <v>400963</v>
      </c>
      <c r="AK224" t="s">
        <v>46</v>
      </c>
      <c r="AL224" s="1">
        <v>44816.545532407406</v>
      </c>
      <c r="AM224" t="s">
        <v>44</v>
      </c>
    </row>
    <row r="225" spans="1:39" x14ac:dyDescent="0.2">
      <c r="A225" t="s">
        <v>267</v>
      </c>
      <c r="B225" t="s">
        <v>40</v>
      </c>
      <c r="C225" t="s">
        <v>239</v>
      </c>
      <c r="D225" t="s">
        <v>42</v>
      </c>
      <c r="E225" t="s">
        <v>43</v>
      </c>
      <c r="F225" t="s">
        <v>44</v>
      </c>
      <c r="G225" t="s">
        <v>45</v>
      </c>
      <c r="AH225" t="s">
        <v>42</v>
      </c>
      <c r="AI225" t="str">
        <f>"66298793524551"</f>
        <v>66298793524551</v>
      </c>
      <c r="AJ225" t="str">
        <f>"400103"</f>
        <v>400103</v>
      </c>
      <c r="AK225" t="s">
        <v>46</v>
      </c>
      <c r="AL225" s="1">
        <v>44816.545543981483</v>
      </c>
      <c r="AM225" t="s">
        <v>44</v>
      </c>
    </row>
    <row r="226" spans="1:39" x14ac:dyDescent="0.2">
      <c r="A226" t="s">
        <v>268</v>
      </c>
      <c r="B226" t="s">
        <v>40</v>
      </c>
      <c r="C226" t="s">
        <v>239</v>
      </c>
      <c r="D226" t="s">
        <v>42</v>
      </c>
      <c r="E226" t="s">
        <v>43</v>
      </c>
      <c r="F226" t="s">
        <v>44</v>
      </c>
      <c r="G226" t="s">
        <v>45</v>
      </c>
      <c r="AH226" t="s">
        <v>42</v>
      </c>
      <c r="AI226" t="str">
        <f>"66298793568403"</f>
        <v>66298793568403</v>
      </c>
      <c r="AJ226" t="str">
        <f>"14431/41-397-310"</f>
        <v>14431/41-397-310</v>
      </c>
      <c r="AK226" t="s">
        <v>46</v>
      </c>
      <c r="AL226" s="1">
        <v>44816.545543981483</v>
      </c>
      <c r="AM226" t="s">
        <v>44</v>
      </c>
    </row>
    <row r="227" spans="1:39" x14ac:dyDescent="0.2">
      <c r="A227" t="s">
        <v>269</v>
      </c>
      <c r="B227" t="s">
        <v>40</v>
      </c>
      <c r="C227" t="s">
        <v>239</v>
      </c>
      <c r="D227" t="s">
        <v>42</v>
      </c>
      <c r="E227" t="s">
        <v>43</v>
      </c>
      <c r="F227" t="s">
        <v>44</v>
      </c>
      <c r="G227" t="s">
        <v>45</v>
      </c>
      <c r="AH227" t="s">
        <v>42</v>
      </c>
      <c r="AI227" t="str">
        <f>"66298793608940"</f>
        <v>66298793608940</v>
      </c>
      <c r="AJ227" t="str">
        <f>"400967"</f>
        <v>400967</v>
      </c>
      <c r="AK227" t="s">
        <v>46</v>
      </c>
      <c r="AL227" s="1">
        <v>44816.545555555553</v>
      </c>
      <c r="AM227" t="s">
        <v>44</v>
      </c>
    </row>
    <row r="228" spans="1:39" x14ac:dyDescent="0.2">
      <c r="A228" t="s">
        <v>270</v>
      </c>
      <c r="B228" t="s">
        <v>40</v>
      </c>
      <c r="C228" t="s">
        <v>239</v>
      </c>
      <c r="D228" t="s">
        <v>42</v>
      </c>
      <c r="E228" t="s">
        <v>43</v>
      </c>
      <c r="F228" t="s">
        <v>44</v>
      </c>
      <c r="G228" t="s">
        <v>45</v>
      </c>
      <c r="AH228" t="s">
        <v>42</v>
      </c>
      <c r="AI228" t="str">
        <f>"66298793649754"</f>
        <v>66298793649754</v>
      </c>
      <c r="AJ228" t="str">
        <f>"DE007"</f>
        <v>DE007</v>
      </c>
      <c r="AK228" t="s">
        <v>46</v>
      </c>
      <c r="AL228" s="1">
        <v>44816.545555555553</v>
      </c>
      <c r="AM228" t="s">
        <v>44</v>
      </c>
    </row>
    <row r="229" spans="1:39" x14ac:dyDescent="0.2">
      <c r="A229" t="s">
        <v>271</v>
      </c>
      <c r="B229" t="s">
        <v>40</v>
      </c>
      <c r="C229" t="s">
        <v>239</v>
      </c>
      <c r="D229" t="s">
        <v>42</v>
      </c>
      <c r="E229" t="s">
        <v>43</v>
      </c>
      <c r="F229" t="s">
        <v>44</v>
      </c>
      <c r="G229" t="s">
        <v>45</v>
      </c>
      <c r="AH229" t="s">
        <v>42</v>
      </c>
      <c r="AI229" t="str">
        <f>"66298793697634"</f>
        <v>66298793697634</v>
      </c>
      <c r="AJ229" t="str">
        <f>"400957"</f>
        <v>400957</v>
      </c>
      <c r="AK229" t="s">
        <v>46</v>
      </c>
      <c r="AL229" s="1">
        <v>44816.545555555553</v>
      </c>
      <c r="AM229" t="s">
        <v>44</v>
      </c>
    </row>
    <row r="230" spans="1:39" x14ac:dyDescent="0.2">
      <c r="A230" t="s">
        <v>272</v>
      </c>
      <c r="B230" t="s">
        <v>40</v>
      </c>
      <c r="C230" t="s">
        <v>239</v>
      </c>
      <c r="D230" t="s">
        <v>42</v>
      </c>
      <c r="E230" t="s">
        <v>43</v>
      </c>
      <c r="F230" t="s">
        <v>44</v>
      </c>
      <c r="G230" t="s">
        <v>45</v>
      </c>
      <c r="AH230" t="s">
        <v>42</v>
      </c>
      <c r="AI230" t="str">
        <f>"66298793740457"</f>
        <v>66298793740457</v>
      </c>
      <c r="AJ230" t="str">
        <f>"400968"</f>
        <v>400968</v>
      </c>
      <c r="AK230" t="s">
        <v>46</v>
      </c>
      <c r="AL230" s="1">
        <v>44816.545567129629</v>
      </c>
      <c r="AM230" t="s">
        <v>44</v>
      </c>
    </row>
    <row r="231" spans="1:39" x14ac:dyDescent="0.2">
      <c r="A231" t="s">
        <v>273</v>
      </c>
      <c r="B231" t="s">
        <v>40</v>
      </c>
      <c r="C231" t="s">
        <v>239</v>
      </c>
      <c r="D231" t="s">
        <v>42</v>
      </c>
      <c r="E231" t="s">
        <v>43</v>
      </c>
      <c r="F231" t="s">
        <v>44</v>
      </c>
      <c r="G231" t="s">
        <v>45</v>
      </c>
      <c r="AH231" t="s">
        <v>42</v>
      </c>
      <c r="AI231" t="str">
        <f>"66298793779864"</f>
        <v>66298793779864</v>
      </c>
      <c r="AJ231" t="str">
        <f>"401094"</f>
        <v>401094</v>
      </c>
      <c r="AK231" t="s">
        <v>46</v>
      </c>
      <c r="AL231" s="1">
        <v>44816.545567129629</v>
      </c>
      <c r="AM231" t="s">
        <v>44</v>
      </c>
    </row>
    <row r="232" spans="1:39" x14ac:dyDescent="0.2">
      <c r="A232" t="s">
        <v>274</v>
      </c>
      <c r="B232" t="s">
        <v>40</v>
      </c>
      <c r="C232" t="s">
        <v>239</v>
      </c>
      <c r="D232" t="s">
        <v>42</v>
      </c>
      <c r="E232" t="s">
        <v>43</v>
      </c>
      <c r="F232" t="s">
        <v>44</v>
      </c>
      <c r="G232" t="s">
        <v>45</v>
      </c>
      <c r="AH232" t="s">
        <v>42</v>
      </c>
      <c r="AI232" t="str">
        <f>"66298793824970"</f>
        <v>66298793824970</v>
      </c>
      <c r="AJ232" t="str">
        <f>"400969"</f>
        <v>400969</v>
      </c>
      <c r="AK232" t="s">
        <v>46</v>
      </c>
      <c r="AL232" s="1">
        <v>44816.545578703706</v>
      </c>
      <c r="AM232" t="s">
        <v>44</v>
      </c>
    </row>
    <row r="233" spans="1:39" x14ac:dyDescent="0.2">
      <c r="A233" t="s">
        <v>275</v>
      </c>
      <c r="B233" t="s">
        <v>40</v>
      </c>
      <c r="C233" t="s">
        <v>239</v>
      </c>
      <c r="D233" t="s">
        <v>42</v>
      </c>
      <c r="E233" t="s">
        <v>43</v>
      </c>
      <c r="F233" t="s">
        <v>44</v>
      </c>
      <c r="G233" t="s">
        <v>45</v>
      </c>
      <c r="AH233" t="s">
        <v>42</v>
      </c>
      <c r="AI233" t="str">
        <f>"66298793864335"</f>
        <v>66298793864335</v>
      </c>
      <c r="AJ233" t="str">
        <f>"1P3-E2151/61-00"</f>
        <v>1P3-E2151/61-00</v>
      </c>
      <c r="AK233" t="s">
        <v>46</v>
      </c>
      <c r="AL233" s="1">
        <v>44816.545578703706</v>
      </c>
      <c r="AM233" t="s">
        <v>44</v>
      </c>
    </row>
    <row r="234" spans="1:39" x14ac:dyDescent="0.2">
      <c r="A234" t="s">
        <v>276</v>
      </c>
      <c r="B234" t="s">
        <v>40</v>
      </c>
      <c r="C234" t="s">
        <v>50</v>
      </c>
      <c r="D234" t="s">
        <v>42</v>
      </c>
      <c r="E234" t="s">
        <v>43</v>
      </c>
      <c r="F234" t="s">
        <v>44</v>
      </c>
      <c r="G234" t="s">
        <v>45</v>
      </c>
      <c r="AH234" t="s">
        <v>42</v>
      </c>
      <c r="AI234" t="str">
        <f>"66298793908828"</f>
        <v>66298793908828</v>
      </c>
      <c r="AJ234" t="str">
        <f>"21C-F3435-00"</f>
        <v>21C-F3435-00</v>
      </c>
      <c r="AK234" t="s">
        <v>46</v>
      </c>
      <c r="AL234" s="1">
        <v>44816.545590277776</v>
      </c>
      <c r="AM234" t="s">
        <v>44</v>
      </c>
    </row>
    <row r="235" spans="1:39" x14ac:dyDescent="0.2">
      <c r="A235" t="s">
        <v>277</v>
      </c>
      <c r="B235" t="s">
        <v>40</v>
      </c>
      <c r="C235" t="s">
        <v>278</v>
      </c>
      <c r="D235" t="s">
        <v>42</v>
      </c>
      <c r="E235" t="s">
        <v>43</v>
      </c>
      <c r="F235" t="s">
        <v>44</v>
      </c>
      <c r="G235" t="s">
        <v>45</v>
      </c>
      <c r="AH235" t="s">
        <v>42</v>
      </c>
      <c r="AI235" t="str">
        <f>"66298793952000"</f>
        <v>66298793952000</v>
      </c>
      <c r="AJ235" t="str">
        <f>"CP011"</f>
        <v>CP011</v>
      </c>
      <c r="AK235" t="s">
        <v>46</v>
      </c>
      <c r="AL235" s="1">
        <v>44816.545590277776</v>
      </c>
      <c r="AM235" t="s">
        <v>44</v>
      </c>
    </row>
    <row r="236" spans="1:39" x14ac:dyDescent="0.2">
      <c r="A236" t="s">
        <v>279</v>
      </c>
      <c r="B236" t="s">
        <v>40</v>
      </c>
      <c r="C236" t="s">
        <v>280</v>
      </c>
      <c r="D236" t="s">
        <v>42</v>
      </c>
      <c r="E236" t="s">
        <v>43</v>
      </c>
      <c r="F236" t="s">
        <v>44</v>
      </c>
      <c r="G236" t="s">
        <v>45</v>
      </c>
      <c r="AH236" t="s">
        <v>42</v>
      </c>
      <c r="AI236" t="str">
        <f>"66298793993265"</f>
        <v>66298793993265</v>
      </c>
      <c r="AJ236" t="str">
        <f>"YB2.5L-CHB"</f>
        <v>YB2.5L-CHB</v>
      </c>
      <c r="AK236" t="s">
        <v>46</v>
      </c>
      <c r="AL236" s="1">
        <v>44816.545590277776</v>
      </c>
      <c r="AM236" t="s">
        <v>44</v>
      </c>
    </row>
    <row r="237" spans="1:39" x14ac:dyDescent="0.2">
      <c r="A237" t="s">
        <v>281</v>
      </c>
      <c r="B237" t="s">
        <v>40</v>
      </c>
      <c r="C237" t="s">
        <v>280</v>
      </c>
      <c r="D237" t="s">
        <v>42</v>
      </c>
      <c r="E237" t="s">
        <v>43</v>
      </c>
      <c r="F237" t="s">
        <v>44</v>
      </c>
      <c r="G237" t="s">
        <v>45</v>
      </c>
      <c r="AH237" t="s">
        <v>42</v>
      </c>
      <c r="AI237" t="str">
        <f>"66298794035118"</f>
        <v>66298794035118</v>
      </c>
      <c r="AJ237" t="str">
        <f>"YB2.5L-C"</f>
        <v>YB2.5L-C</v>
      </c>
      <c r="AK237" t="s">
        <v>46</v>
      </c>
      <c r="AL237" s="1">
        <v>44816.545601851853</v>
      </c>
      <c r="AM237" t="s">
        <v>44</v>
      </c>
    </row>
    <row r="238" spans="1:39" x14ac:dyDescent="0.2">
      <c r="A238" t="s">
        <v>282</v>
      </c>
      <c r="B238" t="s">
        <v>40</v>
      </c>
      <c r="C238" t="s">
        <v>280</v>
      </c>
      <c r="D238" t="s">
        <v>42</v>
      </c>
      <c r="E238" t="s">
        <v>43</v>
      </c>
      <c r="F238" t="s">
        <v>44</v>
      </c>
      <c r="G238" t="s">
        <v>45</v>
      </c>
      <c r="AH238" t="s">
        <v>42</v>
      </c>
      <c r="AI238" t="str">
        <f>"12N24-4-BSHK"</f>
        <v>12N24-4-BSHK</v>
      </c>
      <c r="AJ238" t="str">
        <f>"12N24-4-BSHK"</f>
        <v>12N24-4-BSHK</v>
      </c>
      <c r="AK238" t="s">
        <v>46</v>
      </c>
      <c r="AL238" s="1">
        <v>44872.633136574077</v>
      </c>
      <c r="AM238" t="s">
        <v>44</v>
      </c>
    </row>
    <row r="239" spans="1:39" x14ac:dyDescent="0.2">
      <c r="A239" t="s">
        <v>283</v>
      </c>
      <c r="B239" t="s">
        <v>40</v>
      </c>
      <c r="C239" t="s">
        <v>280</v>
      </c>
      <c r="D239" t="s">
        <v>42</v>
      </c>
      <c r="E239" t="s">
        <v>43</v>
      </c>
      <c r="F239" t="s">
        <v>44</v>
      </c>
      <c r="G239" t="s">
        <v>45</v>
      </c>
      <c r="AH239" t="s">
        <v>42</v>
      </c>
      <c r="AI239" t="str">
        <f>"66298794081616"</f>
        <v>66298794081616</v>
      </c>
      <c r="AJ239" t="str">
        <f>"YTX4L-BSCN"</f>
        <v>YTX4L-BSCN</v>
      </c>
      <c r="AK239" t="s">
        <v>46</v>
      </c>
      <c r="AL239" s="1">
        <v>44816.545601851853</v>
      </c>
      <c r="AM239" t="s">
        <v>44</v>
      </c>
    </row>
    <row r="240" spans="1:39" x14ac:dyDescent="0.2">
      <c r="A240" t="s">
        <v>284</v>
      </c>
      <c r="B240" t="s">
        <v>40</v>
      </c>
      <c r="C240" t="s">
        <v>280</v>
      </c>
      <c r="D240" t="s">
        <v>42</v>
      </c>
      <c r="E240" t="s">
        <v>43</v>
      </c>
      <c r="F240" t="s">
        <v>44</v>
      </c>
      <c r="G240" t="s">
        <v>45</v>
      </c>
      <c r="AH240" t="s">
        <v>42</v>
      </c>
      <c r="AI240" t="str">
        <f>"66298794124475"</f>
        <v>66298794124475</v>
      </c>
      <c r="AJ240" t="str">
        <f>"YT4L-BSHB"</f>
        <v>YT4L-BSHB</v>
      </c>
      <c r="AK240" t="s">
        <v>46</v>
      </c>
      <c r="AL240" s="1">
        <v>44816.545613425929</v>
      </c>
      <c r="AM240" t="s">
        <v>44</v>
      </c>
    </row>
    <row r="241" spans="1:39" x14ac:dyDescent="0.2">
      <c r="A241" t="s">
        <v>285</v>
      </c>
      <c r="B241" t="s">
        <v>40</v>
      </c>
      <c r="C241" t="s">
        <v>280</v>
      </c>
      <c r="D241" t="s">
        <v>42</v>
      </c>
      <c r="E241" t="s">
        <v>43</v>
      </c>
      <c r="F241" t="s">
        <v>44</v>
      </c>
      <c r="G241" t="s">
        <v>45</v>
      </c>
      <c r="AH241" t="s">
        <v>42</v>
      </c>
      <c r="AI241" t="str">
        <f>"66298794204604"</f>
        <v>66298794204604</v>
      </c>
      <c r="AJ241" t="str">
        <f>"YTZ5SVTS"</f>
        <v>YTZ5SVTS</v>
      </c>
      <c r="AK241" t="s">
        <v>46</v>
      </c>
      <c r="AL241" s="1">
        <v>44816.545624999999</v>
      </c>
      <c r="AM241" t="s">
        <v>44</v>
      </c>
    </row>
    <row r="242" spans="1:39" x14ac:dyDescent="0.2">
      <c r="A242" t="s">
        <v>286</v>
      </c>
      <c r="B242" t="s">
        <v>40</v>
      </c>
      <c r="C242" t="s">
        <v>280</v>
      </c>
      <c r="D242" t="s">
        <v>42</v>
      </c>
      <c r="E242" t="s">
        <v>43</v>
      </c>
      <c r="F242" t="s">
        <v>44</v>
      </c>
      <c r="G242" t="s">
        <v>45</v>
      </c>
      <c r="AH242" t="s">
        <v>42</v>
      </c>
      <c r="AI242" t="str">
        <f>"YB4L-BHB"</f>
        <v>YB4L-BHB</v>
      </c>
      <c r="AJ242" t="str">
        <f>"YB4L-BHB"</f>
        <v>YB4L-BHB</v>
      </c>
      <c r="AK242" t="s">
        <v>46</v>
      </c>
      <c r="AL242" s="1">
        <v>44847.795370370368</v>
      </c>
      <c r="AM242" t="s">
        <v>44</v>
      </c>
    </row>
    <row r="243" spans="1:39" x14ac:dyDescent="0.2">
      <c r="A243" t="s">
        <v>287</v>
      </c>
      <c r="B243" t="s">
        <v>40</v>
      </c>
      <c r="C243" t="s">
        <v>280</v>
      </c>
      <c r="D243" t="s">
        <v>42</v>
      </c>
      <c r="E243" t="s">
        <v>43</v>
      </c>
      <c r="F243" t="s">
        <v>44</v>
      </c>
      <c r="G243" t="s">
        <v>45</v>
      </c>
      <c r="AH243" t="s">
        <v>42</v>
      </c>
      <c r="AI243" t="str">
        <f>"66298794293503"</f>
        <v>66298794293503</v>
      </c>
      <c r="AJ243" t="str">
        <f>"YT5AL-BSHB"</f>
        <v>YT5AL-BSHB</v>
      </c>
      <c r="AK243" t="s">
        <v>46</v>
      </c>
      <c r="AL243" s="1">
        <v>44816.545624999999</v>
      </c>
      <c r="AM243" t="s">
        <v>44</v>
      </c>
    </row>
    <row r="244" spans="1:39" x14ac:dyDescent="0.2">
      <c r="A244" t="s">
        <v>288</v>
      </c>
      <c r="B244" t="s">
        <v>40</v>
      </c>
      <c r="C244" t="s">
        <v>280</v>
      </c>
      <c r="D244" t="s">
        <v>42</v>
      </c>
      <c r="E244" t="s">
        <v>43</v>
      </c>
      <c r="F244" t="s">
        <v>44</v>
      </c>
      <c r="G244" t="s">
        <v>45</v>
      </c>
      <c r="AH244" t="s">
        <v>42</v>
      </c>
      <c r="AI244" t="str">
        <f>"66298794332881"</f>
        <v>66298794332881</v>
      </c>
      <c r="AJ244" t="str">
        <f>"YB5L-BHB"</f>
        <v>YB5L-BHB</v>
      </c>
      <c r="AK244" t="s">
        <v>46</v>
      </c>
      <c r="AL244" s="1">
        <v>44816.545636574076</v>
      </c>
      <c r="AM244" t="s">
        <v>44</v>
      </c>
    </row>
    <row r="245" spans="1:39" x14ac:dyDescent="0.2">
      <c r="A245" t="s">
        <v>289</v>
      </c>
      <c r="B245" t="s">
        <v>40</v>
      </c>
      <c r="C245" t="s">
        <v>280</v>
      </c>
      <c r="D245" t="s">
        <v>42</v>
      </c>
      <c r="E245" t="s">
        <v>43</v>
      </c>
      <c r="F245" t="s">
        <v>44</v>
      </c>
      <c r="G245" t="s">
        <v>45</v>
      </c>
      <c r="AH245" t="s">
        <v>42</v>
      </c>
      <c r="AI245" t="str">
        <f>"66298794418524"</f>
        <v>66298794418524</v>
      </c>
      <c r="AJ245" t="str">
        <f>"12N5-BS"</f>
        <v>12N5-BS</v>
      </c>
      <c r="AK245" t="s">
        <v>46</v>
      </c>
      <c r="AL245" s="1">
        <v>44816.545648148145</v>
      </c>
      <c r="AM245" t="s">
        <v>44</v>
      </c>
    </row>
    <row r="246" spans="1:39" x14ac:dyDescent="0.2">
      <c r="A246" t="s">
        <v>290</v>
      </c>
      <c r="B246" t="s">
        <v>40</v>
      </c>
      <c r="C246" t="s">
        <v>280</v>
      </c>
      <c r="D246" t="s">
        <v>42</v>
      </c>
      <c r="E246" t="s">
        <v>43</v>
      </c>
      <c r="F246" t="s">
        <v>44</v>
      </c>
      <c r="G246" t="s">
        <v>45</v>
      </c>
      <c r="AH246" t="s">
        <v>42</v>
      </c>
      <c r="AI246" t="str">
        <f>"66298794500118"</f>
        <v>66298794500118</v>
      </c>
      <c r="AJ246" t="str">
        <f>"YTX7L-BSHB"</f>
        <v>YTX7L-BSHB</v>
      </c>
      <c r="AK246" t="s">
        <v>46</v>
      </c>
      <c r="AL246" s="1">
        <v>44816.545659722222</v>
      </c>
      <c r="AM246" t="s">
        <v>44</v>
      </c>
    </row>
    <row r="247" spans="1:39" x14ac:dyDescent="0.2">
      <c r="A247" t="s">
        <v>290</v>
      </c>
      <c r="B247" t="s">
        <v>40</v>
      </c>
      <c r="C247" t="s">
        <v>280</v>
      </c>
      <c r="D247" t="s">
        <v>42</v>
      </c>
      <c r="E247" t="s">
        <v>43</v>
      </c>
      <c r="F247" t="s">
        <v>44</v>
      </c>
      <c r="G247" t="s">
        <v>45</v>
      </c>
      <c r="AH247" t="s">
        <v>42</v>
      </c>
      <c r="AI247" t="str">
        <f>"YTX7A-BSHB"</f>
        <v>YTX7A-BSHB</v>
      </c>
      <c r="AJ247" t="str">
        <f>"YTX7A-BSHB"</f>
        <v>YTX7A-BSHB</v>
      </c>
      <c r="AK247" t="s">
        <v>46</v>
      </c>
      <c r="AL247" s="1">
        <v>44819.60633101852</v>
      </c>
      <c r="AM247" t="s">
        <v>44</v>
      </c>
    </row>
    <row r="248" spans="1:39" x14ac:dyDescent="0.2">
      <c r="A248" t="s">
        <v>291</v>
      </c>
      <c r="B248" t="s">
        <v>40</v>
      </c>
      <c r="C248" t="s">
        <v>280</v>
      </c>
      <c r="D248" t="s">
        <v>42</v>
      </c>
      <c r="E248" t="s">
        <v>43</v>
      </c>
      <c r="F248" t="s">
        <v>44</v>
      </c>
      <c r="G248" t="s">
        <v>45</v>
      </c>
      <c r="AH248" t="s">
        <v>42</v>
      </c>
      <c r="AI248" t="str">
        <f>"YTX7L-BSVTS"</f>
        <v>YTX7L-BSVTS</v>
      </c>
      <c r="AJ248" t="str">
        <f>"YTX7L-BSVTS"</f>
        <v>YTX7L-BSVTS</v>
      </c>
      <c r="AK248" t="s">
        <v>46</v>
      </c>
      <c r="AL248" s="1">
        <v>44855.629282407404</v>
      </c>
      <c r="AM248" t="s">
        <v>44</v>
      </c>
    </row>
    <row r="249" spans="1:39" x14ac:dyDescent="0.2">
      <c r="A249" t="s">
        <v>292</v>
      </c>
      <c r="B249" t="s">
        <v>40</v>
      </c>
      <c r="C249" t="s">
        <v>280</v>
      </c>
      <c r="D249" t="s">
        <v>42</v>
      </c>
      <c r="E249" t="s">
        <v>43</v>
      </c>
      <c r="F249" t="s">
        <v>44</v>
      </c>
      <c r="G249" t="s">
        <v>45</v>
      </c>
      <c r="AH249" t="s">
        <v>42</v>
      </c>
      <c r="AI249" t="str">
        <f>"66298794461523"</f>
        <v>66298794461523</v>
      </c>
      <c r="AJ249" t="str">
        <f>"YTX7L-BS"</f>
        <v>YTX7L-BS</v>
      </c>
      <c r="AK249" t="s">
        <v>46</v>
      </c>
      <c r="AL249" s="1">
        <v>44816.545648148145</v>
      </c>
      <c r="AM249" t="s">
        <v>44</v>
      </c>
    </row>
    <row r="250" spans="1:39" x14ac:dyDescent="0.2">
      <c r="A250" t="s">
        <v>293</v>
      </c>
      <c r="B250" t="s">
        <v>40</v>
      </c>
      <c r="C250" t="s">
        <v>280</v>
      </c>
      <c r="D250" t="s">
        <v>42</v>
      </c>
      <c r="E250" t="s">
        <v>43</v>
      </c>
      <c r="F250" t="s">
        <v>44</v>
      </c>
      <c r="G250" t="s">
        <v>45</v>
      </c>
      <c r="AH250" t="s">
        <v>42</v>
      </c>
      <c r="AI250" t="str">
        <f>"66298794547708"</f>
        <v>66298794547708</v>
      </c>
      <c r="AJ250" t="str">
        <f>"YTX6.5L-BSHB"</f>
        <v>YTX6.5L-BSHB</v>
      </c>
      <c r="AK250" t="s">
        <v>46</v>
      </c>
      <c r="AL250" s="1">
        <v>44816.545659722222</v>
      </c>
      <c r="AM250" t="s">
        <v>44</v>
      </c>
    </row>
    <row r="251" spans="1:39" x14ac:dyDescent="0.2">
      <c r="A251" t="s">
        <v>293</v>
      </c>
      <c r="B251" t="s">
        <v>40</v>
      </c>
      <c r="C251" t="s">
        <v>280</v>
      </c>
      <c r="D251" t="s">
        <v>42</v>
      </c>
      <c r="E251" t="s">
        <v>43</v>
      </c>
      <c r="F251" t="s">
        <v>44</v>
      </c>
      <c r="G251" t="s">
        <v>45</v>
      </c>
      <c r="AH251" t="s">
        <v>42</v>
      </c>
      <c r="AI251" t="str">
        <f>"66298794553973"</f>
        <v>66298794553973</v>
      </c>
      <c r="AJ251" t="str">
        <f>"YT7B-BSHB"</f>
        <v>YT7B-BSHB</v>
      </c>
      <c r="AK251" t="s">
        <v>46</v>
      </c>
      <c r="AL251" s="1">
        <v>44816.545659722222</v>
      </c>
      <c r="AM251" t="s">
        <v>44</v>
      </c>
    </row>
    <row r="252" spans="1:39" x14ac:dyDescent="0.2">
      <c r="A252" t="s">
        <v>294</v>
      </c>
      <c r="B252" t="s">
        <v>40</v>
      </c>
      <c r="C252" t="s">
        <v>280</v>
      </c>
      <c r="D252" t="s">
        <v>42</v>
      </c>
      <c r="E252" t="s">
        <v>43</v>
      </c>
      <c r="F252" t="s">
        <v>44</v>
      </c>
      <c r="G252" t="s">
        <v>45</v>
      </c>
      <c r="AH252" t="s">
        <v>42</v>
      </c>
      <c r="AI252" t="str">
        <f>"66298794655248"</f>
        <v>66298794655248</v>
      </c>
      <c r="AJ252" t="str">
        <f>"GTX7E-BSHB"</f>
        <v>GTX7E-BSHB</v>
      </c>
      <c r="AK252" t="s">
        <v>46</v>
      </c>
      <c r="AL252" s="1">
        <v>44816.545671296299</v>
      </c>
      <c r="AM252" t="s">
        <v>44</v>
      </c>
    </row>
    <row r="253" spans="1:39" x14ac:dyDescent="0.2">
      <c r="A253" t="s">
        <v>294</v>
      </c>
      <c r="B253" t="s">
        <v>40</v>
      </c>
      <c r="C253" t="s">
        <v>280</v>
      </c>
      <c r="D253" t="s">
        <v>42</v>
      </c>
      <c r="E253" t="s">
        <v>43</v>
      </c>
      <c r="F253" t="s">
        <v>44</v>
      </c>
      <c r="G253" t="s">
        <v>45</v>
      </c>
      <c r="AH253" t="s">
        <v>42</v>
      </c>
      <c r="AI253" t="str">
        <f>"66298794661817"</f>
        <v>66298794661817</v>
      </c>
      <c r="AJ253" t="str">
        <f>"YB7-AHB"</f>
        <v>YB7-AHB</v>
      </c>
      <c r="AK253" t="s">
        <v>46</v>
      </c>
      <c r="AL253" s="1">
        <v>44816.545671296299</v>
      </c>
      <c r="AM253" t="s">
        <v>44</v>
      </c>
    </row>
    <row r="254" spans="1:39" x14ac:dyDescent="0.2">
      <c r="A254" t="s">
        <v>295</v>
      </c>
      <c r="B254" t="s">
        <v>40</v>
      </c>
      <c r="C254" t="s">
        <v>280</v>
      </c>
      <c r="D254" t="s">
        <v>42</v>
      </c>
      <c r="E254" t="s">
        <v>43</v>
      </c>
      <c r="F254" t="s">
        <v>44</v>
      </c>
      <c r="G254" t="s">
        <v>45</v>
      </c>
      <c r="AH254" t="s">
        <v>42</v>
      </c>
      <c r="AI254" t="str">
        <f>"66298794721917"</f>
        <v>66298794721917</v>
      </c>
      <c r="AJ254" t="str">
        <f>"YTX7DL-BSHB"</f>
        <v>YTX7DL-BSHB</v>
      </c>
      <c r="AK254" t="s">
        <v>46</v>
      </c>
      <c r="AL254" s="1">
        <v>44816.545682870368</v>
      </c>
      <c r="AM254" t="s">
        <v>44</v>
      </c>
    </row>
    <row r="255" spans="1:39" x14ac:dyDescent="0.2">
      <c r="A255" t="s">
        <v>296</v>
      </c>
      <c r="B255" t="s">
        <v>40</v>
      </c>
      <c r="C255" t="s">
        <v>280</v>
      </c>
      <c r="D255" t="s">
        <v>42</v>
      </c>
      <c r="E255" t="s">
        <v>43</v>
      </c>
      <c r="F255" t="s">
        <v>44</v>
      </c>
      <c r="G255" t="s">
        <v>45</v>
      </c>
      <c r="AH255" t="s">
        <v>42</v>
      </c>
      <c r="AI255" t="str">
        <f>"66298794609055"</f>
        <v>66298794609055</v>
      </c>
      <c r="AJ255" t="str">
        <f>"YB7B-BHB"</f>
        <v>YB7B-BHB</v>
      </c>
      <c r="AK255" t="s">
        <v>46</v>
      </c>
      <c r="AL255" s="1">
        <v>44816.545671296299</v>
      </c>
      <c r="AM255" t="s">
        <v>44</v>
      </c>
    </row>
    <row r="256" spans="1:39" x14ac:dyDescent="0.2">
      <c r="A256" t="s">
        <v>296</v>
      </c>
      <c r="B256" t="s">
        <v>40</v>
      </c>
      <c r="C256" t="s">
        <v>280</v>
      </c>
      <c r="D256" t="s">
        <v>42</v>
      </c>
      <c r="E256" t="s">
        <v>43</v>
      </c>
      <c r="F256" t="s">
        <v>44</v>
      </c>
      <c r="G256" t="s">
        <v>45</v>
      </c>
      <c r="AH256" t="s">
        <v>42</v>
      </c>
      <c r="AI256" t="str">
        <f>"12N7B-3AHB"</f>
        <v>12N7B-3AHB</v>
      </c>
      <c r="AJ256" t="str">
        <f>"12N7B-3AHB"</f>
        <v>12N7B-3AHB</v>
      </c>
      <c r="AK256" t="s">
        <v>46</v>
      </c>
      <c r="AL256" s="1">
        <v>44847.778136574074</v>
      </c>
      <c r="AM256" t="s">
        <v>44</v>
      </c>
    </row>
    <row r="257" spans="1:39" x14ac:dyDescent="0.2">
      <c r="A257" t="s">
        <v>296</v>
      </c>
      <c r="B257" t="s">
        <v>40</v>
      </c>
      <c r="C257" t="s">
        <v>280</v>
      </c>
      <c r="D257" t="s">
        <v>42</v>
      </c>
      <c r="E257" t="s">
        <v>43</v>
      </c>
      <c r="F257" t="s">
        <v>44</v>
      </c>
      <c r="G257" t="s">
        <v>45</v>
      </c>
      <c r="AH257" t="s">
        <v>42</v>
      </c>
      <c r="AI257" t="str">
        <f>"12N7-4BHB"</f>
        <v>12N7-4BHB</v>
      </c>
      <c r="AJ257" t="str">
        <f>"12N7-4BHB"</f>
        <v>12N7-4BHB</v>
      </c>
      <c r="AK257" t="s">
        <v>46</v>
      </c>
      <c r="AL257" s="1">
        <v>44847.785925925928</v>
      </c>
      <c r="AM257" t="s">
        <v>44</v>
      </c>
    </row>
    <row r="258" spans="1:39" x14ac:dyDescent="0.2">
      <c r="A258" t="s">
        <v>296</v>
      </c>
      <c r="B258" t="s">
        <v>40</v>
      </c>
      <c r="C258" t="s">
        <v>280</v>
      </c>
      <c r="D258" t="s">
        <v>42</v>
      </c>
      <c r="E258" t="s">
        <v>43</v>
      </c>
      <c r="F258" t="s">
        <v>44</v>
      </c>
      <c r="G258" t="s">
        <v>45</v>
      </c>
      <c r="AH258" t="s">
        <v>42</v>
      </c>
      <c r="AI258" t="str">
        <f>"12N7-3BHB"</f>
        <v>12N7-3BHB</v>
      </c>
      <c r="AJ258" t="str">
        <f>"12N7-3BHB"</f>
        <v>12N7-3BHB</v>
      </c>
      <c r="AK258" t="s">
        <v>46</v>
      </c>
      <c r="AL258" s="1">
        <v>44847.79278935185</v>
      </c>
      <c r="AM258" t="s">
        <v>44</v>
      </c>
    </row>
    <row r="259" spans="1:39" x14ac:dyDescent="0.2">
      <c r="A259" t="s">
        <v>297</v>
      </c>
      <c r="B259" t="s">
        <v>40</v>
      </c>
      <c r="C259" t="s">
        <v>280</v>
      </c>
      <c r="D259" t="s">
        <v>42</v>
      </c>
      <c r="E259" t="s">
        <v>43</v>
      </c>
      <c r="F259" t="s">
        <v>44</v>
      </c>
      <c r="G259" t="s">
        <v>45</v>
      </c>
      <c r="AH259" t="s">
        <v>42</v>
      </c>
      <c r="AI259" t="str">
        <f>"66298794842712"</f>
        <v>66298794842712</v>
      </c>
      <c r="AJ259" t="str">
        <f>"12N7-4AVTS"</f>
        <v>12N7-4AVTS</v>
      </c>
      <c r="AK259" t="s">
        <v>46</v>
      </c>
      <c r="AL259" s="1">
        <v>44816.545694444445</v>
      </c>
      <c r="AM259" t="s">
        <v>44</v>
      </c>
    </row>
    <row r="260" spans="1:39" x14ac:dyDescent="0.2">
      <c r="A260" t="s">
        <v>297</v>
      </c>
      <c r="B260" t="s">
        <v>40</v>
      </c>
      <c r="C260" t="s">
        <v>280</v>
      </c>
      <c r="D260" t="s">
        <v>42</v>
      </c>
      <c r="E260" t="s">
        <v>43</v>
      </c>
      <c r="F260" t="s">
        <v>44</v>
      </c>
      <c r="G260" t="s">
        <v>45</v>
      </c>
      <c r="AH260" t="s">
        <v>42</v>
      </c>
      <c r="AI260" t="str">
        <f>"66298794849062"</f>
        <v>66298794849062</v>
      </c>
      <c r="AJ260" t="str">
        <f>"12N7A-3AVTS"</f>
        <v>12N7A-3AVTS</v>
      </c>
      <c r="AK260" t="s">
        <v>46</v>
      </c>
      <c r="AL260" s="1">
        <v>44816.545694444445</v>
      </c>
      <c r="AM260" t="s">
        <v>44</v>
      </c>
    </row>
    <row r="261" spans="1:39" x14ac:dyDescent="0.2">
      <c r="A261" t="s">
        <v>298</v>
      </c>
      <c r="B261" t="s">
        <v>40</v>
      </c>
      <c r="C261" t="s">
        <v>280</v>
      </c>
      <c r="D261" t="s">
        <v>42</v>
      </c>
      <c r="E261" t="s">
        <v>43</v>
      </c>
      <c r="F261" t="s">
        <v>44</v>
      </c>
      <c r="G261" t="s">
        <v>45</v>
      </c>
      <c r="AH261" t="s">
        <v>42</v>
      </c>
      <c r="AI261" t="str">
        <f>"YT9B-BSHB"</f>
        <v>YT9B-BSHB</v>
      </c>
      <c r="AJ261" t="str">
        <f>"YT9B-BSHB"</f>
        <v>YT9B-BSHB</v>
      </c>
      <c r="AK261" t="s">
        <v>46</v>
      </c>
      <c r="AL261" s="1">
        <v>44847.789201388892</v>
      </c>
      <c r="AM261" t="s">
        <v>44</v>
      </c>
    </row>
    <row r="262" spans="1:39" x14ac:dyDescent="0.2">
      <c r="A262" t="s">
        <v>299</v>
      </c>
      <c r="B262" t="s">
        <v>40</v>
      </c>
      <c r="C262" t="s">
        <v>280</v>
      </c>
      <c r="D262" t="s">
        <v>42</v>
      </c>
      <c r="E262" t="s">
        <v>43</v>
      </c>
      <c r="F262" t="s">
        <v>44</v>
      </c>
      <c r="G262" t="s">
        <v>45</v>
      </c>
      <c r="AH262" t="s">
        <v>42</v>
      </c>
      <c r="AI262" t="str">
        <f>"66298794903079"</f>
        <v>66298794903079</v>
      </c>
      <c r="AJ262" t="str">
        <f>"YTX9-BSHB"</f>
        <v>YTX9-BSHB</v>
      </c>
      <c r="AK262" t="s">
        <v>46</v>
      </c>
      <c r="AL262" s="1">
        <v>44816.545706018522</v>
      </c>
      <c r="AM262" t="s">
        <v>44</v>
      </c>
    </row>
    <row r="263" spans="1:39" x14ac:dyDescent="0.2">
      <c r="A263" t="s">
        <v>300</v>
      </c>
      <c r="B263" t="s">
        <v>40</v>
      </c>
      <c r="C263" t="s">
        <v>280</v>
      </c>
      <c r="D263" t="s">
        <v>42</v>
      </c>
      <c r="E263" t="s">
        <v>43</v>
      </c>
      <c r="F263" t="s">
        <v>44</v>
      </c>
      <c r="G263" t="s">
        <v>45</v>
      </c>
      <c r="AH263" t="s">
        <v>42</v>
      </c>
      <c r="AI263" t="str">
        <f>"YTX9A-BSHB"</f>
        <v>YTX9A-BSHB</v>
      </c>
      <c r="AJ263" t="str">
        <f>"YTX9A-BSHB"</f>
        <v>YTX9A-BSHB</v>
      </c>
      <c r="AK263" t="s">
        <v>46</v>
      </c>
      <c r="AL263" s="1">
        <v>44847.786643518521</v>
      </c>
      <c r="AM263" t="s">
        <v>44</v>
      </c>
    </row>
    <row r="264" spans="1:39" x14ac:dyDescent="0.2">
      <c r="A264" t="s">
        <v>301</v>
      </c>
      <c r="B264" t="s">
        <v>40</v>
      </c>
      <c r="C264" t="s">
        <v>280</v>
      </c>
      <c r="D264" t="s">
        <v>42</v>
      </c>
      <c r="E264" t="s">
        <v>43</v>
      </c>
      <c r="F264" t="s">
        <v>44</v>
      </c>
      <c r="G264" t="s">
        <v>45</v>
      </c>
      <c r="AH264" t="s">
        <v>42</v>
      </c>
      <c r="AI264" t="str">
        <f>"66298795088864"</f>
        <v>66298795088864</v>
      </c>
      <c r="AJ264" t="str">
        <f>"YT12B-BSHB"</f>
        <v>YT12B-BSHB</v>
      </c>
      <c r="AK264" t="s">
        <v>46</v>
      </c>
      <c r="AL264" s="1">
        <v>44816.545717592591</v>
      </c>
      <c r="AM264" t="s">
        <v>44</v>
      </c>
    </row>
    <row r="265" spans="1:39" x14ac:dyDescent="0.2">
      <c r="A265" t="s">
        <v>301</v>
      </c>
      <c r="B265" t="s">
        <v>40</v>
      </c>
      <c r="C265" t="s">
        <v>280</v>
      </c>
      <c r="D265" t="s">
        <v>42</v>
      </c>
      <c r="E265" t="s">
        <v>43</v>
      </c>
      <c r="F265" t="s">
        <v>44</v>
      </c>
      <c r="G265" t="s">
        <v>45</v>
      </c>
      <c r="AH265" t="s">
        <v>42</v>
      </c>
      <c r="AI265" t="str">
        <f>"YTX12-BSHB"</f>
        <v>YTX12-BSHB</v>
      </c>
      <c r="AJ265" t="str">
        <f>"YTX12-BSHB"</f>
        <v>YTX12-BSHB</v>
      </c>
      <c r="AK265" t="s">
        <v>46</v>
      </c>
      <c r="AL265" s="1">
        <v>44847.787164351852</v>
      </c>
      <c r="AM265" t="s">
        <v>44</v>
      </c>
    </row>
    <row r="266" spans="1:39" x14ac:dyDescent="0.2">
      <c r="A266" t="s">
        <v>302</v>
      </c>
      <c r="B266" t="s">
        <v>40</v>
      </c>
      <c r="C266" t="s">
        <v>280</v>
      </c>
      <c r="D266" t="s">
        <v>42</v>
      </c>
      <c r="E266" t="s">
        <v>43</v>
      </c>
      <c r="F266" t="s">
        <v>44</v>
      </c>
      <c r="G266" t="s">
        <v>45</v>
      </c>
      <c r="AH266" t="s">
        <v>42</v>
      </c>
      <c r="AI266" t="str">
        <f>"YT12A-BSFB"</f>
        <v>YT12A-BSFB</v>
      </c>
      <c r="AJ266" t="str">
        <f>"YT12A-BSFB"</f>
        <v>YT12A-BSFB</v>
      </c>
      <c r="AK266" t="s">
        <v>46</v>
      </c>
      <c r="AL266" s="1">
        <v>44817.807453703703</v>
      </c>
      <c r="AM266" t="s">
        <v>44</v>
      </c>
    </row>
    <row r="267" spans="1:39" x14ac:dyDescent="0.2">
      <c r="A267" t="s">
        <v>303</v>
      </c>
      <c r="B267" t="s">
        <v>40</v>
      </c>
      <c r="C267" t="s">
        <v>280</v>
      </c>
      <c r="D267" t="s">
        <v>42</v>
      </c>
      <c r="E267" t="s">
        <v>43</v>
      </c>
      <c r="F267" t="s">
        <v>44</v>
      </c>
      <c r="G267" t="s">
        <v>45</v>
      </c>
      <c r="H267" t="s">
        <v>304</v>
      </c>
      <c r="AH267" t="s">
        <v>42</v>
      </c>
      <c r="AI267" t="str">
        <f>"YTZ14S-BS/SLA"</f>
        <v>YTZ14S-BS/SLA</v>
      </c>
      <c r="AJ267" t="str">
        <f>"YTZ14S-BS/SLA"</f>
        <v>YTZ14S-BS/SLA</v>
      </c>
      <c r="AK267" t="s">
        <v>46</v>
      </c>
      <c r="AL267" s="1">
        <v>44895.60733796296</v>
      </c>
      <c r="AM267" t="s">
        <v>44</v>
      </c>
    </row>
    <row r="268" spans="1:39" x14ac:dyDescent="0.2">
      <c r="A268" t="s">
        <v>305</v>
      </c>
      <c r="B268" t="s">
        <v>40</v>
      </c>
      <c r="C268" t="s">
        <v>280</v>
      </c>
      <c r="D268" t="s">
        <v>42</v>
      </c>
      <c r="E268" t="s">
        <v>43</v>
      </c>
      <c r="F268" t="s">
        <v>44</v>
      </c>
      <c r="G268" t="s">
        <v>45</v>
      </c>
      <c r="AH268" t="s">
        <v>42</v>
      </c>
      <c r="AI268" t="str">
        <f>"YTX14-BSHB"</f>
        <v>YTX14-BSHB</v>
      </c>
      <c r="AJ268" t="str">
        <f>"YTX14-BSHB"</f>
        <v>YTX14-BSHB</v>
      </c>
      <c r="AK268" t="s">
        <v>46</v>
      </c>
      <c r="AL268" s="1">
        <v>44847.788634259261</v>
      </c>
      <c r="AM268" t="s">
        <v>44</v>
      </c>
    </row>
    <row r="269" spans="1:39" x14ac:dyDescent="0.2">
      <c r="A269" t="s">
        <v>305</v>
      </c>
      <c r="B269" t="s">
        <v>40</v>
      </c>
      <c r="C269" t="s">
        <v>280</v>
      </c>
      <c r="D269" t="s">
        <v>42</v>
      </c>
      <c r="E269" t="s">
        <v>43</v>
      </c>
      <c r="F269" t="s">
        <v>44</v>
      </c>
      <c r="G269" t="s">
        <v>45</v>
      </c>
      <c r="AH269" t="s">
        <v>42</v>
      </c>
      <c r="AI269" t="str">
        <f>"YT14B-BSHB"</f>
        <v>YT14B-BSHB</v>
      </c>
      <c r="AJ269" t="str">
        <f>"YT14B-BSHB"</f>
        <v>YT14B-BSHB</v>
      </c>
      <c r="AK269" t="s">
        <v>46</v>
      </c>
      <c r="AL269" s="1">
        <v>44847.790694444448</v>
      </c>
      <c r="AM269" t="s">
        <v>44</v>
      </c>
    </row>
    <row r="270" spans="1:39" x14ac:dyDescent="0.2">
      <c r="A270" t="s">
        <v>306</v>
      </c>
      <c r="B270" t="s">
        <v>40</v>
      </c>
      <c r="C270" t="s">
        <v>280</v>
      </c>
      <c r="D270" t="s">
        <v>42</v>
      </c>
      <c r="E270" t="s">
        <v>43</v>
      </c>
      <c r="F270" t="s">
        <v>44</v>
      </c>
      <c r="G270" t="s">
        <v>45</v>
      </c>
      <c r="AH270" t="s">
        <v>42</v>
      </c>
      <c r="AI270" t="str">
        <f>"YTX16-BSHB"</f>
        <v>YTX16-BSHB</v>
      </c>
      <c r="AJ270" t="str">
        <f>"YTX16-BSHB"</f>
        <v>YTX16-BSHB</v>
      </c>
      <c r="AK270" t="s">
        <v>46</v>
      </c>
      <c r="AL270" s="1">
        <v>44847.791666666664</v>
      </c>
      <c r="AM270" t="s">
        <v>44</v>
      </c>
    </row>
    <row r="271" spans="1:39" x14ac:dyDescent="0.2">
      <c r="A271" t="s">
        <v>307</v>
      </c>
      <c r="B271" t="s">
        <v>40</v>
      </c>
      <c r="C271" t="s">
        <v>280</v>
      </c>
      <c r="D271" t="s">
        <v>42</v>
      </c>
      <c r="E271" t="s">
        <v>43</v>
      </c>
      <c r="F271" t="s">
        <v>44</v>
      </c>
      <c r="G271" t="s">
        <v>45</v>
      </c>
      <c r="AH271" t="s">
        <v>42</v>
      </c>
      <c r="AI271" t="str">
        <f>"YTX20HL-BSHB"</f>
        <v>YTX20HL-BSHB</v>
      </c>
      <c r="AJ271" t="str">
        <f>"YTX20HL-BSHB"</f>
        <v>YTX20HL-BSHB</v>
      </c>
      <c r="AK271" t="s">
        <v>46</v>
      </c>
      <c r="AL271" s="1">
        <v>44847.777326388888</v>
      </c>
      <c r="AM271" t="s">
        <v>44</v>
      </c>
    </row>
    <row r="272" spans="1:39" x14ac:dyDescent="0.2">
      <c r="A272" t="s">
        <v>308</v>
      </c>
      <c r="B272" t="s">
        <v>40</v>
      </c>
      <c r="C272" t="s">
        <v>280</v>
      </c>
      <c r="D272" t="s">
        <v>42</v>
      </c>
      <c r="E272" t="s">
        <v>43</v>
      </c>
      <c r="F272" t="s">
        <v>44</v>
      </c>
      <c r="G272" t="s">
        <v>45</v>
      </c>
      <c r="AH272" t="s">
        <v>42</v>
      </c>
      <c r="AI272" t="str">
        <f>"YTX30L-BSHB"</f>
        <v>YTX30L-BSHB</v>
      </c>
      <c r="AJ272" t="str">
        <f>"YTX30L-BSHB"</f>
        <v>YTX30L-BSHB</v>
      </c>
      <c r="AK272" t="s">
        <v>46</v>
      </c>
      <c r="AL272" s="1">
        <v>44847.794074074074</v>
      </c>
      <c r="AM272" t="s">
        <v>44</v>
      </c>
    </row>
    <row r="273" spans="1:39" x14ac:dyDescent="0.2">
      <c r="A273" t="s">
        <v>309</v>
      </c>
      <c r="B273" t="s">
        <v>40</v>
      </c>
      <c r="C273" t="s">
        <v>280</v>
      </c>
      <c r="D273" t="s">
        <v>42</v>
      </c>
      <c r="E273" t="s">
        <v>43</v>
      </c>
      <c r="F273" t="s">
        <v>44</v>
      </c>
      <c r="G273" t="s">
        <v>45</v>
      </c>
      <c r="H273" t="s">
        <v>310</v>
      </c>
      <c r="AH273" t="s">
        <v>42</v>
      </c>
      <c r="AI273" t="str">
        <f>"YTX12-BS/SLA"</f>
        <v>YTX12-BS/SLA</v>
      </c>
      <c r="AJ273" t="str">
        <f>"YTX12-BS/SLA"</f>
        <v>YTX12-BS/SLA</v>
      </c>
      <c r="AK273" t="s">
        <v>46</v>
      </c>
      <c r="AL273" s="1">
        <v>44965.876851851855</v>
      </c>
      <c r="AM273" t="s">
        <v>44</v>
      </c>
    </row>
    <row r="274" spans="1:39" x14ac:dyDescent="0.2">
      <c r="A274" t="s">
        <v>309</v>
      </c>
      <c r="B274" t="s">
        <v>40</v>
      </c>
      <c r="C274" t="s">
        <v>280</v>
      </c>
      <c r="D274" t="s">
        <v>42</v>
      </c>
      <c r="E274" t="s">
        <v>43</v>
      </c>
      <c r="F274" t="s">
        <v>44</v>
      </c>
      <c r="G274" t="s">
        <v>45</v>
      </c>
      <c r="H274" t="s">
        <v>311</v>
      </c>
      <c r="AH274" t="s">
        <v>42</v>
      </c>
      <c r="AI274" t="str">
        <f>"YT12B-4-BS/SLA"</f>
        <v>YT12B-4-BS/SLA</v>
      </c>
      <c r="AJ274" t="str">
        <f>"YT12B-4-BS/SLA"</f>
        <v>YT12B-4-BS/SLA</v>
      </c>
      <c r="AK274" t="s">
        <v>46</v>
      </c>
      <c r="AL274" s="1">
        <v>44965.882488425923</v>
      </c>
      <c r="AM274" t="s">
        <v>44</v>
      </c>
    </row>
    <row r="275" spans="1:39" x14ac:dyDescent="0.2">
      <c r="A275" t="s">
        <v>312</v>
      </c>
      <c r="B275" t="s">
        <v>40</v>
      </c>
      <c r="C275" t="s">
        <v>280</v>
      </c>
      <c r="D275" t="s">
        <v>42</v>
      </c>
      <c r="E275" t="s">
        <v>43</v>
      </c>
      <c r="F275" t="s">
        <v>44</v>
      </c>
      <c r="G275" t="s">
        <v>45</v>
      </c>
      <c r="AH275" t="s">
        <v>42</v>
      </c>
      <c r="AI275" t="str">
        <f>"Y12A-BSFB"</f>
        <v>Y12A-BSFB</v>
      </c>
      <c r="AJ275" t="str">
        <f>"Y12A-BSFB"</f>
        <v>Y12A-BSFB</v>
      </c>
      <c r="AK275" t="s">
        <v>46</v>
      </c>
      <c r="AL275" s="1">
        <v>44875.737476851849</v>
      </c>
      <c r="AM275" t="s">
        <v>44</v>
      </c>
    </row>
    <row r="276" spans="1:39" x14ac:dyDescent="0.2">
      <c r="A276" t="s">
        <v>313</v>
      </c>
      <c r="B276" t="s">
        <v>40</v>
      </c>
      <c r="C276" t="s">
        <v>280</v>
      </c>
      <c r="D276" t="s">
        <v>42</v>
      </c>
      <c r="E276" t="s">
        <v>43</v>
      </c>
      <c r="F276" t="s">
        <v>44</v>
      </c>
      <c r="G276" t="s">
        <v>45</v>
      </c>
      <c r="AH276" t="s">
        <v>42</v>
      </c>
      <c r="AI276" t="str">
        <f>"YTX12-BSHQ"</f>
        <v>YTX12-BSHQ</v>
      </c>
      <c r="AJ276" t="str">
        <f>"YTX12-BSHQ"</f>
        <v>YTX12-BSHQ</v>
      </c>
      <c r="AK276" t="s">
        <v>46</v>
      </c>
      <c r="AL276" s="1">
        <v>45086.724421296298</v>
      </c>
      <c r="AM276" t="s">
        <v>44</v>
      </c>
    </row>
    <row r="277" spans="1:39" x14ac:dyDescent="0.2">
      <c r="A277" t="s">
        <v>314</v>
      </c>
      <c r="B277" t="s">
        <v>40</v>
      </c>
      <c r="C277" t="s">
        <v>280</v>
      </c>
      <c r="D277" t="s">
        <v>42</v>
      </c>
      <c r="E277" t="s">
        <v>43</v>
      </c>
      <c r="F277" t="s">
        <v>44</v>
      </c>
      <c r="G277" t="s">
        <v>45</v>
      </c>
      <c r="AH277" t="s">
        <v>42</v>
      </c>
      <c r="AI277" t="str">
        <f>"MBTX9U"</f>
        <v>MBTX9U</v>
      </c>
      <c r="AJ277" t="str">
        <f>"MBTX9U"</f>
        <v>MBTX9U</v>
      </c>
      <c r="AK277" t="s">
        <v>46</v>
      </c>
      <c r="AL277" s="1">
        <v>44861.697939814818</v>
      </c>
      <c r="AM277" t="s">
        <v>44</v>
      </c>
    </row>
    <row r="278" spans="1:39" x14ac:dyDescent="0.2">
      <c r="A278" t="s">
        <v>315</v>
      </c>
      <c r="B278" t="s">
        <v>40</v>
      </c>
      <c r="C278" t="s">
        <v>280</v>
      </c>
      <c r="D278" t="s">
        <v>42</v>
      </c>
      <c r="E278" t="s">
        <v>43</v>
      </c>
      <c r="F278" t="s">
        <v>44</v>
      </c>
      <c r="G278" t="s">
        <v>45</v>
      </c>
      <c r="H278" t="s">
        <v>316</v>
      </c>
      <c r="AH278" t="s">
        <v>42</v>
      </c>
      <c r="AI278" t="str">
        <f>"YTZ12S-BS/SLA"</f>
        <v>YTZ12S-BS/SLA</v>
      </c>
      <c r="AJ278" t="str">
        <f>"YTZ12S-BS/SLA"</f>
        <v>YTZ12S-BS/SLA</v>
      </c>
      <c r="AK278" t="s">
        <v>46</v>
      </c>
      <c r="AL278" s="1">
        <v>44965.873773148145</v>
      </c>
      <c r="AM278" t="s">
        <v>44</v>
      </c>
    </row>
    <row r="279" spans="1:39" x14ac:dyDescent="0.2">
      <c r="A279" t="s">
        <v>317</v>
      </c>
      <c r="B279" t="s">
        <v>40</v>
      </c>
      <c r="C279" t="s">
        <v>280</v>
      </c>
      <c r="D279" t="s">
        <v>42</v>
      </c>
      <c r="E279" t="s">
        <v>43</v>
      </c>
      <c r="F279" t="s">
        <v>44</v>
      </c>
      <c r="G279" t="s">
        <v>45</v>
      </c>
      <c r="AH279" t="s">
        <v>42</v>
      </c>
      <c r="AI279" t="str">
        <f>"MB9U"</f>
        <v>MB9U</v>
      </c>
      <c r="AJ279" t="str">
        <f>"MB9U"</f>
        <v>MB9U</v>
      </c>
      <c r="AK279" t="s">
        <v>46</v>
      </c>
      <c r="AL279" s="1">
        <v>45091.732592592591</v>
      </c>
      <c r="AM279" t="s">
        <v>44</v>
      </c>
    </row>
    <row r="280" spans="1:39" x14ac:dyDescent="0.2">
      <c r="A280" t="s">
        <v>318</v>
      </c>
      <c r="B280" t="s">
        <v>40</v>
      </c>
      <c r="C280" t="s">
        <v>280</v>
      </c>
      <c r="D280" t="s">
        <v>42</v>
      </c>
      <c r="E280" t="s">
        <v>43</v>
      </c>
      <c r="F280" t="s">
        <v>44</v>
      </c>
      <c r="G280" t="s">
        <v>45</v>
      </c>
      <c r="AH280" t="s">
        <v>42</v>
      </c>
      <c r="AI280" t="str">
        <f>"MBTZ14S"</f>
        <v>MBTZ14S</v>
      </c>
      <c r="AJ280" t="str">
        <f>"MBTZ14S"</f>
        <v>MBTZ14S</v>
      </c>
      <c r="AK280" t="s">
        <v>46</v>
      </c>
      <c r="AL280" s="1">
        <v>45091.740740740737</v>
      </c>
      <c r="AM280" t="s">
        <v>44</v>
      </c>
    </row>
    <row r="281" spans="1:39" x14ac:dyDescent="0.2">
      <c r="A281" t="s">
        <v>319</v>
      </c>
      <c r="B281" t="s">
        <v>40</v>
      </c>
      <c r="C281" t="s">
        <v>280</v>
      </c>
      <c r="D281" t="s">
        <v>42</v>
      </c>
      <c r="E281" t="s">
        <v>43</v>
      </c>
      <c r="F281" t="s">
        <v>44</v>
      </c>
      <c r="G281" t="s">
        <v>45</v>
      </c>
      <c r="H281" t="s">
        <v>320</v>
      </c>
      <c r="AH281" t="s">
        <v>42</v>
      </c>
      <c r="AI281" t="str">
        <f>"12N12A-4A-1-BS/DRY"</f>
        <v>12N12A-4A-1-BS/DRY</v>
      </c>
      <c r="AJ281" t="str">
        <f>"12N12A-4A-1-BS/DRY"</f>
        <v>12N12A-4A-1-BS/DRY</v>
      </c>
      <c r="AK281" t="s">
        <v>46</v>
      </c>
      <c r="AL281" s="1">
        <v>45026.616655092592</v>
      </c>
      <c r="AM281" t="s">
        <v>44</v>
      </c>
    </row>
    <row r="282" spans="1:39" x14ac:dyDescent="0.2">
      <c r="A282" t="s">
        <v>319</v>
      </c>
      <c r="B282" t="s">
        <v>40</v>
      </c>
      <c r="C282" t="s">
        <v>280</v>
      </c>
      <c r="D282" t="s">
        <v>42</v>
      </c>
      <c r="E282" t="s">
        <v>43</v>
      </c>
      <c r="F282" t="s">
        <v>44</v>
      </c>
      <c r="G282" t="s">
        <v>45</v>
      </c>
      <c r="H282" t="s">
        <v>321</v>
      </c>
      <c r="AH282" t="s">
        <v>42</v>
      </c>
      <c r="AI282" t="str">
        <f>"YTX14-BS/MF"</f>
        <v>YTX14-BS/MF</v>
      </c>
      <c r="AJ282" t="str">
        <f>"YTX14-BS/MF"</f>
        <v>YTX14-BS/MF</v>
      </c>
      <c r="AK282" t="s">
        <v>46</v>
      </c>
      <c r="AL282" s="1">
        <v>44951.749201388891</v>
      </c>
      <c r="AM282" t="s">
        <v>44</v>
      </c>
    </row>
    <row r="283" spans="1:39" x14ac:dyDescent="0.2">
      <c r="A283" t="s">
        <v>319</v>
      </c>
      <c r="B283" t="s">
        <v>40</v>
      </c>
      <c r="C283" t="s">
        <v>280</v>
      </c>
      <c r="D283" t="s">
        <v>42</v>
      </c>
      <c r="E283" t="s">
        <v>43</v>
      </c>
      <c r="F283" t="s">
        <v>44</v>
      </c>
      <c r="G283" t="s">
        <v>45</v>
      </c>
      <c r="H283" t="s">
        <v>322</v>
      </c>
      <c r="AH283" t="s">
        <v>42</v>
      </c>
      <c r="AI283" t="str">
        <f>"YTX14L-BS/MF"</f>
        <v>YTX14L-BS/MF</v>
      </c>
      <c r="AJ283" t="str">
        <f>"YTX14L-BS/MF"</f>
        <v>YTX14L-BS/MF</v>
      </c>
      <c r="AK283" t="s">
        <v>46</v>
      </c>
      <c r="AL283" s="1">
        <v>44867.737743055557</v>
      </c>
      <c r="AM283" t="s">
        <v>44</v>
      </c>
    </row>
    <row r="284" spans="1:39" x14ac:dyDescent="0.2">
      <c r="A284" t="s">
        <v>323</v>
      </c>
      <c r="B284" t="s">
        <v>40</v>
      </c>
      <c r="C284" t="s">
        <v>280</v>
      </c>
      <c r="D284" t="s">
        <v>42</v>
      </c>
      <c r="E284" t="s">
        <v>43</v>
      </c>
      <c r="F284" t="s">
        <v>44</v>
      </c>
      <c r="G284" t="s">
        <v>45</v>
      </c>
      <c r="AH284" t="s">
        <v>42</v>
      </c>
      <c r="AI284" t="str">
        <f>"YTX12-BSQS"</f>
        <v>YTX12-BSQS</v>
      </c>
      <c r="AJ284" t="str">
        <f>"YTX12-BSQS"</f>
        <v>YTX12-BSQS</v>
      </c>
      <c r="AK284" t="s">
        <v>46</v>
      </c>
      <c r="AL284" s="1">
        <v>45154.919432870367</v>
      </c>
      <c r="AM284" t="s">
        <v>44</v>
      </c>
    </row>
    <row r="285" spans="1:39" x14ac:dyDescent="0.2">
      <c r="A285" t="s">
        <v>324</v>
      </c>
      <c r="B285" t="s">
        <v>40</v>
      </c>
      <c r="C285" t="s">
        <v>280</v>
      </c>
      <c r="D285" t="s">
        <v>42</v>
      </c>
      <c r="E285" t="s">
        <v>43</v>
      </c>
      <c r="F285" t="s">
        <v>44</v>
      </c>
      <c r="G285" t="s">
        <v>45</v>
      </c>
      <c r="H285" t="s">
        <v>325</v>
      </c>
      <c r="AH285" t="s">
        <v>42</v>
      </c>
      <c r="AI285" t="str">
        <f>"YTX14AHL-BS/SLA"</f>
        <v>YTX14AHL-BS/SLA</v>
      </c>
      <c r="AJ285" t="str">
        <f>"YTX14AHL-BS/SLA"</f>
        <v>YTX14AHL-BS/SLA</v>
      </c>
      <c r="AK285" t="s">
        <v>46</v>
      </c>
      <c r="AL285" s="1">
        <v>45026.619675925926</v>
      </c>
      <c r="AM285" t="s">
        <v>44</v>
      </c>
    </row>
    <row r="286" spans="1:39" x14ac:dyDescent="0.2">
      <c r="A286" t="s">
        <v>326</v>
      </c>
      <c r="B286" t="s">
        <v>40</v>
      </c>
      <c r="C286" t="s">
        <v>280</v>
      </c>
      <c r="D286" t="s">
        <v>42</v>
      </c>
      <c r="E286" t="s">
        <v>43</v>
      </c>
      <c r="F286" t="s">
        <v>44</v>
      </c>
      <c r="G286" t="s">
        <v>45</v>
      </c>
      <c r="AH286" t="s">
        <v>42</v>
      </c>
      <c r="AI286" t="str">
        <f>"MBTX12U"</f>
        <v>MBTX12U</v>
      </c>
      <c r="AJ286" t="str">
        <f>"MBTX12U"</f>
        <v>MBTX12U</v>
      </c>
      <c r="AK286" t="s">
        <v>46</v>
      </c>
      <c r="AL286" s="1">
        <v>44861.698865740742</v>
      </c>
      <c r="AM286" t="s">
        <v>44</v>
      </c>
    </row>
    <row r="287" spans="1:39" x14ac:dyDescent="0.2">
      <c r="A287" t="s">
        <v>326</v>
      </c>
      <c r="B287" t="s">
        <v>40</v>
      </c>
      <c r="C287" t="s">
        <v>280</v>
      </c>
      <c r="D287" t="s">
        <v>42</v>
      </c>
      <c r="E287" t="s">
        <v>43</v>
      </c>
      <c r="F287" t="s">
        <v>44</v>
      </c>
      <c r="G287" t="s">
        <v>45</v>
      </c>
      <c r="AH287" t="s">
        <v>42</v>
      </c>
      <c r="AI287" t="str">
        <f>"MB12U"</f>
        <v>MB12U</v>
      </c>
      <c r="AJ287" t="str">
        <f>"MB12U"</f>
        <v>MB12U</v>
      </c>
      <c r="AK287" t="s">
        <v>46</v>
      </c>
      <c r="AL287" s="1">
        <v>45029.653344907405</v>
      </c>
      <c r="AM287" t="s">
        <v>44</v>
      </c>
    </row>
    <row r="288" spans="1:39" x14ac:dyDescent="0.2">
      <c r="A288" t="s">
        <v>327</v>
      </c>
      <c r="B288" t="s">
        <v>40</v>
      </c>
      <c r="C288" t="s">
        <v>280</v>
      </c>
      <c r="D288" t="s">
        <v>42</v>
      </c>
      <c r="E288" t="s">
        <v>43</v>
      </c>
      <c r="F288" t="s">
        <v>44</v>
      </c>
      <c r="G288" t="s">
        <v>45</v>
      </c>
      <c r="AH288" t="s">
        <v>42</v>
      </c>
      <c r="AI288" t="str">
        <f>"YTX14-BSQS"</f>
        <v>YTX14-BSQS</v>
      </c>
      <c r="AJ288" t="str">
        <f>"YTX14-BSQS"</f>
        <v>YTX14-BSQS</v>
      </c>
      <c r="AK288" t="s">
        <v>46</v>
      </c>
      <c r="AL288" s="1">
        <v>45154.919976851852</v>
      </c>
      <c r="AM288" t="s">
        <v>44</v>
      </c>
    </row>
    <row r="289" spans="1:39" x14ac:dyDescent="0.2">
      <c r="A289" t="s">
        <v>328</v>
      </c>
      <c r="B289" t="s">
        <v>40</v>
      </c>
      <c r="C289" t="s">
        <v>280</v>
      </c>
      <c r="D289" t="s">
        <v>42</v>
      </c>
      <c r="E289" t="s">
        <v>43</v>
      </c>
      <c r="F289" t="s">
        <v>44</v>
      </c>
      <c r="G289" t="s">
        <v>45</v>
      </c>
      <c r="AH289" t="s">
        <v>42</v>
      </c>
      <c r="AI289" t="str">
        <f>"MB10U"</f>
        <v>MB10U</v>
      </c>
      <c r="AJ289" t="str">
        <f>"MB10U"</f>
        <v>MB10U</v>
      </c>
      <c r="AK289" t="s">
        <v>46</v>
      </c>
      <c r="AL289" s="1">
        <v>44816.545729166668</v>
      </c>
      <c r="AM289" t="s">
        <v>44</v>
      </c>
    </row>
    <row r="290" spans="1:39" x14ac:dyDescent="0.2">
      <c r="A290" t="s">
        <v>329</v>
      </c>
      <c r="B290" t="s">
        <v>40</v>
      </c>
      <c r="C290" t="s">
        <v>280</v>
      </c>
      <c r="D290" t="s">
        <v>42</v>
      </c>
      <c r="E290" t="s">
        <v>43</v>
      </c>
      <c r="F290" t="s">
        <v>44</v>
      </c>
      <c r="G290" t="s">
        <v>45</v>
      </c>
      <c r="AH290" t="s">
        <v>42</v>
      </c>
      <c r="AI290" t="str">
        <f>"MBTX14AU"</f>
        <v>MBTX14AU</v>
      </c>
      <c r="AJ290" t="str">
        <f>"MBTX14AU"</f>
        <v>MBTX14AU</v>
      </c>
      <c r="AK290" t="s">
        <v>46</v>
      </c>
      <c r="AL290" s="1">
        <v>44861.698483796295</v>
      </c>
      <c r="AM290" t="s">
        <v>44</v>
      </c>
    </row>
    <row r="291" spans="1:39" x14ac:dyDescent="0.2">
      <c r="A291" t="s">
        <v>329</v>
      </c>
      <c r="B291" t="s">
        <v>40</v>
      </c>
      <c r="C291" t="s">
        <v>280</v>
      </c>
      <c r="D291" t="s">
        <v>42</v>
      </c>
      <c r="E291" t="s">
        <v>43</v>
      </c>
      <c r="F291" t="s">
        <v>44</v>
      </c>
      <c r="G291" t="s">
        <v>45</v>
      </c>
      <c r="AH291" t="s">
        <v>42</v>
      </c>
      <c r="AI291" t="str">
        <f>"MBYZ16HD"</f>
        <v>MBYZ16HD</v>
      </c>
      <c r="AJ291" t="str">
        <f>"MBYZ16HD"</f>
        <v>MBYZ16HD</v>
      </c>
      <c r="AK291" t="s">
        <v>46</v>
      </c>
      <c r="AL291" s="1">
        <v>45091.760057870371</v>
      </c>
      <c r="AM291" t="s">
        <v>44</v>
      </c>
    </row>
    <row r="292" spans="1:39" x14ac:dyDescent="0.2">
      <c r="A292" t="s">
        <v>330</v>
      </c>
      <c r="B292" t="s">
        <v>40</v>
      </c>
      <c r="C292" t="s">
        <v>280</v>
      </c>
      <c r="D292" t="s">
        <v>42</v>
      </c>
      <c r="E292" t="s">
        <v>43</v>
      </c>
      <c r="F292" t="s">
        <v>44</v>
      </c>
      <c r="G292" t="s">
        <v>45</v>
      </c>
      <c r="AH292" t="s">
        <v>42</v>
      </c>
      <c r="AI292" t="str">
        <f>"MBTX16U"</f>
        <v>MBTX16U</v>
      </c>
      <c r="AJ292" t="str">
        <f>"MBTX16U"</f>
        <v>MBTX16U</v>
      </c>
      <c r="AK292" t="s">
        <v>46</v>
      </c>
      <c r="AL292" s="1">
        <v>44816.545729166668</v>
      </c>
      <c r="AM292" t="s">
        <v>44</v>
      </c>
    </row>
    <row r="293" spans="1:39" x14ac:dyDescent="0.2">
      <c r="A293" t="s">
        <v>331</v>
      </c>
      <c r="B293" t="s">
        <v>40</v>
      </c>
      <c r="C293" t="s">
        <v>280</v>
      </c>
      <c r="D293" t="s">
        <v>42</v>
      </c>
      <c r="E293" t="s">
        <v>43</v>
      </c>
      <c r="F293" t="s">
        <v>44</v>
      </c>
      <c r="G293" t="s">
        <v>45</v>
      </c>
      <c r="H293" t="s">
        <v>332</v>
      </c>
      <c r="AH293" t="s">
        <v>42</v>
      </c>
      <c r="AI293" t="str">
        <f>"YT4B-5-BS/SLA"</f>
        <v>YT4B-5-BS/SLA</v>
      </c>
      <c r="AJ293" t="str">
        <f>"YT4B-5-BS/SLA"</f>
        <v>YT4B-5-BS/SLA</v>
      </c>
      <c r="AK293" t="s">
        <v>46</v>
      </c>
      <c r="AL293" s="1">
        <v>44965.878391203703</v>
      </c>
      <c r="AM293" t="s">
        <v>44</v>
      </c>
    </row>
    <row r="294" spans="1:39" x14ac:dyDescent="0.2">
      <c r="A294" t="s">
        <v>333</v>
      </c>
      <c r="B294" t="s">
        <v>40</v>
      </c>
      <c r="C294" t="s">
        <v>280</v>
      </c>
      <c r="D294" t="s">
        <v>42</v>
      </c>
      <c r="E294" t="s">
        <v>43</v>
      </c>
      <c r="F294" t="s">
        <v>44</v>
      </c>
      <c r="G294" t="s">
        <v>45</v>
      </c>
      <c r="H294" t="s">
        <v>334</v>
      </c>
      <c r="AH294" t="s">
        <v>42</v>
      </c>
      <c r="AI294" t="str">
        <f>"YB2.5L-C-BS/DRY"</f>
        <v>YB2.5L-C-BS/DRY</v>
      </c>
      <c r="AJ294" t="str">
        <f>"YB2.5L-C-BS/DRY"</f>
        <v>YB2.5L-C-BS/DRY</v>
      </c>
      <c r="AK294" t="s">
        <v>46</v>
      </c>
      <c r="AL294" s="1">
        <v>45026.607870370368</v>
      </c>
      <c r="AM294" t="s">
        <v>44</v>
      </c>
    </row>
    <row r="295" spans="1:39" x14ac:dyDescent="0.2">
      <c r="A295" t="s">
        <v>335</v>
      </c>
      <c r="B295" t="s">
        <v>40</v>
      </c>
      <c r="C295" t="s">
        <v>280</v>
      </c>
      <c r="D295" t="s">
        <v>42</v>
      </c>
      <c r="E295" t="s">
        <v>43</v>
      </c>
      <c r="F295" t="s">
        <v>44</v>
      </c>
      <c r="G295" t="s">
        <v>45</v>
      </c>
      <c r="AH295" t="s">
        <v>42</v>
      </c>
      <c r="AI295" t="str">
        <f>"MB16U"</f>
        <v>MB16U</v>
      </c>
      <c r="AJ295" t="str">
        <f>"MB16U"</f>
        <v>MB16U</v>
      </c>
      <c r="AK295" t="s">
        <v>46</v>
      </c>
      <c r="AL295" s="1">
        <v>45091.764641203707</v>
      </c>
      <c r="AM295" t="s">
        <v>44</v>
      </c>
    </row>
    <row r="296" spans="1:39" x14ac:dyDescent="0.2">
      <c r="A296" t="s">
        <v>336</v>
      </c>
      <c r="B296" t="s">
        <v>40</v>
      </c>
      <c r="C296" t="s">
        <v>280</v>
      </c>
      <c r="D296" t="s">
        <v>42</v>
      </c>
      <c r="E296" t="s">
        <v>43</v>
      </c>
      <c r="F296" t="s">
        <v>44</v>
      </c>
      <c r="G296" t="s">
        <v>45</v>
      </c>
      <c r="AH296" t="s">
        <v>42</v>
      </c>
      <c r="AI296" t="str">
        <f>"MB16AU"</f>
        <v>MB16AU</v>
      </c>
      <c r="AJ296" t="str">
        <f>"MB16AU"</f>
        <v>MB16AU</v>
      </c>
      <c r="AK296" t="s">
        <v>46</v>
      </c>
      <c r="AL296" s="1">
        <v>45091.766111111108</v>
      </c>
      <c r="AM296" t="s">
        <v>44</v>
      </c>
    </row>
    <row r="297" spans="1:39" x14ac:dyDescent="0.2">
      <c r="A297" t="s">
        <v>337</v>
      </c>
      <c r="B297" t="s">
        <v>40</v>
      </c>
      <c r="C297" t="s">
        <v>280</v>
      </c>
      <c r="D297" t="s">
        <v>42</v>
      </c>
      <c r="E297" t="s">
        <v>43</v>
      </c>
      <c r="F297" t="s">
        <v>44</v>
      </c>
      <c r="G297" t="s">
        <v>45</v>
      </c>
      <c r="AH297" t="s">
        <v>42</v>
      </c>
      <c r="AI297" t="str">
        <f>"MBTX20UHD"</f>
        <v>MBTX20UHD</v>
      </c>
      <c r="AJ297" t="str">
        <f>"MBTX20UHD"</f>
        <v>MBTX20UHD</v>
      </c>
      <c r="AK297" t="s">
        <v>46</v>
      </c>
      <c r="AL297" s="1">
        <v>44816.545740740738</v>
      </c>
      <c r="AM297" t="s">
        <v>44</v>
      </c>
    </row>
    <row r="298" spans="1:39" x14ac:dyDescent="0.2">
      <c r="A298" t="s">
        <v>338</v>
      </c>
      <c r="B298" t="s">
        <v>40</v>
      </c>
      <c r="C298" t="s">
        <v>280</v>
      </c>
      <c r="D298" t="s">
        <v>42</v>
      </c>
      <c r="E298" t="s">
        <v>43</v>
      </c>
      <c r="F298" t="s">
        <v>44</v>
      </c>
      <c r="G298" t="s">
        <v>45</v>
      </c>
      <c r="AH298" t="s">
        <v>42</v>
      </c>
      <c r="AI298" t="str">
        <f>"MB51814"</f>
        <v>MB51814</v>
      </c>
      <c r="AJ298" t="str">
        <f>"MB51814"</f>
        <v>MB51814</v>
      </c>
      <c r="AK298" t="s">
        <v>46</v>
      </c>
      <c r="AL298" s="1">
        <v>44816.545740740738</v>
      </c>
      <c r="AM298" t="s">
        <v>44</v>
      </c>
    </row>
    <row r="299" spans="1:39" x14ac:dyDescent="0.2">
      <c r="A299" t="s">
        <v>339</v>
      </c>
      <c r="B299" t="s">
        <v>40</v>
      </c>
      <c r="C299" t="s">
        <v>280</v>
      </c>
      <c r="D299" t="s">
        <v>42</v>
      </c>
      <c r="E299" t="s">
        <v>43</v>
      </c>
      <c r="F299" t="s">
        <v>44</v>
      </c>
      <c r="G299" t="s">
        <v>45</v>
      </c>
      <c r="AH299" t="s">
        <v>42</v>
      </c>
      <c r="AI299" t="str">
        <f>"66298794161780"</f>
        <v>66298794161780</v>
      </c>
      <c r="AJ299" t="str">
        <f>"YTX4L-BSQS"</f>
        <v>YTX4L-BSQS</v>
      </c>
      <c r="AK299" t="s">
        <v>46</v>
      </c>
      <c r="AL299" s="1">
        <v>44816.545613425929</v>
      </c>
      <c r="AM299" t="s">
        <v>44</v>
      </c>
    </row>
    <row r="300" spans="1:39" x14ac:dyDescent="0.2">
      <c r="A300" t="s">
        <v>340</v>
      </c>
      <c r="B300" t="s">
        <v>40</v>
      </c>
      <c r="C300" t="s">
        <v>280</v>
      </c>
      <c r="D300" t="s">
        <v>42</v>
      </c>
      <c r="E300" t="s">
        <v>43</v>
      </c>
      <c r="F300" t="s">
        <v>44</v>
      </c>
      <c r="G300" t="s">
        <v>45</v>
      </c>
      <c r="AH300" t="s">
        <v>42</v>
      </c>
      <c r="AI300" t="str">
        <f>"MBTX30UHD"</f>
        <v>MBTX30UHD</v>
      </c>
      <c r="AJ300" t="str">
        <f>"MBTX30UHD"</f>
        <v>MBTX30UHD</v>
      </c>
      <c r="AK300" t="s">
        <v>46</v>
      </c>
      <c r="AL300" s="1">
        <v>44816.545752314814</v>
      </c>
      <c r="AM300" t="s">
        <v>44</v>
      </c>
    </row>
    <row r="301" spans="1:39" x14ac:dyDescent="0.2">
      <c r="A301" t="s">
        <v>340</v>
      </c>
      <c r="B301" t="s">
        <v>40</v>
      </c>
      <c r="C301" t="s">
        <v>280</v>
      </c>
      <c r="D301" t="s">
        <v>42</v>
      </c>
      <c r="E301" t="s">
        <v>43</v>
      </c>
      <c r="F301" t="s">
        <v>44</v>
      </c>
      <c r="G301" t="s">
        <v>45</v>
      </c>
      <c r="AH301" t="s">
        <v>42</v>
      </c>
      <c r="AI301" t="str">
        <f>"MBTX30U"</f>
        <v>MBTX30U</v>
      </c>
      <c r="AJ301" t="str">
        <f>"MBTX30U"</f>
        <v>MBTX30U</v>
      </c>
      <c r="AK301" t="s">
        <v>46</v>
      </c>
      <c r="AL301" s="1">
        <v>45091.761701388888</v>
      </c>
      <c r="AM301" t="s">
        <v>44</v>
      </c>
    </row>
    <row r="302" spans="1:39" x14ac:dyDescent="0.2">
      <c r="A302" t="s">
        <v>341</v>
      </c>
      <c r="B302" t="s">
        <v>40</v>
      </c>
      <c r="C302" t="s">
        <v>280</v>
      </c>
      <c r="D302" t="s">
        <v>42</v>
      </c>
      <c r="E302" t="s">
        <v>43</v>
      </c>
      <c r="F302" t="s">
        <v>44</v>
      </c>
      <c r="G302" t="s">
        <v>45</v>
      </c>
      <c r="H302" t="s">
        <v>342</v>
      </c>
      <c r="AH302" t="s">
        <v>42</v>
      </c>
      <c r="AI302" t="str">
        <f>"YTX5L-BS/MF"</f>
        <v>YTX5L-BS/MF</v>
      </c>
      <c r="AJ302" t="str">
        <f>"YTX5L-BS/MF"</f>
        <v>YTX5L-BS/MF</v>
      </c>
      <c r="AK302" t="s">
        <v>46</v>
      </c>
      <c r="AL302" s="1">
        <v>44880.558078703703</v>
      </c>
      <c r="AM302" t="s">
        <v>44</v>
      </c>
    </row>
    <row r="303" spans="1:39" x14ac:dyDescent="0.2">
      <c r="A303" t="s">
        <v>341</v>
      </c>
      <c r="B303" t="s">
        <v>40</v>
      </c>
      <c r="C303" t="s">
        <v>280</v>
      </c>
      <c r="D303" t="s">
        <v>42</v>
      </c>
      <c r="E303" t="s">
        <v>43</v>
      </c>
      <c r="F303" t="s">
        <v>44</v>
      </c>
      <c r="G303" t="s">
        <v>45</v>
      </c>
      <c r="H303" t="s">
        <v>343</v>
      </c>
      <c r="AH303" t="s">
        <v>42</v>
      </c>
      <c r="AI303" t="str">
        <f>"YTX4L-BS/SLA"</f>
        <v>YTX4L-BS/SLA</v>
      </c>
      <c r="AJ303" t="str">
        <f>"YTX4L-BS/SLA"</f>
        <v>YTX4L-BS/SLA</v>
      </c>
      <c r="AK303" t="s">
        <v>46</v>
      </c>
      <c r="AL303" s="1">
        <v>45026.62090277778</v>
      </c>
      <c r="AM303" t="s">
        <v>44</v>
      </c>
    </row>
    <row r="304" spans="1:39" x14ac:dyDescent="0.2">
      <c r="A304" t="s">
        <v>344</v>
      </c>
      <c r="B304" t="s">
        <v>40</v>
      </c>
      <c r="C304" t="s">
        <v>280</v>
      </c>
      <c r="D304" t="s">
        <v>42</v>
      </c>
      <c r="E304" t="s">
        <v>43</v>
      </c>
      <c r="F304" t="s">
        <v>44</v>
      </c>
      <c r="G304" t="s">
        <v>45</v>
      </c>
      <c r="AH304" t="s">
        <v>42</v>
      </c>
      <c r="AI304" t="str">
        <f>"YTX4L-BSHQ"</f>
        <v>YTX4L-BSHQ</v>
      </c>
      <c r="AJ304" t="str">
        <f>"YTX4L-BSHQ"</f>
        <v>YTX4L-BSHQ</v>
      </c>
      <c r="AK304" t="s">
        <v>46</v>
      </c>
      <c r="AL304" s="1">
        <v>44858.659837962965</v>
      </c>
      <c r="AM304" t="s">
        <v>44</v>
      </c>
    </row>
    <row r="305" spans="1:39" x14ac:dyDescent="0.2">
      <c r="A305" t="s">
        <v>345</v>
      </c>
      <c r="B305" t="s">
        <v>40</v>
      </c>
      <c r="C305" t="s">
        <v>280</v>
      </c>
      <c r="D305" t="s">
        <v>42</v>
      </c>
      <c r="E305" t="s">
        <v>43</v>
      </c>
      <c r="F305" t="s">
        <v>44</v>
      </c>
      <c r="G305" t="s">
        <v>45</v>
      </c>
      <c r="AH305" t="s">
        <v>42</v>
      </c>
      <c r="AI305" t="str">
        <f>"MBTX4U"</f>
        <v>MBTX4U</v>
      </c>
      <c r="AJ305" t="str">
        <f>"MBTX4U"</f>
        <v>MBTX4U</v>
      </c>
      <c r="AK305" t="s">
        <v>46</v>
      </c>
      <c r="AL305" s="1">
        <v>44816.545624999999</v>
      </c>
      <c r="AM305" t="s">
        <v>44</v>
      </c>
    </row>
    <row r="306" spans="1:39" x14ac:dyDescent="0.2">
      <c r="A306" t="s">
        <v>346</v>
      </c>
      <c r="B306" t="s">
        <v>40</v>
      </c>
      <c r="C306" t="s">
        <v>280</v>
      </c>
      <c r="D306" t="s">
        <v>42</v>
      </c>
      <c r="E306" t="s">
        <v>43</v>
      </c>
      <c r="F306" t="s">
        <v>44</v>
      </c>
      <c r="G306" t="s">
        <v>45</v>
      </c>
      <c r="H306" t="s">
        <v>347</v>
      </c>
      <c r="AH306" t="s">
        <v>42</v>
      </c>
      <c r="AI306" t="str">
        <f>"YB5L-B-BS/SLA"</f>
        <v>YB5L-B-BS/SLA</v>
      </c>
      <c r="AJ306" t="str">
        <f>"YB5L-B-BS/SLA"</f>
        <v>YB5L-B-BS/SLA</v>
      </c>
      <c r="AK306" t="s">
        <v>46</v>
      </c>
      <c r="AL306" s="1">
        <v>44965.877500000002</v>
      </c>
      <c r="AM306" t="s">
        <v>44</v>
      </c>
    </row>
    <row r="307" spans="1:39" x14ac:dyDescent="0.2">
      <c r="A307" t="s">
        <v>346</v>
      </c>
      <c r="B307" t="s">
        <v>40</v>
      </c>
      <c r="C307" t="s">
        <v>280</v>
      </c>
      <c r="D307" t="s">
        <v>42</v>
      </c>
      <c r="E307" t="s">
        <v>43</v>
      </c>
      <c r="F307" t="s">
        <v>44</v>
      </c>
      <c r="G307" t="s">
        <v>45</v>
      </c>
      <c r="H307" t="s">
        <v>348</v>
      </c>
      <c r="AH307" t="s">
        <v>42</v>
      </c>
      <c r="AI307" t="str">
        <f>"YTX5L-BS/SLA"</f>
        <v>YTX5L-BS/SLA</v>
      </c>
      <c r="AJ307" t="str">
        <f>"YTX5L-BS/SLA"</f>
        <v>YTX5L-BS/SLA</v>
      </c>
      <c r="AK307" t="s">
        <v>46</v>
      </c>
      <c r="AL307" s="1">
        <v>45166.716574074075</v>
      </c>
      <c r="AM307" t="s">
        <v>44</v>
      </c>
    </row>
    <row r="308" spans="1:39" x14ac:dyDescent="0.2">
      <c r="A308" t="s">
        <v>349</v>
      </c>
      <c r="B308" t="s">
        <v>40</v>
      </c>
      <c r="C308" t="s">
        <v>280</v>
      </c>
      <c r="D308" t="s">
        <v>42</v>
      </c>
      <c r="E308" t="s">
        <v>43</v>
      </c>
      <c r="F308" t="s">
        <v>44</v>
      </c>
      <c r="G308" t="s">
        <v>45</v>
      </c>
      <c r="AH308" t="s">
        <v>42</v>
      </c>
      <c r="AI308" t="str">
        <f>"66298794375930"</f>
        <v>66298794375930</v>
      </c>
      <c r="AJ308" t="str">
        <f>"YTX5L-BSQS"</f>
        <v>YTX5L-BSQS</v>
      </c>
      <c r="AK308" t="s">
        <v>46</v>
      </c>
      <c r="AL308" s="1">
        <v>44816.545636574076</v>
      </c>
      <c r="AM308" t="s">
        <v>44</v>
      </c>
    </row>
    <row r="309" spans="1:39" x14ac:dyDescent="0.2">
      <c r="A309" t="s">
        <v>350</v>
      </c>
      <c r="B309" t="s">
        <v>40</v>
      </c>
      <c r="C309" t="s">
        <v>280</v>
      </c>
      <c r="D309" t="s">
        <v>42</v>
      </c>
      <c r="E309" t="s">
        <v>43</v>
      </c>
      <c r="F309" t="s">
        <v>44</v>
      </c>
      <c r="G309" t="s">
        <v>45</v>
      </c>
      <c r="AH309" t="s">
        <v>42</v>
      </c>
      <c r="AI309" t="str">
        <f>"YTX5L-GEL-BSMZ"</f>
        <v>YTX5L-GEL-BSMZ</v>
      </c>
      <c r="AJ309" t="str">
        <f>"YTX5L-GEL-BSMZ"</f>
        <v>YTX5L-GEL-BSMZ</v>
      </c>
      <c r="AK309" t="s">
        <v>46</v>
      </c>
      <c r="AL309" s="1">
        <v>44942.590636574074</v>
      </c>
      <c r="AM309" t="s">
        <v>44</v>
      </c>
    </row>
    <row r="310" spans="1:39" x14ac:dyDescent="0.2">
      <c r="A310" t="s">
        <v>351</v>
      </c>
      <c r="B310" t="s">
        <v>40</v>
      </c>
      <c r="C310" t="s">
        <v>280</v>
      </c>
      <c r="D310" t="s">
        <v>42</v>
      </c>
      <c r="E310" t="s">
        <v>43</v>
      </c>
      <c r="F310" t="s">
        <v>44</v>
      </c>
      <c r="G310" t="s">
        <v>45</v>
      </c>
      <c r="H310" t="s">
        <v>352</v>
      </c>
      <c r="AH310" t="s">
        <v>42</v>
      </c>
      <c r="AI310" t="str">
        <f>"YTX7L-BS/SLA"</f>
        <v>YTX7L-BS/SLA</v>
      </c>
      <c r="AJ310" t="str">
        <f>"YTX7L-BS/SLA"</f>
        <v>YTX7L-BS/SLA</v>
      </c>
      <c r="AK310" t="s">
        <v>46</v>
      </c>
      <c r="AL310" s="1">
        <v>44895.863194444442</v>
      </c>
      <c r="AM310" t="s">
        <v>44</v>
      </c>
    </row>
    <row r="311" spans="1:39" x14ac:dyDescent="0.2">
      <c r="A311" t="s">
        <v>351</v>
      </c>
      <c r="B311" t="s">
        <v>40</v>
      </c>
      <c r="C311" t="s">
        <v>280</v>
      </c>
      <c r="D311" t="s">
        <v>42</v>
      </c>
      <c r="E311" t="s">
        <v>43</v>
      </c>
      <c r="F311" t="s">
        <v>44</v>
      </c>
      <c r="G311" t="s">
        <v>45</v>
      </c>
      <c r="H311" t="s">
        <v>353</v>
      </c>
      <c r="AH311" t="s">
        <v>42</v>
      </c>
      <c r="AI311" t="str">
        <f>"YTX7A-BS/SLA"</f>
        <v>YTX7A-BS/SLA</v>
      </c>
      <c r="AJ311" t="str">
        <f>"YTX7A-BS/SLA"</f>
        <v>YTX7A-BS/SLA</v>
      </c>
      <c r="AK311" t="s">
        <v>46</v>
      </c>
      <c r="AL311" s="1">
        <v>44965.875625000001</v>
      </c>
      <c r="AM311" t="s">
        <v>44</v>
      </c>
    </row>
    <row r="312" spans="1:39" x14ac:dyDescent="0.2">
      <c r="A312" t="s">
        <v>351</v>
      </c>
      <c r="B312" t="s">
        <v>40</v>
      </c>
      <c r="C312" t="s">
        <v>280</v>
      </c>
      <c r="D312" t="s">
        <v>42</v>
      </c>
      <c r="E312" t="s">
        <v>43</v>
      </c>
      <c r="F312" t="s">
        <v>44</v>
      </c>
      <c r="G312" t="s">
        <v>45</v>
      </c>
      <c r="H312" t="s">
        <v>354</v>
      </c>
      <c r="AH312" t="s">
        <v>42</v>
      </c>
      <c r="AI312" t="str">
        <f>"YTZ7S-BS/SLA"</f>
        <v>YTZ7S-BS/SLA</v>
      </c>
      <c r="AJ312" t="str">
        <f>"YTZ7S-BS/SLA"</f>
        <v>YTZ7S-BS/SLA</v>
      </c>
      <c r="AK312" t="s">
        <v>46</v>
      </c>
      <c r="AL312" s="1">
        <v>44965.872789351852</v>
      </c>
      <c r="AM312" t="s">
        <v>44</v>
      </c>
    </row>
    <row r="313" spans="1:39" x14ac:dyDescent="0.2">
      <c r="A313" t="s">
        <v>355</v>
      </c>
      <c r="B313" t="s">
        <v>40</v>
      </c>
      <c r="C313" t="s">
        <v>280</v>
      </c>
      <c r="D313" t="s">
        <v>42</v>
      </c>
      <c r="E313" t="s">
        <v>43</v>
      </c>
      <c r="F313" t="s">
        <v>44</v>
      </c>
      <c r="G313" t="s">
        <v>45</v>
      </c>
      <c r="AH313" t="s">
        <v>42</v>
      </c>
      <c r="AI313" t="str">
        <f>"YTX7A-BS-KAGE"</f>
        <v>YTX7A-BS-KAGE</v>
      </c>
      <c r="AJ313" t="str">
        <f>"YTX7A-BS-KAGE"</f>
        <v>YTX7A-BS-KAGE</v>
      </c>
      <c r="AK313" t="s">
        <v>46</v>
      </c>
      <c r="AL313" s="1">
        <v>45086.712511574071</v>
      </c>
      <c r="AM313" t="s">
        <v>44</v>
      </c>
    </row>
    <row r="314" spans="1:39" x14ac:dyDescent="0.2">
      <c r="A314" t="s">
        <v>355</v>
      </c>
      <c r="B314" t="s">
        <v>40</v>
      </c>
      <c r="C314" t="s">
        <v>280</v>
      </c>
      <c r="D314" t="s">
        <v>42</v>
      </c>
      <c r="E314" t="s">
        <v>43</v>
      </c>
      <c r="F314" t="s">
        <v>44</v>
      </c>
      <c r="G314" t="s">
        <v>45</v>
      </c>
      <c r="AH314" t="s">
        <v>42</v>
      </c>
      <c r="AI314" t="str">
        <f>"YTX7L-BS-KAGE"</f>
        <v>YTX7L-BS-KAGE</v>
      </c>
      <c r="AJ314" t="str">
        <f>"YTX7L-BS-KAGE"</f>
        <v>YTX7L-BS-KAGE</v>
      </c>
      <c r="AK314" t="s">
        <v>46</v>
      </c>
      <c r="AL314" s="1">
        <v>45086.713599537034</v>
      </c>
      <c r="AM314" t="s">
        <v>44</v>
      </c>
    </row>
    <row r="315" spans="1:39" x14ac:dyDescent="0.2">
      <c r="A315" t="s">
        <v>356</v>
      </c>
      <c r="B315" t="s">
        <v>40</v>
      </c>
      <c r="C315" t="s">
        <v>280</v>
      </c>
      <c r="D315" t="s">
        <v>42</v>
      </c>
      <c r="E315" t="s">
        <v>43</v>
      </c>
      <c r="F315" t="s">
        <v>44</v>
      </c>
      <c r="G315" t="s">
        <v>45</v>
      </c>
      <c r="H315" t="s">
        <v>357</v>
      </c>
      <c r="AH315" t="s">
        <v>42</v>
      </c>
      <c r="AI315" t="str">
        <f>"YT7B-4-BS/SLA"</f>
        <v>YT7B-4-BS/SLA</v>
      </c>
      <c r="AJ315" t="str">
        <f>"YT7B-4-BS/SLA"</f>
        <v>YT7B-4-BS/SLA</v>
      </c>
      <c r="AK315" t="s">
        <v>46</v>
      </c>
      <c r="AL315" s="1">
        <v>44965.880335648151</v>
      </c>
      <c r="AM315" t="s">
        <v>44</v>
      </c>
    </row>
    <row r="316" spans="1:39" x14ac:dyDescent="0.2">
      <c r="A316" t="s">
        <v>356</v>
      </c>
      <c r="B316" t="s">
        <v>40</v>
      </c>
      <c r="C316" t="s">
        <v>280</v>
      </c>
      <c r="D316" t="s">
        <v>42</v>
      </c>
      <c r="E316" t="s">
        <v>43</v>
      </c>
      <c r="F316" t="s">
        <v>44</v>
      </c>
      <c r="G316" t="s">
        <v>45</v>
      </c>
      <c r="H316" t="s">
        <v>358</v>
      </c>
      <c r="AH316" t="s">
        <v>42</v>
      </c>
      <c r="AI316" t="str">
        <f>"YTX6.5L-BS/SLA"</f>
        <v>YTX6.5L-BS/SLA</v>
      </c>
      <c r="AJ316" t="str">
        <f>"YTX6.5L-BS/SLA"</f>
        <v>YTX6.5L-BS/SLA</v>
      </c>
      <c r="AK316" t="s">
        <v>46</v>
      </c>
      <c r="AL316" s="1">
        <v>44965.881828703707</v>
      </c>
      <c r="AM316" t="s">
        <v>44</v>
      </c>
    </row>
    <row r="317" spans="1:39" x14ac:dyDescent="0.2">
      <c r="A317" t="s">
        <v>359</v>
      </c>
      <c r="B317" t="s">
        <v>40</v>
      </c>
      <c r="C317" t="s">
        <v>280</v>
      </c>
      <c r="D317" t="s">
        <v>42</v>
      </c>
      <c r="E317" t="s">
        <v>43</v>
      </c>
      <c r="F317" t="s">
        <v>44</v>
      </c>
      <c r="G317" t="s">
        <v>45</v>
      </c>
      <c r="AH317" t="s">
        <v>42</v>
      </c>
      <c r="AI317" t="str">
        <f>"MBTZ7S"</f>
        <v>MBTZ7S</v>
      </c>
      <c r="AJ317" t="str">
        <f>"MBTZ7S"</f>
        <v>MBTZ7S</v>
      </c>
      <c r="AK317" t="s">
        <v>46</v>
      </c>
      <c r="AL317" s="1">
        <v>44861.697546296295</v>
      </c>
      <c r="AM317" t="s">
        <v>44</v>
      </c>
    </row>
    <row r="318" spans="1:39" x14ac:dyDescent="0.2">
      <c r="A318" t="s">
        <v>359</v>
      </c>
      <c r="B318" t="s">
        <v>40</v>
      </c>
      <c r="C318" t="s">
        <v>280</v>
      </c>
      <c r="D318" t="s">
        <v>42</v>
      </c>
      <c r="E318" t="s">
        <v>43</v>
      </c>
      <c r="F318" t="s">
        <v>44</v>
      </c>
      <c r="G318" t="s">
        <v>45</v>
      </c>
      <c r="AH318" t="s">
        <v>42</v>
      </c>
      <c r="AI318" t="str">
        <f>"MB7U"</f>
        <v>MB7U</v>
      </c>
      <c r="AJ318" t="str">
        <f>"MB7U"</f>
        <v>MB7U</v>
      </c>
      <c r="AK318" t="s">
        <v>46</v>
      </c>
      <c r="AL318" s="1">
        <v>45070.590486111112</v>
      </c>
      <c r="AM318" t="s">
        <v>44</v>
      </c>
    </row>
    <row r="319" spans="1:39" x14ac:dyDescent="0.2">
      <c r="A319" t="s">
        <v>360</v>
      </c>
      <c r="B319" t="s">
        <v>40</v>
      </c>
      <c r="C319" t="s">
        <v>280</v>
      </c>
      <c r="D319" t="s">
        <v>42</v>
      </c>
      <c r="E319" t="s">
        <v>43</v>
      </c>
      <c r="F319" t="s">
        <v>44</v>
      </c>
      <c r="G319" t="s">
        <v>45</v>
      </c>
      <c r="AH319" t="s">
        <v>42</v>
      </c>
      <c r="AI319" t="str">
        <f>"12N6.5-BSHQ"</f>
        <v>12N6.5-BSHQ</v>
      </c>
      <c r="AJ319" t="str">
        <f>"12N6.5-BSHQ"</f>
        <v>12N6.5-BSHQ</v>
      </c>
      <c r="AK319" t="s">
        <v>46</v>
      </c>
      <c r="AL319" s="1">
        <v>44858.662349537037</v>
      </c>
      <c r="AM319" t="s">
        <v>44</v>
      </c>
    </row>
    <row r="320" spans="1:39" x14ac:dyDescent="0.2">
      <c r="A320" t="s">
        <v>361</v>
      </c>
      <c r="B320" t="s">
        <v>40</v>
      </c>
      <c r="C320" t="s">
        <v>280</v>
      </c>
      <c r="D320" t="s">
        <v>42</v>
      </c>
      <c r="E320" t="s">
        <v>43</v>
      </c>
      <c r="F320" t="s">
        <v>44</v>
      </c>
      <c r="G320" t="s">
        <v>45</v>
      </c>
      <c r="H320" t="s">
        <v>362</v>
      </c>
      <c r="AH320" t="s">
        <v>42</v>
      </c>
      <c r="AI320" t="str">
        <f>"12N7A-3A-BS/DRY"</f>
        <v>12N7A-3A-BS/DRY</v>
      </c>
      <c r="AJ320" t="str">
        <f>"12N7A-3A-BS/DRY"</f>
        <v>12N7A-3A-BS/DRY</v>
      </c>
      <c r="AK320" t="s">
        <v>46</v>
      </c>
      <c r="AL320" s="1">
        <v>45026.615023148152</v>
      </c>
      <c r="AM320" t="s">
        <v>44</v>
      </c>
    </row>
    <row r="321" spans="1:39" x14ac:dyDescent="0.2">
      <c r="A321" t="s">
        <v>361</v>
      </c>
      <c r="B321" t="s">
        <v>40</v>
      </c>
      <c r="C321" t="s">
        <v>280</v>
      </c>
      <c r="D321" t="s">
        <v>42</v>
      </c>
      <c r="E321" t="s">
        <v>43</v>
      </c>
      <c r="F321" t="s">
        <v>44</v>
      </c>
      <c r="G321" t="s">
        <v>45</v>
      </c>
      <c r="H321" t="s">
        <v>363</v>
      </c>
      <c r="AH321" t="s">
        <v>42</v>
      </c>
      <c r="AI321" t="str">
        <f>"12N7-4A-BS/DRY"</f>
        <v>12N7-4A-BS/DRY</v>
      </c>
      <c r="AJ321" t="str">
        <f>"12N7-4A-BS/DRY"</f>
        <v>12N7-4A-BS/DRY</v>
      </c>
      <c r="AK321" t="s">
        <v>46</v>
      </c>
      <c r="AL321" s="1">
        <v>45026.61310185185</v>
      </c>
      <c r="AM321" t="s">
        <v>44</v>
      </c>
    </row>
    <row r="322" spans="1:39" x14ac:dyDescent="0.2">
      <c r="A322" t="s">
        <v>361</v>
      </c>
      <c r="B322" t="s">
        <v>40</v>
      </c>
      <c r="C322" t="s">
        <v>280</v>
      </c>
      <c r="D322" t="s">
        <v>42</v>
      </c>
      <c r="E322" t="s">
        <v>43</v>
      </c>
      <c r="F322" t="s">
        <v>44</v>
      </c>
      <c r="G322" t="s">
        <v>45</v>
      </c>
      <c r="H322" t="s">
        <v>364</v>
      </c>
      <c r="AH322" t="s">
        <v>42</v>
      </c>
      <c r="AI322" t="str">
        <f>"12N7-3B-BS/DRY"</f>
        <v>12N7-3B-BS/DRY</v>
      </c>
      <c r="AJ322" t="str">
        <f>"12N7-3B-BS/DRY"</f>
        <v>12N7-3B-BS/DRY</v>
      </c>
      <c r="AK322" t="s">
        <v>46</v>
      </c>
      <c r="AL322" s="1">
        <v>45026.614085648151</v>
      </c>
      <c r="AM322" t="s">
        <v>44</v>
      </c>
    </row>
    <row r="323" spans="1:39" x14ac:dyDescent="0.2">
      <c r="A323" t="s">
        <v>361</v>
      </c>
      <c r="B323" t="s">
        <v>40</v>
      </c>
      <c r="C323" t="s">
        <v>280</v>
      </c>
      <c r="D323" t="s">
        <v>42</v>
      </c>
      <c r="E323" t="s">
        <v>43</v>
      </c>
      <c r="F323" t="s">
        <v>44</v>
      </c>
      <c r="G323" t="s">
        <v>45</v>
      </c>
      <c r="H323" t="s">
        <v>365</v>
      </c>
      <c r="AH323" t="s">
        <v>42</v>
      </c>
      <c r="AI323" t="str">
        <f>"YB7B-B-BS/DRY"</f>
        <v>YB7B-B-BS/DRY</v>
      </c>
      <c r="AJ323" t="str">
        <f>"YB7B-B-BS/DRY"</f>
        <v>YB7B-B-BS/DRY</v>
      </c>
      <c r="AK323" t="s">
        <v>46</v>
      </c>
      <c r="AL323" s="1">
        <v>45026.608935185184</v>
      </c>
      <c r="AM323" t="s">
        <v>44</v>
      </c>
    </row>
    <row r="324" spans="1:39" x14ac:dyDescent="0.2">
      <c r="A324" t="s">
        <v>361</v>
      </c>
      <c r="B324" t="s">
        <v>40</v>
      </c>
      <c r="C324" t="s">
        <v>280</v>
      </c>
      <c r="D324" t="s">
        <v>42</v>
      </c>
      <c r="E324" t="s">
        <v>43</v>
      </c>
      <c r="F324" t="s">
        <v>44</v>
      </c>
      <c r="G324" t="s">
        <v>45</v>
      </c>
      <c r="H324" t="s">
        <v>366</v>
      </c>
      <c r="AH324" t="s">
        <v>42</v>
      </c>
      <c r="AI324" t="str">
        <f>"YTZ8V-BS/SLA"</f>
        <v>YTZ8V-BS/SLA</v>
      </c>
      <c r="AJ324" t="str">
        <f>"YTZ8V-BS/SLA"</f>
        <v>YTZ8V-BS/SLA</v>
      </c>
      <c r="AK324" t="s">
        <v>46</v>
      </c>
      <c r="AL324" s="1">
        <v>44880.558842592596</v>
      </c>
      <c r="AM324" t="s">
        <v>44</v>
      </c>
    </row>
    <row r="325" spans="1:39" x14ac:dyDescent="0.2">
      <c r="A325" t="s">
        <v>367</v>
      </c>
      <c r="B325" t="s">
        <v>40</v>
      </c>
      <c r="C325" t="s">
        <v>280</v>
      </c>
      <c r="D325" t="s">
        <v>42</v>
      </c>
      <c r="E325" t="s">
        <v>43</v>
      </c>
      <c r="F325" t="s">
        <v>44</v>
      </c>
      <c r="G325" t="s">
        <v>45</v>
      </c>
      <c r="AH325" t="s">
        <v>42</v>
      </c>
      <c r="AI325" t="str">
        <f>"MB5U"</f>
        <v>MB5U</v>
      </c>
      <c r="AJ325" t="str">
        <f>"MB5U"</f>
        <v>MB5U</v>
      </c>
      <c r="AK325" t="s">
        <v>46</v>
      </c>
      <c r="AL325" s="1">
        <v>45091.762997685182</v>
      </c>
      <c r="AM325" t="s">
        <v>44</v>
      </c>
    </row>
    <row r="326" spans="1:39" x14ac:dyDescent="0.2">
      <c r="A326" t="s">
        <v>367</v>
      </c>
      <c r="B326" t="s">
        <v>40</v>
      </c>
      <c r="C326" t="s">
        <v>280</v>
      </c>
      <c r="D326" t="s">
        <v>42</v>
      </c>
      <c r="E326" t="s">
        <v>43</v>
      </c>
      <c r="F326" t="s">
        <v>44</v>
      </c>
      <c r="G326" t="s">
        <v>45</v>
      </c>
      <c r="AH326" t="s">
        <v>42</v>
      </c>
      <c r="AI326" t="str">
        <f>"MTX7D"</f>
        <v>MTX7D</v>
      </c>
      <c r="AJ326" t="str">
        <f>"MTX7D"</f>
        <v>MTX7D</v>
      </c>
      <c r="AK326" t="s">
        <v>46</v>
      </c>
      <c r="AL326" s="1">
        <v>45163.895624999997</v>
      </c>
      <c r="AM326" t="s">
        <v>44</v>
      </c>
    </row>
    <row r="327" spans="1:39" x14ac:dyDescent="0.2">
      <c r="A327" t="s">
        <v>368</v>
      </c>
      <c r="B327" t="s">
        <v>40</v>
      </c>
      <c r="C327" t="s">
        <v>280</v>
      </c>
      <c r="D327" t="s">
        <v>42</v>
      </c>
      <c r="E327" t="s">
        <v>43</v>
      </c>
      <c r="F327" t="s">
        <v>44</v>
      </c>
      <c r="G327" t="s">
        <v>45</v>
      </c>
      <c r="AH327" t="s">
        <v>42</v>
      </c>
      <c r="AI327" t="str">
        <f>"66298794770594"</f>
        <v>66298794770594</v>
      </c>
      <c r="AJ327" t="str">
        <f>"12N7-3BSQS"</f>
        <v>12N7-3BSQS</v>
      </c>
      <c r="AK327" t="s">
        <v>46</v>
      </c>
      <c r="AL327" s="1">
        <v>44816.545682870368</v>
      </c>
      <c r="AM327" t="s">
        <v>44</v>
      </c>
    </row>
    <row r="328" spans="1:39" x14ac:dyDescent="0.2">
      <c r="A328" t="s">
        <v>368</v>
      </c>
      <c r="B328" t="s">
        <v>40</v>
      </c>
      <c r="C328" t="s">
        <v>280</v>
      </c>
      <c r="D328" t="s">
        <v>42</v>
      </c>
      <c r="E328" t="s">
        <v>43</v>
      </c>
      <c r="F328" t="s">
        <v>44</v>
      </c>
      <c r="G328" t="s">
        <v>45</v>
      </c>
      <c r="AH328" t="s">
        <v>42</v>
      </c>
      <c r="AI328" t="str">
        <f>"66298794780459"</f>
        <v>66298794780459</v>
      </c>
      <c r="AJ328" t="str">
        <f>"YTX7A-BSQS"</f>
        <v>YTX7A-BSQS</v>
      </c>
      <c r="AK328" t="s">
        <v>46</v>
      </c>
      <c r="AL328" s="1">
        <v>44816.545682870368</v>
      </c>
      <c r="AM328" t="s">
        <v>44</v>
      </c>
    </row>
    <row r="329" spans="1:39" x14ac:dyDescent="0.2">
      <c r="A329" t="s">
        <v>368</v>
      </c>
      <c r="B329" t="s">
        <v>40</v>
      </c>
      <c r="C329" t="s">
        <v>280</v>
      </c>
      <c r="D329" t="s">
        <v>42</v>
      </c>
      <c r="E329" t="s">
        <v>43</v>
      </c>
      <c r="F329" t="s">
        <v>44</v>
      </c>
      <c r="G329" t="s">
        <v>45</v>
      </c>
      <c r="AH329" t="s">
        <v>42</v>
      </c>
      <c r="AI329" t="str">
        <f>"YTX7L-BSQS"</f>
        <v>YTX7L-BSQS</v>
      </c>
      <c r="AJ329" t="str">
        <f>"YTX7L-BSQS"</f>
        <v>YTX7L-BSQS</v>
      </c>
      <c r="AK329" t="s">
        <v>46</v>
      </c>
      <c r="AL329" s="1">
        <v>45111.715173611112</v>
      </c>
      <c r="AM329" t="s">
        <v>44</v>
      </c>
    </row>
    <row r="330" spans="1:39" x14ac:dyDescent="0.2">
      <c r="A330" t="s">
        <v>368</v>
      </c>
      <c r="B330" t="s">
        <v>40</v>
      </c>
      <c r="C330" t="s">
        <v>280</v>
      </c>
      <c r="D330" t="s">
        <v>42</v>
      </c>
      <c r="E330" t="s">
        <v>43</v>
      </c>
      <c r="F330" t="s">
        <v>44</v>
      </c>
      <c r="G330" t="s">
        <v>45</v>
      </c>
      <c r="AH330" t="s">
        <v>42</v>
      </c>
      <c r="AI330" t="str">
        <f>"12N7A-3A-BSQS"</f>
        <v>12N7A-3A-BSQS</v>
      </c>
      <c r="AJ330" t="str">
        <f>"12N7A-3A-BSQS"</f>
        <v>12N7A-3A-BSQS</v>
      </c>
      <c r="AK330" t="s">
        <v>46</v>
      </c>
      <c r="AL330" s="1">
        <v>45154.917395833334</v>
      </c>
      <c r="AM330" t="s">
        <v>44</v>
      </c>
    </row>
    <row r="331" spans="1:39" x14ac:dyDescent="0.2">
      <c r="A331" t="s">
        <v>368</v>
      </c>
      <c r="B331" t="s">
        <v>40</v>
      </c>
      <c r="C331" t="s">
        <v>280</v>
      </c>
      <c r="D331" t="s">
        <v>42</v>
      </c>
      <c r="E331" t="s">
        <v>43</v>
      </c>
      <c r="F331" t="s">
        <v>44</v>
      </c>
      <c r="G331" t="s">
        <v>45</v>
      </c>
      <c r="AH331" t="s">
        <v>42</v>
      </c>
      <c r="AI331" t="str">
        <f>"12N7-4A-BSQS"</f>
        <v>12N7-4A-BSQS</v>
      </c>
      <c r="AJ331" t="str">
        <f>"12N7-4A-BSQS"</f>
        <v>12N7-4A-BSQS</v>
      </c>
      <c r="AK331" t="s">
        <v>46</v>
      </c>
      <c r="AL331" s="1">
        <v>45154.918136574073</v>
      </c>
      <c r="AM331" t="s">
        <v>44</v>
      </c>
    </row>
    <row r="332" spans="1:39" x14ac:dyDescent="0.2">
      <c r="A332" t="s">
        <v>369</v>
      </c>
      <c r="B332" t="s">
        <v>40</v>
      </c>
      <c r="C332" t="s">
        <v>280</v>
      </c>
      <c r="D332" t="s">
        <v>42</v>
      </c>
      <c r="E332" t="s">
        <v>43</v>
      </c>
      <c r="F332" t="s">
        <v>44</v>
      </c>
      <c r="G332" t="s">
        <v>45</v>
      </c>
      <c r="AH332" t="s">
        <v>42</v>
      </c>
      <c r="AI332" t="str">
        <f>"12N7A-3A-BSHQ"</f>
        <v>12N7A-3A-BSHQ</v>
      </c>
      <c r="AJ332" t="str">
        <f>"12N7A-3A-BSHQ"</f>
        <v>12N7A-3A-BSHQ</v>
      </c>
      <c r="AK332" t="s">
        <v>46</v>
      </c>
      <c r="AL332" s="1">
        <v>44881.727407407408</v>
      </c>
      <c r="AM332" t="s">
        <v>44</v>
      </c>
    </row>
    <row r="333" spans="1:39" x14ac:dyDescent="0.2">
      <c r="A333" t="s">
        <v>370</v>
      </c>
      <c r="B333" t="s">
        <v>40</v>
      </c>
      <c r="C333" t="s">
        <v>280</v>
      </c>
      <c r="D333" t="s">
        <v>42</v>
      </c>
      <c r="E333" t="s">
        <v>43</v>
      </c>
      <c r="F333" t="s">
        <v>44</v>
      </c>
      <c r="G333" t="s">
        <v>45</v>
      </c>
      <c r="AH333" t="s">
        <v>42</v>
      </c>
      <c r="AI333" t="str">
        <f>"YB7-A-BS-KAGE"</f>
        <v>YB7-A-BS-KAGE</v>
      </c>
      <c r="AJ333" t="str">
        <f>"YB7-A-BS-KAGE"</f>
        <v>YB7-A-BS-KAGE</v>
      </c>
      <c r="AK333" t="s">
        <v>46</v>
      </c>
      <c r="AL333" s="1">
        <v>45086.719421296293</v>
      </c>
      <c r="AM333" t="s">
        <v>44</v>
      </c>
    </row>
    <row r="334" spans="1:39" x14ac:dyDescent="0.2">
      <c r="A334" t="s">
        <v>370</v>
      </c>
      <c r="B334" t="s">
        <v>40</v>
      </c>
      <c r="C334" t="s">
        <v>280</v>
      </c>
      <c r="D334" t="s">
        <v>42</v>
      </c>
      <c r="E334" t="s">
        <v>43</v>
      </c>
      <c r="F334" t="s">
        <v>44</v>
      </c>
      <c r="G334" t="s">
        <v>45</v>
      </c>
      <c r="AH334" t="s">
        <v>42</v>
      </c>
      <c r="AI334" t="str">
        <f>"YB7L-B-KAGE"</f>
        <v>YB7L-B-KAGE</v>
      </c>
      <c r="AJ334" t="str">
        <f>"YB7L-B-KAGE"</f>
        <v>YB7L-B-KAGE</v>
      </c>
      <c r="AK334" t="s">
        <v>46</v>
      </c>
      <c r="AL334" s="1">
        <v>45086.722037037034</v>
      </c>
      <c r="AM334" t="s">
        <v>44</v>
      </c>
    </row>
    <row r="335" spans="1:39" x14ac:dyDescent="0.2">
      <c r="A335" t="s">
        <v>371</v>
      </c>
      <c r="B335" t="s">
        <v>40</v>
      </c>
      <c r="C335" t="s">
        <v>280</v>
      </c>
      <c r="D335" t="s">
        <v>42</v>
      </c>
      <c r="E335" t="s">
        <v>43</v>
      </c>
      <c r="F335" t="s">
        <v>44</v>
      </c>
      <c r="G335" t="s">
        <v>45</v>
      </c>
      <c r="AH335" t="s">
        <v>42</v>
      </c>
      <c r="AI335" t="str">
        <f>"YTX7L-GEL-BSMZ"</f>
        <v>YTX7L-GEL-BSMZ</v>
      </c>
      <c r="AJ335" t="str">
        <f>"YTX7L-GEL-BSMZ"</f>
        <v>YTX7L-GEL-BSMZ</v>
      </c>
      <c r="AK335" t="s">
        <v>46</v>
      </c>
      <c r="AL335" s="1">
        <v>44926.554525462961</v>
      </c>
      <c r="AM335" t="s">
        <v>44</v>
      </c>
    </row>
    <row r="336" spans="1:39" x14ac:dyDescent="0.2">
      <c r="A336" t="s">
        <v>372</v>
      </c>
      <c r="B336" t="s">
        <v>40</v>
      </c>
      <c r="C336" t="s">
        <v>280</v>
      </c>
      <c r="D336" t="s">
        <v>42</v>
      </c>
      <c r="E336" t="s">
        <v>43</v>
      </c>
      <c r="F336" t="s">
        <v>44</v>
      </c>
      <c r="G336" t="s">
        <v>45</v>
      </c>
      <c r="H336" t="s">
        <v>373</v>
      </c>
      <c r="AH336" t="s">
        <v>42</v>
      </c>
      <c r="AI336" t="str">
        <f>"YTX9-BS/MF"</f>
        <v>YTX9-BS/MF</v>
      </c>
      <c r="AJ336" t="str">
        <f>"YTX9-BS/MF"</f>
        <v>YTX9-BS/MF</v>
      </c>
      <c r="AK336" t="s">
        <v>46</v>
      </c>
      <c r="AL336" s="1">
        <v>44965.876331018517</v>
      </c>
      <c r="AM336" t="s">
        <v>44</v>
      </c>
    </row>
    <row r="337" spans="1:39" x14ac:dyDescent="0.2">
      <c r="A337" t="s">
        <v>372</v>
      </c>
      <c r="B337" t="s">
        <v>40</v>
      </c>
      <c r="C337" t="s">
        <v>280</v>
      </c>
      <c r="D337" t="s">
        <v>42</v>
      </c>
      <c r="E337" t="s">
        <v>43</v>
      </c>
      <c r="F337" t="s">
        <v>44</v>
      </c>
      <c r="G337" t="s">
        <v>45</v>
      </c>
      <c r="H337" t="s">
        <v>374</v>
      </c>
      <c r="AH337" t="s">
        <v>42</v>
      </c>
      <c r="AI337" t="str">
        <f>"YT9B-4-BS/SLA"</f>
        <v>YT9B-4-BS/SLA</v>
      </c>
      <c r="AJ337" t="str">
        <f>"YT9B-4-BS/SLA"</f>
        <v>YT9B-4-BS/SLA</v>
      </c>
      <c r="AK337" t="s">
        <v>46</v>
      </c>
      <c r="AL337" s="1">
        <v>45027.748969907407</v>
      </c>
      <c r="AM337" t="s">
        <v>44</v>
      </c>
    </row>
    <row r="338" spans="1:39" x14ac:dyDescent="0.2">
      <c r="A338" t="s">
        <v>372</v>
      </c>
      <c r="B338" t="s">
        <v>40</v>
      </c>
      <c r="C338" t="s">
        <v>280</v>
      </c>
      <c r="D338" t="s">
        <v>42</v>
      </c>
      <c r="E338" t="s">
        <v>43</v>
      </c>
      <c r="F338" t="s">
        <v>44</v>
      </c>
      <c r="G338" t="s">
        <v>45</v>
      </c>
      <c r="H338" t="s">
        <v>375</v>
      </c>
      <c r="AH338" t="s">
        <v>42</v>
      </c>
      <c r="AI338" t="str">
        <f>"YTX9-BS/SLA"</f>
        <v>YTX9-BS/SLA</v>
      </c>
      <c r="AJ338" t="str">
        <f>"YTX9-BS/SLA"</f>
        <v>YTX9-BS/SLA</v>
      </c>
      <c r="AK338" t="s">
        <v>46</v>
      </c>
      <c r="AL338" s="1">
        <v>45026.617766203701</v>
      </c>
      <c r="AM338" t="s">
        <v>44</v>
      </c>
    </row>
    <row r="339" spans="1:39" x14ac:dyDescent="0.2">
      <c r="A339" t="s">
        <v>376</v>
      </c>
      <c r="B339" t="s">
        <v>40</v>
      </c>
      <c r="C339" t="s">
        <v>280</v>
      </c>
      <c r="D339" t="s">
        <v>42</v>
      </c>
      <c r="E339" t="s">
        <v>43</v>
      </c>
      <c r="F339" t="s">
        <v>44</v>
      </c>
      <c r="G339" t="s">
        <v>45</v>
      </c>
      <c r="AH339" t="s">
        <v>42</v>
      </c>
      <c r="AI339" t="str">
        <f>"MBTX7U"</f>
        <v>MBTX7U</v>
      </c>
      <c r="AJ339" t="str">
        <f>"MBTX7U"</f>
        <v>MBTX7U</v>
      </c>
      <c r="AK339" t="s">
        <v>46</v>
      </c>
      <c r="AL339" s="1">
        <v>45091.728252314817</v>
      </c>
      <c r="AM339" t="s">
        <v>44</v>
      </c>
    </row>
    <row r="340" spans="1:39" x14ac:dyDescent="0.2">
      <c r="A340" t="s">
        <v>377</v>
      </c>
      <c r="B340" t="s">
        <v>40</v>
      </c>
      <c r="C340" t="s">
        <v>280</v>
      </c>
      <c r="D340" t="s">
        <v>42</v>
      </c>
      <c r="E340" t="s">
        <v>43</v>
      </c>
      <c r="F340" t="s">
        <v>44</v>
      </c>
      <c r="G340" t="s">
        <v>45</v>
      </c>
      <c r="AH340" t="s">
        <v>42</v>
      </c>
      <c r="AI340" t="str">
        <f>"66298794941330"</f>
        <v>66298794941330</v>
      </c>
      <c r="AJ340" t="str">
        <f>"YTX9-BSQS"</f>
        <v>YTX9-BSQS</v>
      </c>
      <c r="AK340" t="s">
        <v>46</v>
      </c>
      <c r="AL340" s="1">
        <v>44816.545706018522</v>
      </c>
      <c r="AM340" t="s">
        <v>44</v>
      </c>
    </row>
    <row r="341" spans="1:39" x14ac:dyDescent="0.2">
      <c r="A341" t="s">
        <v>378</v>
      </c>
      <c r="B341" t="s">
        <v>40</v>
      </c>
      <c r="C341" t="s">
        <v>280</v>
      </c>
      <c r="D341" t="s">
        <v>42</v>
      </c>
      <c r="E341" t="s">
        <v>43</v>
      </c>
      <c r="F341" t="s">
        <v>44</v>
      </c>
      <c r="G341" t="s">
        <v>45</v>
      </c>
      <c r="H341" t="s">
        <v>379</v>
      </c>
      <c r="AH341" t="s">
        <v>42</v>
      </c>
      <c r="AI341" t="str">
        <f>"YTZ10S-BS/SLA"</f>
        <v>YTZ10S-BS/SLA</v>
      </c>
      <c r="AJ341" t="str">
        <f>"YTZ10S-BS/SLA"</f>
        <v>YTZ10S-BS/SLA</v>
      </c>
      <c r="AK341" t="s">
        <v>46</v>
      </c>
      <c r="AL341" s="1">
        <v>44895.618703703702</v>
      </c>
      <c r="AM341" t="s">
        <v>44</v>
      </c>
    </row>
    <row r="342" spans="1:39" x14ac:dyDescent="0.2">
      <c r="A342" t="s">
        <v>380</v>
      </c>
      <c r="B342" t="s">
        <v>40</v>
      </c>
      <c r="C342" t="s">
        <v>280</v>
      </c>
      <c r="D342" t="s">
        <v>42</v>
      </c>
      <c r="E342" t="s">
        <v>43</v>
      </c>
      <c r="F342" t="s">
        <v>44</v>
      </c>
      <c r="G342" t="s">
        <v>45</v>
      </c>
      <c r="AH342" t="s">
        <v>42</v>
      </c>
      <c r="AI342" t="str">
        <f>"MBTZ10S"</f>
        <v>MBTZ10S</v>
      </c>
      <c r="AJ342" t="str">
        <f>"MBTZ10S"</f>
        <v>MBTZ10S</v>
      </c>
      <c r="AK342" t="s">
        <v>46</v>
      </c>
      <c r="AL342" s="1">
        <v>45091.733784722222</v>
      </c>
      <c r="AM342" t="s">
        <v>44</v>
      </c>
    </row>
    <row r="343" spans="1:39" x14ac:dyDescent="0.2">
      <c r="A343" t="s">
        <v>381</v>
      </c>
      <c r="B343" t="s">
        <v>40</v>
      </c>
      <c r="C343" t="s">
        <v>280</v>
      </c>
      <c r="D343" t="s">
        <v>42</v>
      </c>
      <c r="E343" t="s">
        <v>43</v>
      </c>
      <c r="F343" t="s">
        <v>44</v>
      </c>
      <c r="G343" t="s">
        <v>45</v>
      </c>
      <c r="H343" t="s">
        <v>382</v>
      </c>
      <c r="AH343" t="s">
        <v>42</v>
      </c>
      <c r="AI343" t="str">
        <f>"12N9-4B-1-BS/DRY"</f>
        <v>12N9-4B-1-BS/DRY</v>
      </c>
      <c r="AJ343" t="str">
        <f>"12N9-4B-1-BS/DRY"</f>
        <v>12N9-4B-1-BS/DRY</v>
      </c>
      <c r="AK343" t="s">
        <v>46</v>
      </c>
      <c r="AL343" s="1">
        <v>45026.615925925929</v>
      </c>
      <c r="AM343" t="s">
        <v>44</v>
      </c>
    </row>
    <row r="344" spans="1:39" x14ac:dyDescent="0.2">
      <c r="A344" t="s">
        <v>381</v>
      </c>
      <c r="B344" t="s">
        <v>40</v>
      </c>
      <c r="C344" t="s">
        <v>280</v>
      </c>
      <c r="D344" t="s">
        <v>42</v>
      </c>
      <c r="E344" t="s">
        <v>43</v>
      </c>
      <c r="F344" t="s">
        <v>44</v>
      </c>
      <c r="G344" t="s">
        <v>45</v>
      </c>
      <c r="H344" t="s">
        <v>383</v>
      </c>
      <c r="AH344" t="s">
        <v>42</v>
      </c>
      <c r="AI344" t="str">
        <f>"12N9-3B-BS/DRY"</f>
        <v>12N9-3B-BS/DRY</v>
      </c>
      <c r="AJ344" t="str">
        <f>"12N9-3B-BS/DRY"</f>
        <v>12N9-3B-BS/DRY</v>
      </c>
      <c r="AK344" t="s">
        <v>46</v>
      </c>
      <c r="AL344" s="1">
        <v>44884.573414351849</v>
      </c>
      <c r="AM344" t="s">
        <v>44</v>
      </c>
    </row>
    <row r="345" spans="1:39" x14ac:dyDescent="0.2">
      <c r="A345" t="s">
        <v>381</v>
      </c>
      <c r="B345" t="s">
        <v>40</v>
      </c>
      <c r="C345" t="s">
        <v>280</v>
      </c>
      <c r="D345" t="s">
        <v>42</v>
      </c>
      <c r="E345" t="s">
        <v>43</v>
      </c>
      <c r="F345" t="s">
        <v>44</v>
      </c>
      <c r="G345" t="s">
        <v>45</v>
      </c>
      <c r="H345" t="s">
        <v>384</v>
      </c>
      <c r="AH345" t="s">
        <v>42</v>
      </c>
      <c r="AI345" t="str">
        <f>"YT9A-BS/MF"</f>
        <v>YT9A-BS/MF</v>
      </c>
      <c r="AJ345" t="str">
        <f>"YT9A-BS/MF"</f>
        <v>YT9A-BS/MF</v>
      </c>
      <c r="AK345" t="s">
        <v>46</v>
      </c>
      <c r="AL345" s="1">
        <v>45026.618831018517</v>
      </c>
      <c r="AM345" t="s">
        <v>44</v>
      </c>
    </row>
    <row r="346" spans="1:39" x14ac:dyDescent="0.2">
      <c r="A346" t="s">
        <v>381</v>
      </c>
      <c r="B346" t="s">
        <v>40</v>
      </c>
      <c r="C346" t="s">
        <v>280</v>
      </c>
      <c r="D346" t="s">
        <v>42</v>
      </c>
      <c r="E346" t="s">
        <v>43</v>
      </c>
      <c r="F346" t="s">
        <v>44</v>
      </c>
      <c r="G346" t="s">
        <v>45</v>
      </c>
      <c r="H346" t="s">
        <v>385</v>
      </c>
      <c r="AH346" t="s">
        <v>42</v>
      </c>
      <c r="AI346" t="str">
        <f>"YB9-B-BS/SLA"</f>
        <v>YB9-B-BS/SLA</v>
      </c>
      <c r="AJ346" t="str">
        <f>"YB9-B-BS/SLA"</f>
        <v>YB9-B-BS/SLA</v>
      </c>
      <c r="AK346" t="s">
        <v>46</v>
      </c>
      <c r="AL346" s="1">
        <v>45026.612002314818</v>
      </c>
      <c r="AM346" t="s">
        <v>44</v>
      </c>
    </row>
    <row r="347" spans="1:39" x14ac:dyDescent="0.2">
      <c r="A347" t="s">
        <v>386</v>
      </c>
      <c r="B347" t="s">
        <v>40</v>
      </c>
      <c r="C347" t="s">
        <v>280</v>
      </c>
      <c r="D347" t="s">
        <v>42</v>
      </c>
      <c r="E347" t="s">
        <v>43</v>
      </c>
      <c r="F347" t="s">
        <v>44</v>
      </c>
      <c r="G347" t="s">
        <v>45</v>
      </c>
      <c r="AH347" t="s">
        <v>42</v>
      </c>
      <c r="AI347" t="str">
        <f>"MBT9B4"</f>
        <v>MBT9B4</v>
      </c>
      <c r="AJ347" t="str">
        <f>"MBT9B4"</f>
        <v>MBT9B4</v>
      </c>
      <c r="AK347" t="s">
        <v>46</v>
      </c>
      <c r="AL347" s="1">
        <v>44816.545706018522</v>
      </c>
      <c r="AM347" t="s">
        <v>44</v>
      </c>
    </row>
    <row r="348" spans="1:39" x14ac:dyDescent="0.2">
      <c r="A348" t="s">
        <v>386</v>
      </c>
      <c r="B348" t="s">
        <v>40</v>
      </c>
      <c r="C348" t="s">
        <v>280</v>
      </c>
      <c r="D348" t="s">
        <v>42</v>
      </c>
      <c r="E348" t="s">
        <v>43</v>
      </c>
      <c r="F348" t="s">
        <v>44</v>
      </c>
      <c r="G348" t="s">
        <v>45</v>
      </c>
      <c r="AH348" t="s">
        <v>42</v>
      </c>
      <c r="AI348" t="str">
        <f>"MB7BB"</f>
        <v>MB7BB</v>
      </c>
      <c r="AJ348" t="str">
        <f>"MB7BB"</f>
        <v>MB7BB</v>
      </c>
      <c r="AK348" t="s">
        <v>46</v>
      </c>
      <c r="AL348" s="1">
        <v>45091.837106481478</v>
      </c>
      <c r="AM348" t="s">
        <v>44</v>
      </c>
    </row>
    <row r="349" spans="1:39" x14ac:dyDescent="0.2">
      <c r="A349" t="s">
        <v>387</v>
      </c>
      <c r="B349" t="s">
        <v>40</v>
      </c>
      <c r="C349" t="s">
        <v>280</v>
      </c>
      <c r="D349" t="s">
        <v>42</v>
      </c>
      <c r="E349" t="s">
        <v>43</v>
      </c>
      <c r="F349" t="s">
        <v>44</v>
      </c>
      <c r="G349" t="s">
        <v>45</v>
      </c>
      <c r="AH349" t="s">
        <v>42</v>
      </c>
      <c r="AI349" t="str">
        <f>"66298795050215"</f>
        <v>66298795050215</v>
      </c>
      <c r="AJ349" t="str">
        <f>"12N9-4B-1QS"</f>
        <v>12N9-4B-1QS</v>
      </c>
      <c r="AK349" t="s">
        <v>46</v>
      </c>
      <c r="AL349" s="1">
        <v>44816.545717592591</v>
      </c>
      <c r="AM349" t="s">
        <v>44</v>
      </c>
    </row>
    <row r="350" spans="1:39" x14ac:dyDescent="0.2">
      <c r="A350" t="s">
        <v>387</v>
      </c>
      <c r="B350" t="s">
        <v>40</v>
      </c>
      <c r="C350" t="s">
        <v>280</v>
      </c>
      <c r="D350" t="s">
        <v>42</v>
      </c>
      <c r="E350" t="s">
        <v>43</v>
      </c>
      <c r="F350" t="s">
        <v>44</v>
      </c>
      <c r="G350" t="s">
        <v>45</v>
      </c>
      <c r="AH350" t="s">
        <v>42</v>
      </c>
      <c r="AI350" t="str">
        <f>"12N9-3B-BSQS"</f>
        <v>12N9-3B-BSQS</v>
      </c>
      <c r="AJ350" t="str">
        <f>"12N9-3B-BSQS"</f>
        <v>12N9-3B-BSQS</v>
      </c>
      <c r="AK350" t="s">
        <v>46</v>
      </c>
      <c r="AL350" s="1">
        <v>45154.918692129628</v>
      </c>
      <c r="AM350" t="s">
        <v>44</v>
      </c>
    </row>
    <row r="351" spans="1:39" x14ac:dyDescent="0.2">
      <c r="A351" t="s">
        <v>388</v>
      </c>
      <c r="B351" t="s">
        <v>40</v>
      </c>
      <c r="C351" t="s">
        <v>280</v>
      </c>
      <c r="D351" t="s">
        <v>42</v>
      </c>
      <c r="E351" t="s">
        <v>43</v>
      </c>
      <c r="F351" t="s">
        <v>44</v>
      </c>
      <c r="G351" t="s">
        <v>45</v>
      </c>
      <c r="AH351" t="s">
        <v>42</v>
      </c>
      <c r="AI351" t="str">
        <f>"12N9-BSHQ"</f>
        <v>12N9-BSHQ</v>
      </c>
      <c r="AJ351" t="str">
        <f>"12N9-BSHQ"</f>
        <v>12N9-BSHQ</v>
      </c>
      <c r="AK351" t="s">
        <v>46</v>
      </c>
      <c r="AL351" s="1">
        <v>44858.659085648149</v>
      </c>
      <c r="AM351" t="s">
        <v>44</v>
      </c>
    </row>
    <row r="352" spans="1:39" x14ac:dyDescent="0.2">
      <c r="A352" t="s">
        <v>389</v>
      </c>
      <c r="B352" t="s">
        <v>40</v>
      </c>
      <c r="C352" t="s">
        <v>280</v>
      </c>
      <c r="D352" t="s">
        <v>42</v>
      </c>
      <c r="E352" t="s">
        <v>43</v>
      </c>
      <c r="F352" t="s">
        <v>44</v>
      </c>
      <c r="G352" t="s">
        <v>45</v>
      </c>
      <c r="AH352" t="s">
        <v>42</v>
      </c>
      <c r="AI352" t="str">
        <f>"12N9-BSMZ"</f>
        <v>12N9-BSMZ</v>
      </c>
      <c r="AJ352" t="str">
        <f>"12N9-BSMZ"</f>
        <v>12N9-BSMZ</v>
      </c>
      <c r="AK352" t="s">
        <v>46</v>
      </c>
      <c r="AL352" s="1">
        <v>44926.573391203703</v>
      </c>
      <c r="AM352" t="s">
        <v>44</v>
      </c>
    </row>
    <row r="353" spans="1:39" x14ac:dyDescent="0.2">
      <c r="A353" t="s">
        <v>390</v>
      </c>
      <c r="B353" t="s">
        <v>40</v>
      </c>
      <c r="C353" t="s">
        <v>280</v>
      </c>
      <c r="D353" t="s">
        <v>42</v>
      </c>
      <c r="E353" t="s">
        <v>43</v>
      </c>
      <c r="F353" t="s">
        <v>44</v>
      </c>
      <c r="G353" t="s">
        <v>45</v>
      </c>
      <c r="AH353" t="s">
        <v>42</v>
      </c>
      <c r="AI353" t="str">
        <f>"6N4-2A-4-F"</f>
        <v>6N4-2A-4-F</v>
      </c>
      <c r="AJ353" t="str">
        <f>"6N4-2A-4-F"</f>
        <v>6N4-2A-4-F</v>
      </c>
      <c r="AK353" t="s">
        <v>46</v>
      </c>
      <c r="AL353" s="1">
        <v>44860.650682870371</v>
      </c>
      <c r="AM353" t="s">
        <v>44</v>
      </c>
    </row>
    <row r="354" spans="1:39" x14ac:dyDescent="0.2">
      <c r="A354" t="s">
        <v>391</v>
      </c>
      <c r="B354" t="s">
        <v>40</v>
      </c>
      <c r="C354" t="s">
        <v>392</v>
      </c>
      <c r="D354" t="s">
        <v>42</v>
      </c>
      <c r="E354" t="s">
        <v>43</v>
      </c>
      <c r="F354" t="s">
        <v>44</v>
      </c>
      <c r="G354" t="s">
        <v>45</v>
      </c>
      <c r="H354" t="s">
        <v>393</v>
      </c>
      <c r="AH354" t="s">
        <v>42</v>
      </c>
      <c r="AI354" t="str">
        <f>"400497"</f>
        <v>400497</v>
      </c>
      <c r="AJ354" t="str">
        <f>"400497"</f>
        <v>400497</v>
      </c>
      <c r="AK354" t="s">
        <v>46</v>
      </c>
      <c r="AL354" s="1">
        <v>44816.545752314814</v>
      </c>
      <c r="AM354" t="s">
        <v>44</v>
      </c>
    </row>
    <row r="355" spans="1:39" x14ac:dyDescent="0.2">
      <c r="A355" t="s">
        <v>394</v>
      </c>
      <c r="B355" t="s">
        <v>40</v>
      </c>
      <c r="C355" t="s">
        <v>392</v>
      </c>
      <c r="D355" t="s">
        <v>42</v>
      </c>
      <c r="E355" t="s">
        <v>43</v>
      </c>
      <c r="F355" t="s">
        <v>44</v>
      </c>
      <c r="G355" t="s">
        <v>45</v>
      </c>
      <c r="H355" t="s">
        <v>393</v>
      </c>
      <c r="AH355" t="s">
        <v>42</v>
      </c>
      <c r="AI355" t="str">
        <f>"400498"</f>
        <v>400498</v>
      </c>
      <c r="AJ355" t="str">
        <f>"400498"</f>
        <v>400498</v>
      </c>
      <c r="AK355" t="s">
        <v>46</v>
      </c>
      <c r="AL355" s="1">
        <v>44816.545752314814</v>
      </c>
      <c r="AM355" t="s">
        <v>44</v>
      </c>
    </row>
    <row r="356" spans="1:39" x14ac:dyDescent="0.2">
      <c r="A356" t="s">
        <v>395</v>
      </c>
      <c r="B356" t="s">
        <v>40</v>
      </c>
      <c r="C356" t="s">
        <v>392</v>
      </c>
      <c r="D356" t="s">
        <v>42</v>
      </c>
      <c r="E356" t="s">
        <v>43</v>
      </c>
      <c r="F356" t="s">
        <v>44</v>
      </c>
      <c r="G356" t="s">
        <v>45</v>
      </c>
      <c r="H356" t="s">
        <v>396</v>
      </c>
      <c r="AH356" t="s">
        <v>42</v>
      </c>
      <c r="AI356" t="str">
        <f>"400499"</f>
        <v>400499</v>
      </c>
      <c r="AJ356" t="str">
        <f>"400499"</f>
        <v>400499</v>
      </c>
      <c r="AK356" t="s">
        <v>46</v>
      </c>
      <c r="AL356" s="1">
        <v>44816.545763888891</v>
      </c>
      <c r="AM356" t="s">
        <v>44</v>
      </c>
    </row>
    <row r="357" spans="1:39" x14ac:dyDescent="0.2">
      <c r="A357" t="s">
        <v>397</v>
      </c>
      <c r="B357" t="s">
        <v>40</v>
      </c>
      <c r="C357" t="s">
        <v>392</v>
      </c>
      <c r="D357" t="s">
        <v>42</v>
      </c>
      <c r="E357" t="s">
        <v>43</v>
      </c>
      <c r="F357" t="s">
        <v>44</v>
      </c>
      <c r="G357" t="s">
        <v>45</v>
      </c>
      <c r="H357" t="s">
        <v>398</v>
      </c>
      <c r="AH357" t="s">
        <v>42</v>
      </c>
      <c r="AI357" t="str">
        <f>"66298795595403"</f>
        <v>66298795595403</v>
      </c>
      <c r="AJ357" t="str">
        <f>"400002"</f>
        <v>400002</v>
      </c>
      <c r="AK357" t="s">
        <v>46</v>
      </c>
      <c r="AL357" s="1">
        <v>44816.545775462961</v>
      </c>
      <c r="AM357" t="s">
        <v>44</v>
      </c>
    </row>
    <row r="358" spans="1:39" x14ac:dyDescent="0.2">
      <c r="A358" t="s">
        <v>399</v>
      </c>
      <c r="B358" t="s">
        <v>40</v>
      </c>
      <c r="C358" t="s">
        <v>392</v>
      </c>
      <c r="D358" t="s">
        <v>42</v>
      </c>
      <c r="E358" t="s">
        <v>43</v>
      </c>
      <c r="F358" t="s">
        <v>44</v>
      </c>
      <c r="G358" t="s">
        <v>45</v>
      </c>
      <c r="H358" t="s">
        <v>398</v>
      </c>
      <c r="AH358" t="s">
        <v>42</v>
      </c>
      <c r="AI358" t="str">
        <f>"S410210321018"</f>
        <v>S410210321018</v>
      </c>
      <c r="AJ358" t="str">
        <f>"S410210321018"</f>
        <v>S410210321018</v>
      </c>
      <c r="AK358" t="s">
        <v>46</v>
      </c>
      <c r="AL358" s="1">
        <v>44816.545775462961</v>
      </c>
      <c r="AM358" t="s">
        <v>44</v>
      </c>
    </row>
    <row r="359" spans="1:39" x14ac:dyDescent="0.2">
      <c r="A359" t="s">
        <v>400</v>
      </c>
      <c r="B359" t="s">
        <v>40</v>
      </c>
      <c r="C359" t="s">
        <v>392</v>
      </c>
      <c r="D359" t="s">
        <v>42</v>
      </c>
      <c r="E359" t="s">
        <v>43</v>
      </c>
      <c r="F359" t="s">
        <v>44</v>
      </c>
      <c r="G359" t="s">
        <v>45</v>
      </c>
      <c r="AH359" t="s">
        <v>42</v>
      </c>
      <c r="AI359" t="str">
        <f>"66298795509218"</f>
        <v>66298795509218</v>
      </c>
      <c r="AJ359" t="str">
        <f>"400001"</f>
        <v>400001</v>
      </c>
      <c r="AK359" t="s">
        <v>46</v>
      </c>
      <c r="AL359" s="1">
        <v>44816.545775462961</v>
      </c>
      <c r="AM359" t="s">
        <v>44</v>
      </c>
    </row>
    <row r="360" spans="1:39" x14ac:dyDescent="0.2">
      <c r="A360" t="s">
        <v>401</v>
      </c>
      <c r="B360" t="s">
        <v>40</v>
      </c>
      <c r="C360" t="s">
        <v>392</v>
      </c>
      <c r="D360" t="s">
        <v>42</v>
      </c>
      <c r="E360" t="s">
        <v>43</v>
      </c>
      <c r="F360" t="s">
        <v>44</v>
      </c>
      <c r="G360" t="s">
        <v>45</v>
      </c>
      <c r="H360" t="s">
        <v>402</v>
      </c>
      <c r="AH360" t="s">
        <v>42</v>
      </c>
      <c r="AI360" t="str">
        <f>"10548"</f>
        <v>10548</v>
      </c>
      <c r="AJ360" t="str">
        <f>"10548"</f>
        <v>10548</v>
      </c>
      <c r="AK360" t="s">
        <v>46</v>
      </c>
      <c r="AL360" s="1">
        <v>44816.545763888891</v>
      </c>
      <c r="AM360" t="s">
        <v>44</v>
      </c>
    </row>
    <row r="361" spans="1:39" x14ac:dyDescent="0.2">
      <c r="A361" t="s">
        <v>403</v>
      </c>
      <c r="B361" t="s">
        <v>40</v>
      </c>
      <c r="C361" t="s">
        <v>392</v>
      </c>
      <c r="D361" t="s">
        <v>42</v>
      </c>
      <c r="E361" t="s">
        <v>43</v>
      </c>
      <c r="F361" t="s">
        <v>44</v>
      </c>
      <c r="G361" t="s">
        <v>45</v>
      </c>
      <c r="H361" t="s">
        <v>404</v>
      </c>
      <c r="AH361" t="s">
        <v>42</v>
      </c>
      <c r="AI361" t="str">
        <f>"13201-KTE-900JP"</f>
        <v>13201-KTE-900JP</v>
      </c>
      <c r="AJ361" t="str">
        <f>"13201-KTE-900JP"</f>
        <v>13201-KTE-900JP</v>
      </c>
      <c r="AK361" t="s">
        <v>46</v>
      </c>
      <c r="AL361" s="1">
        <v>44816.545787037037</v>
      </c>
      <c r="AM361" t="s">
        <v>44</v>
      </c>
    </row>
    <row r="362" spans="1:39" x14ac:dyDescent="0.2">
      <c r="A362" t="s">
        <v>405</v>
      </c>
      <c r="B362" t="s">
        <v>40</v>
      </c>
      <c r="C362" t="s">
        <v>392</v>
      </c>
      <c r="D362" t="s">
        <v>42</v>
      </c>
      <c r="E362" t="s">
        <v>43</v>
      </c>
      <c r="F362" t="s">
        <v>44</v>
      </c>
      <c r="G362" t="s">
        <v>45</v>
      </c>
      <c r="AH362" t="s">
        <v>42</v>
      </c>
      <c r="AI362" t="str">
        <f>"66298795711618"</f>
        <v>66298795711618</v>
      </c>
      <c r="AJ362" t="str">
        <f>"400149"</f>
        <v>400149</v>
      </c>
      <c r="AK362" t="s">
        <v>46</v>
      </c>
      <c r="AL362" s="1">
        <v>44816.545798611114</v>
      </c>
      <c r="AM362" t="s">
        <v>44</v>
      </c>
    </row>
    <row r="363" spans="1:39" x14ac:dyDescent="0.2">
      <c r="A363" t="s">
        <v>406</v>
      </c>
      <c r="B363" t="s">
        <v>40</v>
      </c>
      <c r="C363" t="s">
        <v>392</v>
      </c>
      <c r="D363" t="s">
        <v>42</v>
      </c>
      <c r="E363" t="s">
        <v>43</v>
      </c>
      <c r="F363" t="s">
        <v>44</v>
      </c>
      <c r="G363" t="s">
        <v>45</v>
      </c>
      <c r="AH363" t="s">
        <v>42</v>
      </c>
      <c r="AI363" t="str">
        <f>"66298795673244"</f>
        <v>66298795673244</v>
      </c>
      <c r="AJ363" t="str">
        <f>"13201-KRM-900JP"</f>
        <v>13201-KRM-900JP</v>
      </c>
      <c r="AK363" t="s">
        <v>46</v>
      </c>
      <c r="AL363" s="1">
        <v>44816.545787037037</v>
      </c>
      <c r="AM363" t="s">
        <v>44</v>
      </c>
    </row>
    <row r="364" spans="1:39" x14ac:dyDescent="0.2">
      <c r="A364" t="s">
        <v>407</v>
      </c>
      <c r="B364" t="s">
        <v>40</v>
      </c>
      <c r="C364" t="s">
        <v>392</v>
      </c>
      <c r="D364" t="s">
        <v>42</v>
      </c>
      <c r="E364" t="s">
        <v>43</v>
      </c>
      <c r="F364" t="s">
        <v>44</v>
      </c>
      <c r="G364" t="s">
        <v>45</v>
      </c>
      <c r="H364" t="s">
        <v>393</v>
      </c>
      <c r="AH364" t="s">
        <v>42</v>
      </c>
      <c r="AI364" t="str">
        <f>"SM-30207-000"</f>
        <v>SM-30207-000</v>
      </c>
      <c r="AJ364" t="str">
        <f>"SM-30207-000"</f>
        <v>SM-30207-000</v>
      </c>
      <c r="AK364" t="s">
        <v>46</v>
      </c>
      <c r="AL364" s="1">
        <v>44816.545798611114</v>
      </c>
      <c r="AM364" t="s">
        <v>44</v>
      </c>
    </row>
    <row r="365" spans="1:39" x14ac:dyDescent="0.2">
      <c r="A365" t="s">
        <v>408</v>
      </c>
      <c r="B365" t="s">
        <v>40</v>
      </c>
      <c r="C365" t="s">
        <v>392</v>
      </c>
      <c r="D365" t="s">
        <v>42</v>
      </c>
      <c r="E365" t="s">
        <v>43</v>
      </c>
      <c r="F365" t="s">
        <v>44</v>
      </c>
      <c r="G365" t="s">
        <v>45</v>
      </c>
      <c r="H365" t="s">
        <v>409</v>
      </c>
      <c r="AH365" t="s">
        <v>42</v>
      </c>
      <c r="AI365" t="str">
        <f>"21C-E1651-00"</f>
        <v>21C-E1651-00</v>
      </c>
      <c r="AJ365" t="str">
        <f>"21C-E1651-00"</f>
        <v>21C-E1651-00</v>
      </c>
      <c r="AK365" t="s">
        <v>46</v>
      </c>
      <c r="AL365" s="1">
        <v>44816.545798611114</v>
      </c>
      <c r="AM365" t="s">
        <v>44</v>
      </c>
    </row>
    <row r="366" spans="1:39" x14ac:dyDescent="0.2">
      <c r="A366" t="s">
        <v>410</v>
      </c>
      <c r="B366" t="s">
        <v>40</v>
      </c>
      <c r="C366" t="s">
        <v>392</v>
      </c>
      <c r="D366" t="s">
        <v>42</v>
      </c>
      <c r="E366" t="s">
        <v>43</v>
      </c>
      <c r="F366" t="s">
        <v>44</v>
      </c>
      <c r="G366" t="s">
        <v>45</v>
      </c>
      <c r="H366" t="s">
        <v>409</v>
      </c>
      <c r="AH366" t="s">
        <v>42</v>
      </c>
      <c r="AI366" t="str">
        <f>"400504"</f>
        <v>400504</v>
      </c>
      <c r="AJ366" t="str">
        <f>"400504"</f>
        <v>400504</v>
      </c>
      <c r="AK366" t="s">
        <v>46</v>
      </c>
      <c r="AL366" s="1">
        <v>44816.545810185184</v>
      </c>
      <c r="AM366" t="s">
        <v>44</v>
      </c>
    </row>
    <row r="367" spans="1:39" x14ac:dyDescent="0.2">
      <c r="A367" t="s">
        <v>411</v>
      </c>
      <c r="B367" t="s">
        <v>40</v>
      </c>
      <c r="C367" t="s">
        <v>392</v>
      </c>
      <c r="D367" t="s">
        <v>42</v>
      </c>
      <c r="E367" t="s">
        <v>43</v>
      </c>
      <c r="F367" t="s">
        <v>44</v>
      </c>
      <c r="G367" t="s">
        <v>45</v>
      </c>
      <c r="H367" t="s">
        <v>412</v>
      </c>
      <c r="AH367" t="s">
        <v>42</v>
      </c>
      <c r="AI367" t="str">
        <f>"400505"</f>
        <v>400505</v>
      </c>
      <c r="AJ367" t="str">
        <f>"400505"</f>
        <v>400505</v>
      </c>
      <c r="AK367" t="s">
        <v>46</v>
      </c>
      <c r="AL367" s="1">
        <v>44816.54582175926</v>
      </c>
      <c r="AM367" t="s">
        <v>44</v>
      </c>
    </row>
    <row r="368" spans="1:39" x14ac:dyDescent="0.2">
      <c r="A368" t="s">
        <v>413</v>
      </c>
      <c r="B368" t="s">
        <v>40</v>
      </c>
      <c r="C368" t="s">
        <v>392</v>
      </c>
      <c r="D368" t="s">
        <v>42</v>
      </c>
      <c r="E368" t="s">
        <v>43</v>
      </c>
      <c r="F368" t="s">
        <v>44</v>
      </c>
      <c r="G368" t="s">
        <v>45</v>
      </c>
      <c r="H368" t="s">
        <v>412</v>
      </c>
      <c r="AH368" t="s">
        <v>42</v>
      </c>
      <c r="AI368" t="str">
        <f>"12200-34J00JP"</f>
        <v>12200-34J00JP</v>
      </c>
      <c r="AJ368" t="str">
        <f>"12200-34J00JP"</f>
        <v>12200-34J00JP</v>
      </c>
      <c r="AK368" t="s">
        <v>46</v>
      </c>
      <c r="AL368" s="1">
        <v>44816.545810185184</v>
      </c>
      <c r="AM368" t="s">
        <v>44</v>
      </c>
    </row>
    <row r="369" spans="1:39" x14ac:dyDescent="0.2">
      <c r="A369" t="s">
        <v>414</v>
      </c>
      <c r="B369" t="s">
        <v>40</v>
      </c>
      <c r="C369" t="s">
        <v>392</v>
      </c>
      <c r="D369" t="s">
        <v>42</v>
      </c>
      <c r="E369" t="s">
        <v>43</v>
      </c>
      <c r="F369" t="s">
        <v>44</v>
      </c>
      <c r="G369" t="s">
        <v>45</v>
      </c>
      <c r="H369" t="s">
        <v>415</v>
      </c>
      <c r="AH369" t="s">
        <v>42</v>
      </c>
      <c r="AI369" t="str">
        <f>"B137"</f>
        <v>B137</v>
      </c>
      <c r="AJ369" t="str">
        <f>"B137"</f>
        <v>B137</v>
      </c>
      <c r="AK369" t="s">
        <v>46</v>
      </c>
      <c r="AL369" s="1">
        <v>45027.636435185188</v>
      </c>
      <c r="AM369" t="s">
        <v>44</v>
      </c>
    </row>
    <row r="370" spans="1:39" x14ac:dyDescent="0.2">
      <c r="A370" t="s">
        <v>414</v>
      </c>
      <c r="B370" t="s">
        <v>40</v>
      </c>
      <c r="C370" t="s">
        <v>392</v>
      </c>
      <c r="D370" t="s">
        <v>42</v>
      </c>
      <c r="E370" t="s">
        <v>43</v>
      </c>
      <c r="F370" t="s">
        <v>44</v>
      </c>
      <c r="G370" t="s">
        <v>45</v>
      </c>
      <c r="H370" t="s">
        <v>416</v>
      </c>
      <c r="AH370" t="s">
        <v>42</v>
      </c>
      <c r="AI370" t="str">
        <f>"12161-12F80JP"</f>
        <v>12161-12F80JP</v>
      </c>
      <c r="AJ370" t="str">
        <f>"12161-12F80JP"</f>
        <v>12161-12F80JP</v>
      </c>
      <c r="AK370" t="s">
        <v>46</v>
      </c>
      <c r="AL370" s="1">
        <v>44816.54582175926</v>
      </c>
      <c r="AM370" t="s">
        <v>44</v>
      </c>
    </row>
    <row r="371" spans="1:39" x14ac:dyDescent="0.2">
      <c r="A371" t="s">
        <v>417</v>
      </c>
      <c r="B371" t="s">
        <v>40</v>
      </c>
      <c r="C371" t="s">
        <v>392</v>
      </c>
      <c r="D371" t="s">
        <v>42</v>
      </c>
      <c r="E371" t="s">
        <v>43</v>
      </c>
      <c r="F371" t="s">
        <v>44</v>
      </c>
      <c r="G371" t="s">
        <v>45</v>
      </c>
      <c r="H371" t="s">
        <v>418</v>
      </c>
      <c r="AH371" t="s">
        <v>42</v>
      </c>
      <c r="AI371" t="str">
        <f>"400506"</f>
        <v>400506</v>
      </c>
      <c r="AJ371" t="str">
        <f>"400506"</f>
        <v>400506</v>
      </c>
      <c r="AK371" t="s">
        <v>46</v>
      </c>
      <c r="AL371" s="1">
        <v>44816.54583333333</v>
      </c>
      <c r="AM371" t="s">
        <v>44</v>
      </c>
    </row>
    <row r="372" spans="1:39" x14ac:dyDescent="0.2">
      <c r="A372" t="s">
        <v>419</v>
      </c>
      <c r="B372" t="s">
        <v>40</v>
      </c>
      <c r="C372" t="s">
        <v>392</v>
      </c>
      <c r="D372" t="s">
        <v>42</v>
      </c>
      <c r="E372" t="s">
        <v>43</v>
      </c>
      <c r="F372" t="s">
        <v>44</v>
      </c>
      <c r="G372" t="s">
        <v>45</v>
      </c>
      <c r="H372" t="s">
        <v>420</v>
      </c>
      <c r="AH372" t="s">
        <v>42</v>
      </c>
      <c r="AI372" t="str">
        <f>"12105-12F50JP"</f>
        <v>12105-12F50JP</v>
      </c>
      <c r="AJ372" t="str">
        <f>"12105-12F50JP"</f>
        <v>12105-12F50JP</v>
      </c>
      <c r="AK372" t="s">
        <v>46</v>
      </c>
      <c r="AL372" s="1">
        <v>44816.54583333333</v>
      </c>
      <c r="AM372" t="s">
        <v>44</v>
      </c>
    </row>
    <row r="373" spans="1:39" x14ac:dyDescent="0.2">
      <c r="A373" t="s">
        <v>421</v>
      </c>
      <c r="B373" t="s">
        <v>40</v>
      </c>
      <c r="C373" t="s">
        <v>392</v>
      </c>
      <c r="D373" t="s">
        <v>42</v>
      </c>
      <c r="E373" t="s">
        <v>43</v>
      </c>
      <c r="F373" t="s">
        <v>44</v>
      </c>
      <c r="G373" t="s">
        <v>45</v>
      </c>
      <c r="H373" t="s">
        <v>416</v>
      </c>
      <c r="AH373" t="s">
        <v>42</v>
      </c>
      <c r="AI373" t="str">
        <f>"12200-30HA0"</f>
        <v>12200-30HA0</v>
      </c>
      <c r="AJ373" t="str">
        <f>"12200-30HA0"</f>
        <v>12200-30HA0</v>
      </c>
      <c r="AK373" t="s">
        <v>46</v>
      </c>
      <c r="AL373" s="1">
        <v>44816.545844907407</v>
      </c>
      <c r="AM373" t="s">
        <v>44</v>
      </c>
    </row>
    <row r="374" spans="1:39" x14ac:dyDescent="0.2">
      <c r="A374" t="s">
        <v>422</v>
      </c>
      <c r="B374" t="s">
        <v>40</v>
      </c>
      <c r="C374" t="s">
        <v>392</v>
      </c>
      <c r="D374" t="s">
        <v>42</v>
      </c>
      <c r="E374" t="s">
        <v>43</v>
      </c>
      <c r="F374" t="s">
        <v>44</v>
      </c>
      <c r="G374" t="s">
        <v>45</v>
      </c>
      <c r="H374" t="s">
        <v>423</v>
      </c>
      <c r="AH374" t="s">
        <v>42</v>
      </c>
      <c r="AI374" t="str">
        <f>"400509"</f>
        <v>400509</v>
      </c>
      <c r="AJ374" t="str">
        <f>"400509"</f>
        <v>400509</v>
      </c>
      <c r="AK374" t="s">
        <v>46</v>
      </c>
      <c r="AL374" s="1">
        <v>44816.545844907407</v>
      </c>
      <c r="AM374" t="s">
        <v>44</v>
      </c>
    </row>
    <row r="375" spans="1:39" x14ac:dyDescent="0.2">
      <c r="A375" t="s">
        <v>424</v>
      </c>
      <c r="B375" t="s">
        <v>40</v>
      </c>
      <c r="C375" t="s">
        <v>392</v>
      </c>
      <c r="D375" t="s">
        <v>42</v>
      </c>
      <c r="E375" t="s">
        <v>43</v>
      </c>
      <c r="F375" t="s">
        <v>44</v>
      </c>
      <c r="G375" t="s">
        <v>45</v>
      </c>
      <c r="H375" t="s">
        <v>425</v>
      </c>
      <c r="AH375" t="s">
        <v>42</v>
      </c>
      <c r="AI375" t="str">
        <f>"400151"</f>
        <v>400151</v>
      </c>
      <c r="AJ375" t="str">
        <f>"400151"</f>
        <v>400151</v>
      </c>
      <c r="AK375" t="s">
        <v>46</v>
      </c>
      <c r="AL375" s="1">
        <v>44816.545868055553</v>
      </c>
      <c r="AM375" t="s">
        <v>44</v>
      </c>
    </row>
    <row r="376" spans="1:39" x14ac:dyDescent="0.2">
      <c r="A376" t="s">
        <v>426</v>
      </c>
      <c r="B376" t="s">
        <v>40</v>
      </c>
      <c r="C376" t="s">
        <v>392</v>
      </c>
      <c r="D376" t="s">
        <v>42</v>
      </c>
      <c r="E376" t="s">
        <v>43</v>
      </c>
      <c r="F376" t="s">
        <v>44</v>
      </c>
      <c r="G376" t="s">
        <v>45</v>
      </c>
      <c r="AH376" t="s">
        <v>42</v>
      </c>
      <c r="AI376" t="str">
        <f>"66298796247832"</f>
        <v>66298796247832</v>
      </c>
      <c r="AJ376" t="str">
        <f>"12161-42A01JP"</f>
        <v>12161-42A01JP</v>
      </c>
      <c r="AK376" t="s">
        <v>46</v>
      </c>
      <c r="AL376" s="1">
        <v>44816.545856481483</v>
      </c>
      <c r="AM376" t="s">
        <v>44</v>
      </c>
    </row>
    <row r="377" spans="1:39" x14ac:dyDescent="0.2">
      <c r="A377" t="s">
        <v>427</v>
      </c>
      <c r="B377" t="s">
        <v>40</v>
      </c>
      <c r="C377" t="s">
        <v>392</v>
      </c>
      <c r="D377" t="s">
        <v>42</v>
      </c>
      <c r="E377" t="s">
        <v>43</v>
      </c>
      <c r="F377" t="s">
        <v>44</v>
      </c>
      <c r="G377" t="s">
        <v>45</v>
      </c>
      <c r="H377" t="s">
        <v>428</v>
      </c>
      <c r="AH377" t="s">
        <v>42</v>
      </c>
      <c r="AI377" t="str">
        <f>"400512"</f>
        <v>400512</v>
      </c>
      <c r="AJ377" t="str">
        <f>"400512"</f>
        <v>400512</v>
      </c>
      <c r="AK377" t="s">
        <v>46</v>
      </c>
      <c r="AL377" s="1">
        <v>44816.545868055553</v>
      </c>
      <c r="AM377" t="s">
        <v>44</v>
      </c>
    </row>
    <row r="378" spans="1:39" x14ac:dyDescent="0.2">
      <c r="A378" t="s">
        <v>429</v>
      </c>
      <c r="B378" t="s">
        <v>40</v>
      </c>
      <c r="C378" t="s">
        <v>392</v>
      </c>
      <c r="D378" t="s">
        <v>42</v>
      </c>
      <c r="E378" t="s">
        <v>43</v>
      </c>
      <c r="F378" t="s">
        <v>44</v>
      </c>
      <c r="G378" t="s">
        <v>45</v>
      </c>
      <c r="H378" t="s">
        <v>430</v>
      </c>
      <c r="AH378" t="s">
        <v>42</v>
      </c>
      <c r="AI378" t="str">
        <f>"400493"</f>
        <v>400493</v>
      </c>
      <c r="AJ378" t="str">
        <f>"400493"</f>
        <v>400493</v>
      </c>
      <c r="AK378" t="s">
        <v>46</v>
      </c>
      <c r="AL378" s="1">
        <v>44816.54587962963</v>
      </c>
      <c r="AM378" t="s">
        <v>44</v>
      </c>
    </row>
    <row r="379" spans="1:39" x14ac:dyDescent="0.2">
      <c r="A379" t="s">
        <v>431</v>
      </c>
      <c r="B379" t="s">
        <v>40</v>
      </c>
      <c r="C379" t="s">
        <v>392</v>
      </c>
      <c r="D379" t="s">
        <v>42</v>
      </c>
      <c r="E379" t="s">
        <v>43</v>
      </c>
      <c r="F379" t="s">
        <v>44</v>
      </c>
      <c r="G379" t="s">
        <v>45</v>
      </c>
      <c r="AH379" t="s">
        <v>42</v>
      </c>
      <c r="AI379" t="str">
        <f>"66298796449239"</f>
        <v>66298796449239</v>
      </c>
      <c r="AJ379" t="str">
        <f>"JE-5310-00"</f>
        <v>JE-5310-00</v>
      </c>
      <c r="AK379" t="s">
        <v>46</v>
      </c>
      <c r="AL379" s="1">
        <v>44816.54587962963</v>
      </c>
      <c r="AM379" t="s">
        <v>44</v>
      </c>
    </row>
    <row r="380" spans="1:39" x14ac:dyDescent="0.2">
      <c r="A380" t="s">
        <v>432</v>
      </c>
      <c r="B380" t="s">
        <v>40</v>
      </c>
      <c r="C380" t="s">
        <v>392</v>
      </c>
      <c r="D380" t="s">
        <v>42</v>
      </c>
      <c r="E380" t="s">
        <v>43</v>
      </c>
      <c r="F380" t="s">
        <v>44</v>
      </c>
      <c r="G380" t="s">
        <v>45</v>
      </c>
      <c r="H380" t="s">
        <v>433</v>
      </c>
      <c r="AH380" t="s">
        <v>42</v>
      </c>
      <c r="AI380" t="str">
        <f>"400513"</f>
        <v>400513</v>
      </c>
      <c r="AJ380" t="str">
        <f>"400513"</f>
        <v>400513</v>
      </c>
      <c r="AK380" t="s">
        <v>46</v>
      </c>
      <c r="AL380" s="1">
        <v>44816.54587962963</v>
      </c>
      <c r="AM380" t="s">
        <v>44</v>
      </c>
    </row>
    <row r="381" spans="1:39" x14ac:dyDescent="0.2">
      <c r="A381" t="s">
        <v>434</v>
      </c>
      <c r="B381" t="s">
        <v>40</v>
      </c>
      <c r="C381" t="s">
        <v>392</v>
      </c>
      <c r="D381" t="s">
        <v>42</v>
      </c>
      <c r="E381" t="s">
        <v>43</v>
      </c>
      <c r="F381" t="s">
        <v>44</v>
      </c>
      <c r="G381" t="s">
        <v>45</v>
      </c>
      <c r="H381" t="s">
        <v>435</v>
      </c>
      <c r="AH381" t="s">
        <v>42</v>
      </c>
      <c r="AI381" t="str">
        <f>"400514"</f>
        <v>400514</v>
      </c>
      <c r="AJ381" t="str">
        <f>"400514"</f>
        <v>400514</v>
      </c>
      <c r="AK381" t="s">
        <v>46</v>
      </c>
      <c r="AL381" s="1">
        <v>44816.545891203707</v>
      </c>
      <c r="AM381" t="s">
        <v>44</v>
      </c>
    </row>
    <row r="382" spans="1:39" x14ac:dyDescent="0.2">
      <c r="A382" t="s">
        <v>436</v>
      </c>
      <c r="B382" t="s">
        <v>40</v>
      </c>
      <c r="C382" t="s">
        <v>392</v>
      </c>
      <c r="D382" t="s">
        <v>42</v>
      </c>
      <c r="E382" t="s">
        <v>43</v>
      </c>
      <c r="F382" t="s">
        <v>44</v>
      </c>
      <c r="G382" t="s">
        <v>45</v>
      </c>
      <c r="H382" t="s">
        <v>437</v>
      </c>
      <c r="AH382" t="s">
        <v>42</v>
      </c>
      <c r="AI382" t="str">
        <f>"400492"</f>
        <v>400492</v>
      </c>
      <c r="AJ382" t="str">
        <f>"400492"</f>
        <v>400492</v>
      </c>
      <c r="AK382" t="s">
        <v>46</v>
      </c>
      <c r="AL382" s="1">
        <v>44816.545891203707</v>
      </c>
      <c r="AM382" t="s">
        <v>44</v>
      </c>
    </row>
    <row r="383" spans="1:39" x14ac:dyDescent="0.2">
      <c r="A383" t="s">
        <v>438</v>
      </c>
      <c r="B383" t="s">
        <v>40</v>
      </c>
      <c r="C383" t="s">
        <v>392</v>
      </c>
      <c r="D383" t="s">
        <v>42</v>
      </c>
      <c r="E383" t="s">
        <v>43</v>
      </c>
      <c r="F383" t="s">
        <v>44</v>
      </c>
      <c r="G383" t="s">
        <v>45</v>
      </c>
      <c r="H383" t="s">
        <v>439</v>
      </c>
      <c r="AH383" t="s">
        <v>42</v>
      </c>
      <c r="AI383" t="str">
        <f>"13201-GY6-150JP"</f>
        <v>13201-GY6-150JP</v>
      </c>
      <c r="AJ383" t="str">
        <f>"13201-GY6-150JP"</f>
        <v>13201-GY6-150JP</v>
      </c>
      <c r="AK383" t="s">
        <v>46</v>
      </c>
      <c r="AL383" s="1">
        <v>44816.545902777776</v>
      </c>
      <c r="AM383" t="s">
        <v>44</v>
      </c>
    </row>
    <row r="384" spans="1:39" x14ac:dyDescent="0.2">
      <c r="A384" t="s">
        <v>440</v>
      </c>
      <c r="B384" t="s">
        <v>40</v>
      </c>
      <c r="C384" t="s">
        <v>392</v>
      </c>
      <c r="D384" t="s">
        <v>42</v>
      </c>
      <c r="E384" t="s">
        <v>43</v>
      </c>
      <c r="F384" t="s">
        <v>44</v>
      </c>
      <c r="G384" t="s">
        <v>45</v>
      </c>
      <c r="H384" t="s">
        <v>439</v>
      </c>
      <c r="AH384" t="s">
        <v>42</v>
      </c>
      <c r="AI384" t="str">
        <f>"400494"</f>
        <v>400494</v>
      </c>
      <c r="AJ384" t="str">
        <f>"400494"</f>
        <v>400494</v>
      </c>
      <c r="AK384" t="s">
        <v>46</v>
      </c>
      <c r="AL384" s="1">
        <v>44816.545902777776</v>
      </c>
      <c r="AM384" t="s">
        <v>44</v>
      </c>
    </row>
    <row r="385" spans="1:39" x14ac:dyDescent="0.2">
      <c r="A385" t="s">
        <v>441</v>
      </c>
      <c r="B385" t="s">
        <v>40</v>
      </c>
      <c r="C385" t="s">
        <v>392</v>
      </c>
      <c r="D385" t="s">
        <v>42</v>
      </c>
      <c r="E385" t="s">
        <v>43</v>
      </c>
      <c r="F385" t="s">
        <v>44</v>
      </c>
      <c r="G385" t="s">
        <v>45</v>
      </c>
      <c r="H385" t="s">
        <v>442</v>
      </c>
      <c r="AH385" t="s">
        <v>42</v>
      </c>
      <c r="AI385" t="str">
        <f>"4ST-11650-00NPC"</f>
        <v>4ST-11650-00NPC</v>
      </c>
      <c r="AJ385" t="str">
        <f>"4ST-11650-00NPC"</f>
        <v>4ST-11650-00NPC</v>
      </c>
      <c r="AK385" t="s">
        <v>46</v>
      </c>
      <c r="AL385" s="1">
        <v>44816.545914351853</v>
      </c>
      <c r="AM385" t="s">
        <v>44</v>
      </c>
    </row>
    <row r="386" spans="1:39" x14ac:dyDescent="0.2">
      <c r="A386" t="s">
        <v>443</v>
      </c>
      <c r="B386" t="s">
        <v>40</v>
      </c>
      <c r="C386" t="s">
        <v>392</v>
      </c>
      <c r="D386" t="s">
        <v>42</v>
      </c>
      <c r="E386" t="s">
        <v>43</v>
      </c>
      <c r="F386" t="s">
        <v>44</v>
      </c>
      <c r="G386" t="s">
        <v>45</v>
      </c>
      <c r="H386" t="s">
        <v>430</v>
      </c>
      <c r="AH386" t="s">
        <v>42</v>
      </c>
      <c r="AI386" t="str">
        <f>"13201-KGA-B00JP"</f>
        <v>13201-KGA-B00JP</v>
      </c>
      <c r="AJ386" t="str">
        <f>"13201-KGA-B00JP"</f>
        <v>13201-KGA-B00JP</v>
      </c>
      <c r="AK386" t="s">
        <v>46</v>
      </c>
      <c r="AL386" s="1">
        <v>44816.545914351853</v>
      </c>
      <c r="AM386" t="s">
        <v>44</v>
      </c>
    </row>
    <row r="387" spans="1:39" x14ac:dyDescent="0.2">
      <c r="A387" t="s">
        <v>444</v>
      </c>
      <c r="B387" t="s">
        <v>40</v>
      </c>
      <c r="C387" t="s">
        <v>392</v>
      </c>
      <c r="D387" t="s">
        <v>42</v>
      </c>
      <c r="E387" t="s">
        <v>43</v>
      </c>
      <c r="F387" t="s">
        <v>44</v>
      </c>
      <c r="G387" t="s">
        <v>45</v>
      </c>
      <c r="H387" t="s">
        <v>445</v>
      </c>
      <c r="AH387" t="s">
        <v>42</v>
      </c>
      <c r="AI387" t="str">
        <f>"13201-KPF-900JP"</f>
        <v>13201-KPF-900JP</v>
      </c>
      <c r="AJ387" t="str">
        <f>"13201-KPF-900JP"</f>
        <v>13201-KPF-900JP</v>
      </c>
      <c r="AK387" t="s">
        <v>46</v>
      </c>
      <c r="AL387" s="1">
        <v>44816.545914351853</v>
      </c>
      <c r="AM387" t="s">
        <v>44</v>
      </c>
    </row>
    <row r="388" spans="1:39" x14ac:dyDescent="0.2">
      <c r="A388" t="s">
        <v>446</v>
      </c>
      <c r="B388" t="s">
        <v>40</v>
      </c>
      <c r="C388" t="s">
        <v>392</v>
      </c>
      <c r="D388" t="s">
        <v>42</v>
      </c>
      <c r="E388" t="s">
        <v>43</v>
      </c>
      <c r="F388" t="s">
        <v>44</v>
      </c>
      <c r="G388" t="s">
        <v>45</v>
      </c>
      <c r="H388" t="s">
        <v>447</v>
      </c>
      <c r="AH388" t="s">
        <v>42</v>
      </c>
      <c r="AI388" t="str">
        <f>"66298796836047"</f>
        <v>66298796836047</v>
      </c>
      <c r="AJ388" t="str">
        <f>"400158"</f>
        <v>400158</v>
      </c>
      <c r="AK388" t="s">
        <v>46</v>
      </c>
      <c r="AL388" s="1">
        <v>44816.545925925922</v>
      </c>
      <c r="AM388" t="s">
        <v>44</v>
      </c>
    </row>
    <row r="389" spans="1:39" x14ac:dyDescent="0.2">
      <c r="A389" t="s">
        <v>448</v>
      </c>
      <c r="B389" t="s">
        <v>40</v>
      </c>
      <c r="C389" t="s">
        <v>392</v>
      </c>
      <c r="D389" t="s">
        <v>42</v>
      </c>
      <c r="E389" t="s">
        <v>43</v>
      </c>
      <c r="F389" t="s">
        <v>44</v>
      </c>
      <c r="G389" t="s">
        <v>45</v>
      </c>
      <c r="H389" t="s">
        <v>449</v>
      </c>
      <c r="AH389" t="s">
        <v>42</v>
      </c>
      <c r="AI389" t="str">
        <f>"400516"</f>
        <v>400516</v>
      </c>
      <c r="AJ389" t="str">
        <f>"400516"</f>
        <v>400516</v>
      </c>
      <c r="AK389" t="s">
        <v>46</v>
      </c>
      <c r="AL389" s="1">
        <v>44816.545925925922</v>
      </c>
      <c r="AM389" t="s">
        <v>44</v>
      </c>
    </row>
    <row r="390" spans="1:39" x14ac:dyDescent="0.2">
      <c r="A390" t="s">
        <v>450</v>
      </c>
      <c r="B390" t="s">
        <v>40</v>
      </c>
      <c r="C390" t="s">
        <v>392</v>
      </c>
      <c r="D390" t="s">
        <v>42</v>
      </c>
      <c r="E390" t="s">
        <v>43</v>
      </c>
      <c r="F390" t="s">
        <v>44</v>
      </c>
      <c r="G390" t="s">
        <v>45</v>
      </c>
      <c r="H390" t="s">
        <v>451</v>
      </c>
      <c r="AH390" t="s">
        <v>42</v>
      </c>
      <c r="AI390" t="str">
        <f>"400148"</f>
        <v>400148</v>
      </c>
      <c r="AJ390" t="str">
        <f>"400148"</f>
        <v>400148</v>
      </c>
      <c r="AK390" t="s">
        <v>46</v>
      </c>
      <c r="AL390" s="1">
        <v>44816.545937499999</v>
      </c>
      <c r="AM390" t="s">
        <v>44</v>
      </c>
    </row>
    <row r="391" spans="1:39" x14ac:dyDescent="0.2">
      <c r="A391" t="s">
        <v>452</v>
      </c>
      <c r="B391" t="s">
        <v>40</v>
      </c>
      <c r="C391" t="s">
        <v>392</v>
      </c>
      <c r="D391" t="s">
        <v>42</v>
      </c>
      <c r="E391" t="s">
        <v>43</v>
      </c>
      <c r="F391" t="s">
        <v>44</v>
      </c>
      <c r="G391" t="s">
        <v>45</v>
      </c>
      <c r="AH391" t="s">
        <v>42</v>
      </c>
      <c r="AI391" t="str">
        <f>"4LS-11651-00IN"</f>
        <v>4LS-11651-00IN</v>
      </c>
      <c r="AJ391" t="str">
        <f>"4LS-11651-00IN"</f>
        <v>4LS-11651-00IN</v>
      </c>
      <c r="AK391" t="s">
        <v>46</v>
      </c>
      <c r="AL391" s="1">
        <v>44872.648668981485</v>
      </c>
      <c r="AM391" t="s">
        <v>44</v>
      </c>
    </row>
    <row r="392" spans="1:39" x14ac:dyDescent="0.2">
      <c r="A392" t="s">
        <v>453</v>
      </c>
      <c r="B392" t="s">
        <v>40</v>
      </c>
      <c r="C392" t="s">
        <v>392</v>
      </c>
      <c r="D392" t="s">
        <v>42</v>
      </c>
      <c r="E392" t="s">
        <v>43</v>
      </c>
      <c r="F392" t="s">
        <v>44</v>
      </c>
      <c r="G392" t="s">
        <v>45</v>
      </c>
      <c r="AH392" t="s">
        <v>42</v>
      </c>
      <c r="AI392" t="str">
        <f>"66298796967058"</f>
        <v>66298796967058</v>
      </c>
      <c r="AJ392" t="str">
        <f>"WPR158"</f>
        <v>WPR158</v>
      </c>
      <c r="AK392" t="s">
        <v>46</v>
      </c>
      <c r="AL392" s="1">
        <v>44816.545937499999</v>
      </c>
      <c r="AM392" t="s">
        <v>44</v>
      </c>
    </row>
    <row r="393" spans="1:39" x14ac:dyDescent="0.2">
      <c r="A393" t="s">
        <v>454</v>
      </c>
      <c r="B393" t="s">
        <v>40</v>
      </c>
      <c r="C393" t="s">
        <v>392</v>
      </c>
      <c r="D393" t="s">
        <v>42</v>
      </c>
      <c r="E393" t="s">
        <v>43</v>
      </c>
      <c r="F393" t="s">
        <v>44</v>
      </c>
      <c r="G393" t="s">
        <v>45</v>
      </c>
      <c r="H393" t="s">
        <v>455</v>
      </c>
      <c r="AH393" t="s">
        <v>42</v>
      </c>
      <c r="AI393" t="str">
        <f>"4VP-11650-00JP"</f>
        <v>4VP-11650-00JP</v>
      </c>
      <c r="AJ393" t="str">
        <f>"4VP-11650-00JP"</f>
        <v>4VP-11650-00JP</v>
      </c>
      <c r="AK393" t="s">
        <v>46</v>
      </c>
      <c r="AL393" s="1">
        <v>44816.545949074076</v>
      </c>
      <c r="AM393" t="s">
        <v>44</v>
      </c>
    </row>
    <row r="394" spans="1:39" x14ac:dyDescent="0.2">
      <c r="A394" t="s">
        <v>456</v>
      </c>
      <c r="B394" t="s">
        <v>40</v>
      </c>
      <c r="C394" t="s">
        <v>392</v>
      </c>
      <c r="D394" t="s">
        <v>42</v>
      </c>
      <c r="E394" t="s">
        <v>43</v>
      </c>
      <c r="F394" t="s">
        <v>44</v>
      </c>
      <c r="G394" t="s">
        <v>45</v>
      </c>
      <c r="H394" t="s">
        <v>457</v>
      </c>
      <c r="AH394" t="s">
        <v>42</v>
      </c>
      <c r="AI394" t="str">
        <f>"400501"</f>
        <v>400501</v>
      </c>
      <c r="AJ394" t="str">
        <f>"400501"</f>
        <v>400501</v>
      </c>
      <c r="AK394" t="s">
        <v>46</v>
      </c>
      <c r="AL394" s="1">
        <v>44816.545949074076</v>
      </c>
      <c r="AM394" t="s">
        <v>44</v>
      </c>
    </row>
    <row r="395" spans="1:39" x14ac:dyDescent="0.2">
      <c r="A395" t="s">
        <v>458</v>
      </c>
      <c r="B395" t="s">
        <v>40</v>
      </c>
      <c r="C395" t="s">
        <v>392</v>
      </c>
      <c r="D395" t="s">
        <v>42</v>
      </c>
      <c r="E395" t="s">
        <v>43</v>
      </c>
      <c r="F395" t="s">
        <v>44</v>
      </c>
      <c r="G395" t="s">
        <v>45</v>
      </c>
      <c r="H395" t="s">
        <v>457</v>
      </c>
      <c r="AH395" t="s">
        <v>42</v>
      </c>
      <c r="AI395" t="str">
        <f>"5LW-11650-00JP"</f>
        <v>5LW-11650-00JP</v>
      </c>
      <c r="AJ395" t="str">
        <f>"5LW-11650-00JP"</f>
        <v>5LW-11650-00JP</v>
      </c>
      <c r="AK395" t="s">
        <v>46</v>
      </c>
      <c r="AL395" s="1">
        <v>44816.545949074076</v>
      </c>
      <c r="AM395" t="s">
        <v>44</v>
      </c>
    </row>
    <row r="396" spans="1:39" x14ac:dyDescent="0.2">
      <c r="A396" t="s">
        <v>459</v>
      </c>
      <c r="B396" t="s">
        <v>40</v>
      </c>
      <c r="C396" t="s">
        <v>392</v>
      </c>
      <c r="D396" t="s">
        <v>42</v>
      </c>
      <c r="E396" t="s">
        <v>43</v>
      </c>
      <c r="F396" t="s">
        <v>44</v>
      </c>
      <c r="G396" t="s">
        <v>45</v>
      </c>
      <c r="AH396" t="s">
        <v>42</v>
      </c>
      <c r="AI396" t="str">
        <f>"66298797139480"</f>
        <v>66298797139480</v>
      </c>
      <c r="AJ396" t="str">
        <f>"00-292"</f>
        <v>00-292</v>
      </c>
      <c r="AK396" t="s">
        <v>46</v>
      </c>
      <c r="AL396" s="1">
        <v>44816.545960648145</v>
      </c>
      <c r="AM396" t="s">
        <v>44</v>
      </c>
    </row>
    <row r="397" spans="1:39" x14ac:dyDescent="0.2">
      <c r="A397" t="s">
        <v>460</v>
      </c>
      <c r="B397" t="s">
        <v>40</v>
      </c>
      <c r="C397" t="s">
        <v>392</v>
      </c>
      <c r="D397" t="s">
        <v>42</v>
      </c>
      <c r="E397" t="s">
        <v>43</v>
      </c>
      <c r="F397" t="s">
        <v>44</v>
      </c>
      <c r="G397" t="s">
        <v>45</v>
      </c>
      <c r="H397" t="s">
        <v>461</v>
      </c>
      <c r="AH397" t="s">
        <v>42</v>
      </c>
      <c r="AI397" t="str">
        <f>"JP2001-30"</f>
        <v>JP2001-30</v>
      </c>
      <c r="AJ397" t="str">
        <f>"JP2001-30"</f>
        <v>JP2001-30</v>
      </c>
      <c r="AK397" t="s">
        <v>46</v>
      </c>
      <c r="AL397" s="1">
        <v>44816.545960648145</v>
      </c>
      <c r="AM397" t="s">
        <v>44</v>
      </c>
    </row>
    <row r="398" spans="1:39" x14ac:dyDescent="0.2">
      <c r="A398" t="s">
        <v>462</v>
      </c>
      <c r="B398" t="s">
        <v>40</v>
      </c>
      <c r="C398" t="s">
        <v>50</v>
      </c>
      <c r="D398" t="s">
        <v>42</v>
      </c>
      <c r="E398" t="s">
        <v>43</v>
      </c>
      <c r="F398" t="s">
        <v>44</v>
      </c>
      <c r="G398" t="s">
        <v>45</v>
      </c>
      <c r="AH398" t="s">
        <v>42</v>
      </c>
      <c r="AI398" t="str">
        <f>"792"</f>
        <v>792</v>
      </c>
      <c r="AJ398" t="str">
        <f>"792"</f>
        <v>792</v>
      </c>
      <c r="AK398" t="s">
        <v>46</v>
      </c>
      <c r="AL398" s="1">
        <v>44995.751145833332</v>
      </c>
      <c r="AM398" t="s">
        <v>44</v>
      </c>
    </row>
    <row r="399" spans="1:39" x14ac:dyDescent="0.2">
      <c r="A399" t="s">
        <v>462</v>
      </c>
      <c r="B399" t="s">
        <v>40</v>
      </c>
      <c r="C399" t="s">
        <v>50</v>
      </c>
      <c r="D399" t="s">
        <v>42</v>
      </c>
      <c r="E399" t="s">
        <v>43</v>
      </c>
      <c r="F399" t="s">
        <v>44</v>
      </c>
      <c r="G399" t="s">
        <v>45</v>
      </c>
      <c r="AH399" t="s">
        <v>42</v>
      </c>
      <c r="AI399" t="str">
        <f>"570"</f>
        <v>570</v>
      </c>
      <c r="AJ399" t="str">
        <f>"570"</f>
        <v>570</v>
      </c>
      <c r="AK399" t="s">
        <v>46</v>
      </c>
      <c r="AL399" s="1">
        <v>45134.716377314813</v>
      </c>
      <c r="AM399" t="s">
        <v>44</v>
      </c>
    </row>
    <row r="400" spans="1:39" x14ac:dyDescent="0.2">
      <c r="A400" t="s">
        <v>463</v>
      </c>
      <c r="B400" t="s">
        <v>40</v>
      </c>
      <c r="C400" t="s">
        <v>464</v>
      </c>
      <c r="D400" t="s">
        <v>42</v>
      </c>
      <c r="E400" t="s">
        <v>43</v>
      </c>
      <c r="F400" t="s">
        <v>44</v>
      </c>
      <c r="G400" t="s">
        <v>45</v>
      </c>
      <c r="AH400" t="s">
        <v>42</v>
      </c>
      <c r="AI400" t="str">
        <f>"66298797219742"</f>
        <v>66298797219742</v>
      </c>
      <c r="AJ400" t="str">
        <f>"1541"</f>
        <v>1541</v>
      </c>
      <c r="AK400" t="s">
        <v>46</v>
      </c>
      <c r="AL400" s="1">
        <v>44816.545972222222</v>
      </c>
      <c r="AM400" t="s">
        <v>44</v>
      </c>
    </row>
    <row r="401" spans="1:39" x14ac:dyDescent="0.2">
      <c r="A401" t="s">
        <v>465</v>
      </c>
      <c r="B401" t="s">
        <v>40</v>
      </c>
      <c r="C401" t="s">
        <v>464</v>
      </c>
      <c r="D401" t="s">
        <v>42</v>
      </c>
      <c r="E401" t="s">
        <v>43</v>
      </c>
      <c r="F401" t="s">
        <v>44</v>
      </c>
      <c r="G401" t="s">
        <v>45</v>
      </c>
      <c r="AH401" t="s">
        <v>42</v>
      </c>
      <c r="AI401" t="str">
        <f>"DF-1110-40HB"</f>
        <v>DF-1110-40HB</v>
      </c>
      <c r="AJ401" t="str">
        <f>"DF-1110-40HB"</f>
        <v>DF-1110-40HB</v>
      </c>
      <c r="AK401" t="s">
        <v>46</v>
      </c>
      <c r="AL401" s="1">
        <v>45086.725543981483</v>
      </c>
      <c r="AM401" t="s">
        <v>44</v>
      </c>
    </row>
    <row r="402" spans="1:39" x14ac:dyDescent="0.2">
      <c r="A402" t="s">
        <v>466</v>
      </c>
      <c r="B402" t="s">
        <v>40</v>
      </c>
      <c r="C402" t="s">
        <v>464</v>
      </c>
      <c r="D402" t="s">
        <v>42</v>
      </c>
      <c r="E402" t="s">
        <v>43</v>
      </c>
      <c r="F402" t="s">
        <v>44</v>
      </c>
      <c r="G402" t="s">
        <v>45</v>
      </c>
      <c r="AH402" t="s">
        <v>42</v>
      </c>
      <c r="AI402" t="str">
        <f>"66298797259954"</f>
        <v>66298797259954</v>
      </c>
      <c r="AJ402" t="str">
        <f>"PA-3512-01HB"</f>
        <v>PA-3512-01HB</v>
      </c>
      <c r="AK402" t="s">
        <v>46</v>
      </c>
      <c r="AL402" s="1">
        <v>44816.545972222222</v>
      </c>
      <c r="AM402" t="s">
        <v>44</v>
      </c>
    </row>
    <row r="403" spans="1:39" x14ac:dyDescent="0.2">
      <c r="A403" t="s">
        <v>467</v>
      </c>
      <c r="B403" t="s">
        <v>40</v>
      </c>
      <c r="C403" t="s">
        <v>464</v>
      </c>
      <c r="D403" t="s">
        <v>42</v>
      </c>
      <c r="E403" t="s">
        <v>43</v>
      </c>
      <c r="F403" t="s">
        <v>44</v>
      </c>
      <c r="G403" t="s">
        <v>45</v>
      </c>
      <c r="AH403" t="s">
        <v>42</v>
      </c>
      <c r="AI403" t="str">
        <f>"66298797301729"</f>
        <v>66298797301729</v>
      </c>
      <c r="AJ403" t="str">
        <f>"30500-KTE-910HB"</f>
        <v>30500-KTE-910HB</v>
      </c>
      <c r="AK403" t="s">
        <v>46</v>
      </c>
      <c r="AL403" s="1">
        <v>44816.545983796299</v>
      </c>
      <c r="AM403" t="s">
        <v>44</v>
      </c>
    </row>
    <row r="404" spans="1:39" x14ac:dyDescent="0.2">
      <c r="A404" t="s">
        <v>468</v>
      </c>
      <c r="B404" t="s">
        <v>40</v>
      </c>
      <c r="C404" t="s">
        <v>464</v>
      </c>
      <c r="D404" t="s">
        <v>42</v>
      </c>
      <c r="E404" t="s">
        <v>43</v>
      </c>
      <c r="F404" t="s">
        <v>44</v>
      </c>
      <c r="G404" t="s">
        <v>45</v>
      </c>
      <c r="AH404" t="s">
        <v>42</v>
      </c>
      <c r="AI404" t="str">
        <f>"66298797341619"</f>
        <v>66298797341619</v>
      </c>
      <c r="AJ404" t="str">
        <f>"83162"</f>
        <v>83162</v>
      </c>
      <c r="AK404" t="s">
        <v>46</v>
      </c>
      <c r="AL404" s="1">
        <v>44816.545983796299</v>
      </c>
      <c r="AM404" t="s">
        <v>44</v>
      </c>
    </row>
    <row r="405" spans="1:39" x14ac:dyDescent="0.2">
      <c r="A405" t="s">
        <v>469</v>
      </c>
      <c r="B405" t="s">
        <v>40</v>
      </c>
      <c r="C405" t="s">
        <v>464</v>
      </c>
      <c r="D405" t="s">
        <v>42</v>
      </c>
      <c r="E405" t="s">
        <v>43</v>
      </c>
      <c r="F405" t="s">
        <v>44</v>
      </c>
      <c r="G405" t="s">
        <v>45</v>
      </c>
      <c r="AH405" t="s">
        <v>42</v>
      </c>
      <c r="AI405" t="str">
        <f>"66298797383306"</f>
        <v>66298797383306</v>
      </c>
      <c r="AJ405" t="str">
        <f>"30500-KST-940HB"</f>
        <v>30500-KST-940HB</v>
      </c>
      <c r="AK405" t="s">
        <v>46</v>
      </c>
      <c r="AL405" s="1">
        <v>44816.545983796299</v>
      </c>
      <c r="AM405" t="s">
        <v>44</v>
      </c>
    </row>
    <row r="406" spans="1:39" x14ac:dyDescent="0.2">
      <c r="A406" t="s">
        <v>470</v>
      </c>
      <c r="B406" t="s">
        <v>40</v>
      </c>
      <c r="C406" t="s">
        <v>464</v>
      </c>
      <c r="D406" t="s">
        <v>42</v>
      </c>
      <c r="E406" t="s">
        <v>43</v>
      </c>
      <c r="F406" t="s">
        <v>44</v>
      </c>
      <c r="G406" t="s">
        <v>45</v>
      </c>
      <c r="AH406" t="s">
        <v>42</v>
      </c>
      <c r="AI406" t="str">
        <f>"66298797418029"</f>
        <v>66298797418029</v>
      </c>
      <c r="AJ406" t="str">
        <f>"80789"</f>
        <v>80789</v>
      </c>
      <c r="AK406" t="s">
        <v>46</v>
      </c>
      <c r="AL406" s="1">
        <v>44816.545995370368</v>
      </c>
      <c r="AM406" t="s">
        <v>44</v>
      </c>
    </row>
    <row r="407" spans="1:39" x14ac:dyDescent="0.2">
      <c r="A407" t="s">
        <v>471</v>
      </c>
      <c r="B407" t="s">
        <v>40</v>
      </c>
      <c r="C407" t="s">
        <v>464</v>
      </c>
      <c r="D407" t="s">
        <v>42</v>
      </c>
      <c r="E407" t="s">
        <v>43</v>
      </c>
      <c r="F407" t="s">
        <v>44</v>
      </c>
      <c r="G407" t="s">
        <v>45</v>
      </c>
      <c r="AH407" t="s">
        <v>42</v>
      </c>
      <c r="AI407" t="str">
        <f>"B069"</f>
        <v>B069</v>
      </c>
      <c r="AJ407" t="str">
        <f>"B069"</f>
        <v>B069</v>
      </c>
      <c r="AK407" t="s">
        <v>46</v>
      </c>
      <c r="AL407" s="1">
        <v>45086.730949074074</v>
      </c>
      <c r="AM407" t="s">
        <v>44</v>
      </c>
    </row>
    <row r="408" spans="1:39" x14ac:dyDescent="0.2">
      <c r="A408" t="s">
        <v>472</v>
      </c>
      <c r="B408" t="s">
        <v>40</v>
      </c>
      <c r="C408" t="s">
        <v>464</v>
      </c>
      <c r="D408" t="s">
        <v>42</v>
      </c>
      <c r="E408" t="s">
        <v>43</v>
      </c>
      <c r="F408" t="s">
        <v>44</v>
      </c>
      <c r="G408" t="s">
        <v>45</v>
      </c>
      <c r="AH408" t="s">
        <v>42</v>
      </c>
      <c r="AI408" t="str">
        <f>"66298797499279"</f>
        <v>66298797499279</v>
      </c>
      <c r="AJ408" t="str">
        <f>"401088"</f>
        <v>401088</v>
      </c>
      <c r="AK408" t="s">
        <v>46</v>
      </c>
      <c r="AL408" s="1">
        <v>44816.545995370368</v>
      </c>
      <c r="AM408" t="s">
        <v>44</v>
      </c>
    </row>
    <row r="409" spans="1:39" x14ac:dyDescent="0.2">
      <c r="A409" t="s">
        <v>473</v>
      </c>
      <c r="B409" t="s">
        <v>40</v>
      </c>
      <c r="C409" t="s">
        <v>464</v>
      </c>
      <c r="D409" t="s">
        <v>42</v>
      </c>
      <c r="E409" t="s">
        <v>43</v>
      </c>
      <c r="F409" t="s">
        <v>44</v>
      </c>
      <c r="G409" t="s">
        <v>45</v>
      </c>
      <c r="AH409" t="s">
        <v>42</v>
      </c>
      <c r="AI409" t="str">
        <f>"30500-KRE-900"</f>
        <v>30500-KRE-900</v>
      </c>
      <c r="AJ409" t="str">
        <f>"30500-KRE-900"</f>
        <v>30500-KRE-900</v>
      </c>
      <c r="AK409" t="s">
        <v>46</v>
      </c>
      <c r="AL409" s="1">
        <v>44872.63858796296</v>
      </c>
      <c r="AM409" t="s">
        <v>44</v>
      </c>
    </row>
    <row r="410" spans="1:39" x14ac:dyDescent="0.2">
      <c r="A410" t="s">
        <v>474</v>
      </c>
      <c r="B410" t="s">
        <v>40</v>
      </c>
      <c r="C410" t="s">
        <v>464</v>
      </c>
      <c r="D410" t="s">
        <v>42</v>
      </c>
      <c r="E410" t="s">
        <v>43</v>
      </c>
      <c r="F410" t="s">
        <v>44</v>
      </c>
      <c r="G410" t="s">
        <v>45</v>
      </c>
      <c r="AH410" t="s">
        <v>42</v>
      </c>
      <c r="AI410" t="str">
        <f>"66298797457668"</f>
        <v>66298797457668</v>
      </c>
      <c r="AJ410" t="str">
        <f>"80790"</f>
        <v>80790</v>
      </c>
      <c r="AK410" t="s">
        <v>46</v>
      </c>
      <c r="AL410" s="1">
        <v>44816.545995370368</v>
      </c>
      <c r="AM410" t="s">
        <v>44</v>
      </c>
    </row>
    <row r="411" spans="1:39" x14ac:dyDescent="0.2">
      <c r="A411" t="s">
        <v>475</v>
      </c>
      <c r="B411" t="s">
        <v>40</v>
      </c>
      <c r="C411" t="s">
        <v>464</v>
      </c>
      <c r="D411" t="s">
        <v>42</v>
      </c>
      <c r="E411" t="s">
        <v>43</v>
      </c>
      <c r="F411" t="s">
        <v>44</v>
      </c>
      <c r="G411" t="s">
        <v>45</v>
      </c>
      <c r="AH411" t="s">
        <v>42</v>
      </c>
      <c r="AI411" t="str">
        <f>"85248"</f>
        <v>85248</v>
      </c>
      <c r="AJ411" t="str">
        <f>"85248"</f>
        <v>85248</v>
      </c>
      <c r="AK411" t="s">
        <v>46</v>
      </c>
      <c r="AL411" s="1">
        <v>45063.861319444448</v>
      </c>
      <c r="AM411" t="s">
        <v>44</v>
      </c>
    </row>
    <row r="412" spans="1:39" x14ac:dyDescent="0.2">
      <c r="A412" t="s">
        <v>476</v>
      </c>
      <c r="B412" t="s">
        <v>40</v>
      </c>
      <c r="C412" t="s">
        <v>464</v>
      </c>
      <c r="D412" t="s">
        <v>42</v>
      </c>
      <c r="E412" t="s">
        <v>43</v>
      </c>
      <c r="F412" t="s">
        <v>44</v>
      </c>
      <c r="G412" t="s">
        <v>45</v>
      </c>
      <c r="AH412" t="s">
        <v>42</v>
      </c>
      <c r="AI412" t="str">
        <f>"66298797537120"</f>
        <v>66298797537120</v>
      </c>
      <c r="AJ412" t="str">
        <f>"DS-1110-35HB"</f>
        <v>DS-1110-35HB</v>
      </c>
      <c r="AK412" t="s">
        <v>46</v>
      </c>
      <c r="AL412" s="1">
        <v>44816.546006944445</v>
      </c>
      <c r="AM412" t="s">
        <v>44</v>
      </c>
    </row>
    <row r="413" spans="1:39" x14ac:dyDescent="0.2">
      <c r="A413" t="s">
        <v>477</v>
      </c>
      <c r="B413" t="s">
        <v>40</v>
      </c>
      <c r="C413" t="s">
        <v>464</v>
      </c>
      <c r="D413" t="s">
        <v>42</v>
      </c>
      <c r="E413" t="s">
        <v>43</v>
      </c>
      <c r="F413" t="s">
        <v>44</v>
      </c>
      <c r="G413" t="s">
        <v>45</v>
      </c>
      <c r="AH413" t="s">
        <v>42</v>
      </c>
      <c r="AI413" t="str">
        <f>"66298797588228"</f>
        <v>66298797588228</v>
      </c>
      <c r="AJ413" t="str">
        <f>"83131"</f>
        <v>83131</v>
      </c>
      <c r="AK413" t="s">
        <v>46</v>
      </c>
      <c r="AL413" s="1">
        <v>44816.546006944445</v>
      </c>
      <c r="AM413" t="s">
        <v>44</v>
      </c>
    </row>
    <row r="414" spans="1:39" x14ac:dyDescent="0.2">
      <c r="A414" t="s">
        <v>477</v>
      </c>
      <c r="B414" t="s">
        <v>40</v>
      </c>
      <c r="C414" t="s">
        <v>464</v>
      </c>
      <c r="D414" t="s">
        <v>42</v>
      </c>
      <c r="E414" t="s">
        <v>43</v>
      </c>
      <c r="F414" t="s">
        <v>44</v>
      </c>
      <c r="G414" t="s">
        <v>45</v>
      </c>
      <c r="AH414" t="s">
        <v>42</v>
      </c>
      <c r="AI414" t="str">
        <f>"66298797595659"</f>
        <v>66298797595659</v>
      </c>
      <c r="AJ414" t="str">
        <f>"45D-H2310-00HB"</f>
        <v>45D-H2310-00HB</v>
      </c>
      <c r="AK414" t="s">
        <v>46</v>
      </c>
      <c r="AL414" s="1">
        <v>44816.546006944445</v>
      </c>
      <c r="AM414" t="s">
        <v>44</v>
      </c>
    </row>
    <row r="415" spans="1:39" x14ac:dyDescent="0.2">
      <c r="A415" t="s">
        <v>477</v>
      </c>
      <c r="B415" t="s">
        <v>40</v>
      </c>
      <c r="C415" t="s">
        <v>464</v>
      </c>
      <c r="D415" t="s">
        <v>42</v>
      </c>
      <c r="E415" t="s">
        <v>43</v>
      </c>
      <c r="F415" t="s">
        <v>44</v>
      </c>
      <c r="G415" t="s">
        <v>45</v>
      </c>
      <c r="AH415" t="s">
        <v>42</v>
      </c>
      <c r="AI415" t="str">
        <f>"66298797602960"</f>
        <v>66298797602960</v>
      </c>
      <c r="AJ415" t="str">
        <f>"VB002"</f>
        <v>VB002</v>
      </c>
      <c r="AK415" t="s">
        <v>46</v>
      </c>
      <c r="AL415" s="1">
        <v>44816.546018518522</v>
      </c>
      <c r="AM415" t="s">
        <v>44</v>
      </c>
    </row>
    <row r="416" spans="1:39" x14ac:dyDescent="0.2">
      <c r="A416" t="s">
        <v>478</v>
      </c>
      <c r="B416" t="s">
        <v>40</v>
      </c>
      <c r="C416" t="s">
        <v>464</v>
      </c>
      <c r="D416" t="s">
        <v>42</v>
      </c>
      <c r="E416" t="s">
        <v>43</v>
      </c>
      <c r="F416" t="s">
        <v>44</v>
      </c>
      <c r="G416" t="s">
        <v>45</v>
      </c>
      <c r="AH416" t="s">
        <v>42</v>
      </c>
      <c r="AI416" t="str">
        <f>"66298797669217"</f>
        <v>66298797669217</v>
      </c>
      <c r="AJ416" t="str">
        <f>"80793"</f>
        <v>80793</v>
      </c>
      <c r="AK416" t="s">
        <v>46</v>
      </c>
      <c r="AL416" s="1">
        <v>44816.546018518522</v>
      </c>
      <c r="AM416" t="s">
        <v>44</v>
      </c>
    </row>
    <row r="417" spans="1:39" x14ac:dyDescent="0.2">
      <c r="A417" t="s">
        <v>479</v>
      </c>
      <c r="B417" t="s">
        <v>40</v>
      </c>
      <c r="C417" t="s">
        <v>464</v>
      </c>
      <c r="D417" t="s">
        <v>42</v>
      </c>
      <c r="E417" t="s">
        <v>43</v>
      </c>
      <c r="F417" t="s">
        <v>44</v>
      </c>
      <c r="G417" t="s">
        <v>45</v>
      </c>
      <c r="AH417" t="s">
        <v>42</v>
      </c>
      <c r="AI417" t="str">
        <f>"66298797711956"</f>
        <v>66298797711956</v>
      </c>
      <c r="AJ417" t="str">
        <f>"401089"</f>
        <v>401089</v>
      </c>
      <c r="AK417" t="s">
        <v>46</v>
      </c>
      <c r="AL417" s="1">
        <v>44816.546030092592</v>
      </c>
      <c r="AM417" t="s">
        <v>44</v>
      </c>
    </row>
    <row r="418" spans="1:39" x14ac:dyDescent="0.2">
      <c r="A418" t="s">
        <v>480</v>
      </c>
      <c r="B418" t="s">
        <v>40</v>
      </c>
      <c r="C418" t="s">
        <v>464</v>
      </c>
      <c r="D418" t="s">
        <v>42</v>
      </c>
      <c r="E418" t="s">
        <v>43</v>
      </c>
      <c r="F418" t="s">
        <v>44</v>
      </c>
      <c r="G418" t="s">
        <v>45</v>
      </c>
      <c r="AH418" t="s">
        <v>42</v>
      </c>
      <c r="AI418" t="str">
        <f>"66298797756831"</f>
        <v>66298797756831</v>
      </c>
      <c r="AJ418" t="str">
        <f>"82784"</f>
        <v>82784</v>
      </c>
      <c r="AK418" t="s">
        <v>46</v>
      </c>
      <c r="AL418" s="1">
        <v>44816.546030092592</v>
      </c>
      <c r="AM418" t="s">
        <v>44</v>
      </c>
    </row>
    <row r="419" spans="1:39" x14ac:dyDescent="0.2">
      <c r="A419" t="s">
        <v>480</v>
      </c>
      <c r="B419" t="s">
        <v>40</v>
      </c>
      <c r="C419" t="s">
        <v>464</v>
      </c>
      <c r="D419" t="s">
        <v>42</v>
      </c>
      <c r="E419" t="s">
        <v>43</v>
      </c>
      <c r="F419" t="s">
        <v>44</v>
      </c>
      <c r="G419" t="s">
        <v>45</v>
      </c>
      <c r="AH419" t="s">
        <v>42</v>
      </c>
      <c r="AI419" t="str">
        <f>"66298797762702"</f>
        <v>66298797762702</v>
      </c>
      <c r="AJ419" t="str">
        <f>"VB005"</f>
        <v>VB005</v>
      </c>
      <c r="AK419" t="s">
        <v>46</v>
      </c>
      <c r="AL419" s="1">
        <v>44816.546030092592</v>
      </c>
      <c r="AM419" t="s">
        <v>44</v>
      </c>
    </row>
    <row r="420" spans="1:39" x14ac:dyDescent="0.2">
      <c r="A420" t="s">
        <v>481</v>
      </c>
      <c r="B420" t="s">
        <v>40</v>
      </c>
      <c r="C420" t="s">
        <v>464</v>
      </c>
      <c r="D420" t="s">
        <v>42</v>
      </c>
      <c r="E420" t="s">
        <v>43</v>
      </c>
      <c r="F420" t="s">
        <v>44</v>
      </c>
      <c r="G420" t="s">
        <v>45</v>
      </c>
      <c r="AH420" t="s">
        <v>42</v>
      </c>
      <c r="AI420" t="str">
        <f>"66298797815481"</f>
        <v>66298797815481</v>
      </c>
      <c r="AJ420" t="str">
        <f>"84116"</f>
        <v>84116</v>
      </c>
      <c r="AK420" t="s">
        <v>46</v>
      </c>
      <c r="AL420" s="1">
        <v>44816.546041666668</v>
      </c>
      <c r="AM420" t="s">
        <v>44</v>
      </c>
    </row>
    <row r="421" spans="1:39" x14ac:dyDescent="0.2">
      <c r="A421" t="s">
        <v>482</v>
      </c>
      <c r="B421" t="s">
        <v>40</v>
      </c>
      <c r="C421" t="s">
        <v>464</v>
      </c>
      <c r="D421" t="s">
        <v>42</v>
      </c>
      <c r="E421" t="s">
        <v>43</v>
      </c>
      <c r="F421" t="s">
        <v>44</v>
      </c>
      <c r="G421" t="s">
        <v>45</v>
      </c>
      <c r="AH421" t="s">
        <v>42</v>
      </c>
      <c r="AI421" t="str">
        <f>"66298797857135"</f>
        <v>66298797857135</v>
      </c>
      <c r="AJ421" t="str">
        <f>"DJ-1110-59HB"</f>
        <v>DJ-1110-59HB</v>
      </c>
      <c r="AK421" t="s">
        <v>46</v>
      </c>
      <c r="AL421" s="1">
        <v>44816.546041666668</v>
      </c>
      <c r="AM421" t="s">
        <v>44</v>
      </c>
    </row>
    <row r="422" spans="1:39" x14ac:dyDescent="0.2">
      <c r="A422" t="s">
        <v>483</v>
      </c>
      <c r="B422" t="s">
        <v>40</v>
      </c>
      <c r="C422" t="s">
        <v>464</v>
      </c>
      <c r="D422" t="s">
        <v>42</v>
      </c>
      <c r="E422" t="s">
        <v>43</v>
      </c>
      <c r="F422" t="s">
        <v>44</v>
      </c>
      <c r="G422" t="s">
        <v>45</v>
      </c>
      <c r="AH422" t="s">
        <v>42</v>
      </c>
      <c r="AI422" t="str">
        <f>"66298797942168"</f>
        <v>66298797942168</v>
      </c>
      <c r="AJ422" t="str">
        <f>"BOB-SCOOTER"</f>
        <v>BOB-SCOOTER</v>
      </c>
      <c r="AK422" t="s">
        <v>46</v>
      </c>
      <c r="AL422" s="1">
        <v>44816.546053240738</v>
      </c>
      <c r="AM422" t="s">
        <v>44</v>
      </c>
    </row>
    <row r="423" spans="1:39" x14ac:dyDescent="0.2">
      <c r="A423" t="s">
        <v>484</v>
      </c>
      <c r="B423" t="s">
        <v>40</v>
      </c>
      <c r="C423" t="s">
        <v>464</v>
      </c>
      <c r="D423" t="s">
        <v>42</v>
      </c>
      <c r="E423" t="s">
        <v>43</v>
      </c>
      <c r="F423" t="s">
        <v>44</v>
      </c>
      <c r="G423" t="s">
        <v>45</v>
      </c>
      <c r="AH423" t="s">
        <v>42</v>
      </c>
      <c r="AI423" t="str">
        <f>"66298797899375"</f>
        <v>66298797899375</v>
      </c>
      <c r="AJ423" t="str">
        <f>"82314"</f>
        <v>82314</v>
      </c>
      <c r="AK423" t="s">
        <v>46</v>
      </c>
      <c r="AL423" s="1">
        <v>44816.546041666668</v>
      </c>
      <c r="AM423" t="s">
        <v>44</v>
      </c>
    </row>
    <row r="424" spans="1:39" x14ac:dyDescent="0.2">
      <c r="A424" t="s">
        <v>484</v>
      </c>
      <c r="B424" t="s">
        <v>40</v>
      </c>
      <c r="C424" t="s">
        <v>464</v>
      </c>
      <c r="D424" t="s">
        <v>42</v>
      </c>
      <c r="E424" t="s">
        <v>43</v>
      </c>
      <c r="F424" t="s">
        <v>44</v>
      </c>
      <c r="G424" t="s">
        <v>45</v>
      </c>
      <c r="AH424" t="s">
        <v>42</v>
      </c>
      <c r="AI424" t="str">
        <f>"H1079"</f>
        <v>H1079</v>
      </c>
      <c r="AJ424" t="str">
        <f>"H1079"</f>
        <v>H1079</v>
      </c>
      <c r="AK424" t="s">
        <v>46</v>
      </c>
      <c r="AL424" s="1">
        <v>45086.728564814817</v>
      </c>
      <c r="AM424" t="s">
        <v>44</v>
      </c>
    </row>
    <row r="425" spans="1:39" x14ac:dyDescent="0.2">
      <c r="A425" t="s">
        <v>485</v>
      </c>
      <c r="B425" t="s">
        <v>40</v>
      </c>
      <c r="C425" t="s">
        <v>464</v>
      </c>
      <c r="D425" t="s">
        <v>42</v>
      </c>
      <c r="E425" t="s">
        <v>43</v>
      </c>
      <c r="F425" t="s">
        <v>44</v>
      </c>
      <c r="G425" t="s">
        <v>45</v>
      </c>
      <c r="AH425" t="s">
        <v>42</v>
      </c>
      <c r="AI425" t="str">
        <f>"66298797982311"</f>
        <v>66298797982311</v>
      </c>
      <c r="AJ425" t="str">
        <f>"401090"</f>
        <v>401090</v>
      </c>
      <c r="AK425" t="s">
        <v>46</v>
      </c>
      <c r="AL425" s="1">
        <v>44816.546053240738</v>
      </c>
      <c r="AM425" t="s">
        <v>44</v>
      </c>
    </row>
    <row r="426" spans="1:39" x14ac:dyDescent="0.2">
      <c r="A426" t="s">
        <v>486</v>
      </c>
      <c r="B426" t="s">
        <v>40</v>
      </c>
      <c r="C426" t="s">
        <v>464</v>
      </c>
      <c r="D426" t="s">
        <v>42</v>
      </c>
      <c r="E426" t="s">
        <v>43</v>
      </c>
      <c r="F426" t="s">
        <v>44</v>
      </c>
      <c r="G426" t="s">
        <v>45</v>
      </c>
      <c r="AH426" t="s">
        <v>42</v>
      </c>
      <c r="AI426" t="str">
        <f>"66298798020429"</f>
        <v>66298798020429</v>
      </c>
      <c r="AJ426" t="str">
        <f>"N9060180HB"</f>
        <v>N9060180HB</v>
      </c>
      <c r="AK426" t="s">
        <v>46</v>
      </c>
      <c r="AL426" s="1">
        <v>44816.546064814815</v>
      </c>
      <c r="AM426" t="s">
        <v>44</v>
      </c>
    </row>
    <row r="427" spans="1:39" x14ac:dyDescent="0.2">
      <c r="A427" t="s">
        <v>487</v>
      </c>
      <c r="B427" t="s">
        <v>40</v>
      </c>
      <c r="C427" t="s">
        <v>464</v>
      </c>
      <c r="D427" t="s">
        <v>42</v>
      </c>
      <c r="E427" t="s">
        <v>43</v>
      </c>
      <c r="F427" t="s">
        <v>44</v>
      </c>
      <c r="G427" t="s">
        <v>45</v>
      </c>
      <c r="AH427" t="s">
        <v>42</v>
      </c>
      <c r="AI427" t="str">
        <f>"66298798057807"</f>
        <v>66298798057807</v>
      </c>
      <c r="AJ427" t="str">
        <f>"33410H87700H000"</f>
        <v>33410H87700H000</v>
      </c>
      <c r="AK427" t="s">
        <v>46</v>
      </c>
      <c r="AL427" s="1">
        <v>44816.546064814815</v>
      </c>
      <c r="AM427" t="s">
        <v>44</v>
      </c>
    </row>
    <row r="428" spans="1:39" x14ac:dyDescent="0.2">
      <c r="A428" t="s">
        <v>488</v>
      </c>
      <c r="B428" t="s">
        <v>40</v>
      </c>
      <c r="C428" t="s">
        <v>464</v>
      </c>
      <c r="D428" t="s">
        <v>42</v>
      </c>
      <c r="E428" t="s">
        <v>43</v>
      </c>
      <c r="F428" t="s">
        <v>44</v>
      </c>
      <c r="G428" t="s">
        <v>45</v>
      </c>
      <c r="AH428" t="s">
        <v>42</v>
      </c>
      <c r="AI428" t="str">
        <f>"66298798096122"</f>
        <v>66298798096122</v>
      </c>
      <c r="AJ428" t="str">
        <f>"VB007"</f>
        <v>VB007</v>
      </c>
      <c r="AK428" t="s">
        <v>46</v>
      </c>
      <c r="AL428" s="1">
        <v>44816.546064814815</v>
      </c>
      <c r="AM428" t="s">
        <v>44</v>
      </c>
    </row>
    <row r="429" spans="1:39" x14ac:dyDescent="0.2">
      <c r="A429" t="s">
        <v>489</v>
      </c>
      <c r="B429" t="s">
        <v>40</v>
      </c>
      <c r="C429" t="s">
        <v>464</v>
      </c>
      <c r="D429" t="s">
        <v>42</v>
      </c>
      <c r="E429" t="s">
        <v>43</v>
      </c>
      <c r="F429" t="s">
        <v>44</v>
      </c>
      <c r="G429" t="s">
        <v>45</v>
      </c>
      <c r="AH429" t="s">
        <v>42</v>
      </c>
      <c r="AI429" t="str">
        <f>"85230"</f>
        <v>85230</v>
      </c>
      <c r="AJ429" t="str">
        <f>"85230"</f>
        <v>85230</v>
      </c>
      <c r="AK429" t="s">
        <v>46</v>
      </c>
      <c r="AL429" s="1">
        <v>45063.861805555556</v>
      </c>
      <c r="AM429" t="s">
        <v>44</v>
      </c>
    </row>
    <row r="430" spans="1:39" x14ac:dyDescent="0.2">
      <c r="A430" t="s">
        <v>490</v>
      </c>
      <c r="B430" t="s">
        <v>40</v>
      </c>
      <c r="C430" t="s">
        <v>464</v>
      </c>
      <c r="D430" t="s">
        <v>42</v>
      </c>
      <c r="E430" t="s">
        <v>43</v>
      </c>
      <c r="F430" t="s">
        <v>44</v>
      </c>
      <c r="G430" t="s">
        <v>45</v>
      </c>
      <c r="AH430" t="s">
        <v>42</v>
      </c>
      <c r="AI430" t="str">
        <f>"66298798136214"</f>
        <v>66298798136214</v>
      </c>
      <c r="AJ430" t="str">
        <f>"80792"</f>
        <v>80792</v>
      </c>
      <c r="AK430" t="s">
        <v>46</v>
      </c>
      <c r="AL430" s="1">
        <v>44816.546076388891</v>
      </c>
      <c r="AM430" t="s">
        <v>44</v>
      </c>
    </row>
    <row r="431" spans="1:39" x14ac:dyDescent="0.2">
      <c r="A431" t="s">
        <v>491</v>
      </c>
      <c r="B431" t="s">
        <v>40</v>
      </c>
      <c r="C431" t="s">
        <v>464</v>
      </c>
      <c r="D431" t="s">
        <v>42</v>
      </c>
      <c r="E431" t="s">
        <v>43</v>
      </c>
      <c r="F431" t="s">
        <v>44</v>
      </c>
      <c r="G431" t="s">
        <v>45</v>
      </c>
      <c r="AH431" t="s">
        <v>42</v>
      </c>
      <c r="AI431" t="str">
        <f>"66298798178433"</f>
        <v>66298798178433</v>
      </c>
      <c r="AJ431" t="str">
        <f>"1P5-H2310-00"</f>
        <v>1P5-H2310-00</v>
      </c>
      <c r="AK431" t="s">
        <v>46</v>
      </c>
      <c r="AL431" s="1">
        <v>44816.546076388891</v>
      </c>
      <c r="AM431" t="s">
        <v>44</v>
      </c>
    </row>
    <row r="432" spans="1:39" x14ac:dyDescent="0.2">
      <c r="A432" t="s">
        <v>492</v>
      </c>
      <c r="B432" t="s">
        <v>40</v>
      </c>
      <c r="C432" t="s">
        <v>493</v>
      </c>
      <c r="D432" t="s">
        <v>42</v>
      </c>
      <c r="E432" t="s">
        <v>43</v>
      </c>
      <c r="F432" t="s">
        <v>44</v>
      </c>
      <c r="G432" t="s">
        <v>45</v>
      </c>
      <c r="AH432" t="s">
        <v>42</v>
      </c>
      <c r="AI432" t="str">
        <f>"66298798284733"</f>
        <v>66298798284733</v>
      </c>
      <c r="AJ432" t="str">
        <f>"190302"</f>
        <v>190302</v>
      </c>
      <c r="AK432" t="s">
        <v>46</v>
      </c>
      <c r="AL432" s="1">
        <v>44816.546087962961</v>
      </c>
      <c r="AM432" t="s">
        <v>44</v>
      </c>
    </row>
    <row r="433" spans="1:39" x14ac:dyDescent="0.2">
      <c r="A433" t="s">
        <v>494</v>
      </c>
      <c r="B433" t="s">
        <v>40</v>
      </c>
      <c r="C433" t="s">
        <v>493</v>
      </c>
      <c r="D433" t="s">
        <v>42</v>
      </c>
      <c r="E433" t="s">
        <v>43</v>
      </c>
      <c r="F433" t="s">
        <v>44</v>
      </c>
      <c r="G433" t="s">
        <v>45</v>
      </c>
      <c r="AH433" t="s">
        <v>42</v>
      </c>
      <c r="AI433" t="str">
        <f>"66298798324111"</f>
        <v>66298798324111</v>
      </c>
      <c r="AJ433" t="str">
        <f>"400593"</f>
        <v>400593</v>
      </c>
      <c r="AK433" t="s">
        <v>46</v>
      </c>
      <c r="AL433" s="1">
        <v>44816.546099537038</v>
      </c>
      <c r="AM433" t="s">
        <v>44</v>
      </c>
    </row>
    <row r="434" spans="1:39" x14ac:dyDescent="0.2">
      <c r="A434" t="s">
        <v>495</v>
      </c>
      <c r="B434" t="s">
        <v>40</v>
      </c>
      <c r="C434" t="s">
        <v>493</v>
      </c>
      <c r="D434" t="s">
        <v>42</v>
      </c>
      <c r="E434" t="s">
        <v>43</v>
      </c>
      <c r="F434" t="s">
        <v>44</v>
      </c>
      <c r="G434" t="s">
        <v>45</v>
      </c>
      <c r="AH434" t="s">
        <v>42</v>
      </c>
      <c r="AI434" t="str">
        <f>"66298798367345"</f>
        <v>66298798367345</v>
      </c>
      <c r="AJ434" t="str">
        <f>"827"</f>
        <v>827</v>
      </c>
      <c r="AK434" t="s">
        <v>46</v>
      </c>
      <c r="AL434" s="1">
        <v>44816.546099537038</v>
      </c>
      <c r="AM434" t="s">
        <v>44</v>
      </c>
    </row>
    <row r="435" spans="1:39" x14ac:dyDescent="0.2">
      <c r="A435" t="s">
        <v>496</v>
      </c>
      <c r="B435" t="s">
        <v>40</v>
      </c>
      <c r="C435" t="s">
        <v>493</v>
      </c>
      <c r="D435" t="s">
        <v>42</v>
      </c>
      <c r="E435" t="s">
        <v>43</v>
      </c>
      <c r="F435" t="s">
        <v>44</v>
      </c>
      <c r="G435" t="s">
        <v>45</v>
      </c>
      <c r="AH435" t="s">
        <v>42</v>
      </c>
      <c r="AI435" t="str">
        <f>"66298798221015"</f>
        <v>66298798221015</v>
      </c>
      <c r="AJ435" t="str">
        <f>"80795"</f>
        <v>80795</v>
      </c>
      <c r="AK435" t="s">
        <v>46</v>
      </c>
      <c r="AL435" s="1">
        <v>44816.546087962961</v>
      </c>
      <c r="AM435" t="s">
        <v>44</v>
      </c>
    </row>
    <row r="436" spans="1:39" x14ac:dyDescent="0.2">
      <c r="A436" t="s">
        <v>496</v>
      </c>
      <c r="B436" t="s">
        <v>40</v>
      </c>
      <c r="C436" t="s">
        <v>493</v>
      </c>
      <c r="D436" t="s">
        <v>42</v>
      </c>
      <c r="E436" t="s">
        <v>43</v>
      </c>
      <c r="F436" t="s">
        <v>44</v>
      </c>
      <c r="G436" t="s">
        <v>45</v>
      </c>
      <c r="AH436" t="s">
        <v>42</v>
      </c>
      <c r="AI436" t="str">
        <f>"66298798226039"</f>
        <v>66298798226039</v>
      </c>
      <c r="AJ436" t="str">
        <f>"80794"</f>
        <v>80794</v>
      </c>
      <c r="AK436" t="s">
        <v>46</v>
      </c>
      <c r="AL436" s="1">
        <v>44816.546087962961</v>
      </c>
      <c r="AM436" t="s">
        <v>44</v>
      </c>
    </row>
    <row r="437" spans="1:39" x14ac:dyDescent="0.2">
      <c r="A437" t="s">
        <v>497</v>
      </c>
      <c r="B437" t="s">
        <v>40</v>
      </c>
      <c r="C437" t="s">
        <v>493</v>
      </c>
      <c r="D437" t="s">
        <v>42</v>
      </c>
      <c r="E437" t="s">
        <v>43</v>
      </c>
      <c r="F437" t="s">
        <v>44</v>
      </c>
      <c r="G437" t="s">
        <v>45</v>
      </c>
      <c r="AH437" t="s">
        <v>42</v>
      </c>
      <c r="AI437" t="str">
        <f>"66298798406164"</f>
        <v>66298798406164</v>
      </c>
      <c r="AJ437" t="str">
        <f>"81797"</f>
        <v>81797</v>
      </c>
      <c r="AK437" t="s">
        <v>46</v>
      </c>
      <c r="AL437" s="1">
        <v>44816.546111111114</v>
      </c>
      <c r="AM437" t="s">
        <v>44</v>
      </c>
    </row>
    <row r="438" spans="1:39" x14ac:dyDescent="0.2">
      <c r="A438" t="s">
        <v>498</v>
      </c>
      <c r="B438" t="s">
        <v>40</v>
      </c>
      <c r="C438" t="s">
        <v>493</v>
      </c>
      <c r="D438" t="s">
        <v>42</v>
      </c>
      <c r="E438" t="s">
        <v>43</v>
      </c>
      <c r="F438" t="s">
        <v>44</v>
      </c>
      <c r="G438" t="s">
        <v>45</v>
      </c>
      <c r="AH438" t="s">
        <v>42</v>
      </c>
      <c r="AI438" t="str">
        <f>"66298798449230"</f>
        <v>66298798449230</v>
      </c>
      <c r="AJ438" t="str">
        <f>"BOCINA"</f>
        <v>BOCINA</v>
      </c>
      <c r="AK438" t="s">
        <v>46</v>
      </c>
      <c r="AL438" s="1">
        <v>44816.546111111114</v>
      </c>
      <c r="AM438" t="s">
        <v>44</v>
      </c>
    </row>
    <row r="439" spans="1:39" x14ac:dyDescent="0.2">
      <c r="A439" t="s">
        <v>499</v>
      </c>
      <c r="B439" t="s">
        <v>40</v>
      </c>
      <c r="C439" t="s">
        <v>50</v>
      </c>
      <c r="D439" t="s">
        <v>42</v>
      </c>
      <c r="E439" t="s">
        <v>43</v>
      </c>
      <c r="F439" t="s">
        <v>44</v>
      </c>
      <c r="G439" t="s">
        <v>45</v>
      </c>
      <c r="AH439" t="s">
        <v>42</v>
      </c>
      <c r="AI439" t="str">
        <f>"66298798491810"</f>
        <v>66298798491810</v>
      </c>
      <c r="AJ439" t="str">
        <f>"BOLSA-VINI"</f>
        <v>BOLSA-VINI</v>
      </c>
      <c r="AK439" t="s">
        <v>46</v>
      </c>
      <c r="AL439" s="1">
        <v>44816.546111111114</v>
      </c>
      <c r="AM439" t="s">
        <v>44</v>
      </c>
    </row>
    <row r="440" spans="1:39" x14ac:dyDescent="0.2">
      <c r="A440" t="s">
        <v>500</v>
      </c>
      <c r="B440" t="s">
        <v>40</v>
      </c>
      <c r="C440" t="s">
        <v>501</v>
      </c>
      <c r="D440" t="s">
        <v>42</v>
      </c>
      <c r="E440" t="s">
        <v>43</v>
      </c>
      <c r="F440" t="s">
        <v>44</v>
      </c>
      <c r="G440" t="s">
        <v>45</v>
      </c>
      <c r="AH440" t="s">
        <v>42</v>
      </c>
      <c r="AI440" t="str">
        <f>"66298798533811"</f>
        <v>66298798533811</v>
      </c>
      <c r="AJ440" t="str">
        <f>"400762"</f>
        <v>400762</v>
      </c>
      <c r="AK440" t="s">
        <v>46</v>
      </c>
      <c r="AL440" s="1">
        <v>44816.546122685184</v>
      </c>
      <c r="AM440" t="s">
        <v>44</v>
      </c>
    </row>
    <row r="441" spans="1:39" x14ac:dyDescent="0.2">
      <c r="A441" t="s">
        <v>502</v>
      </c>
      <c r="B441" t="s">
        <v>40</v>
      </c>
      <c r="C441" t="s">
        <v>501</v>
      </c>
      <c r="D441" t="s">
        <v>42</v>
      </c>
      <c r="E441" t="s">
        <v>43</v>
      </c>
      <c r="F441" t="s">
        <v>44</v>
      </c>
      <c r="G441" t="s">
        <v>45</v>
      </c>
      <c r="AH441" t="s">
        <v>42</v>
      </c>
      <c r="AI441" t="str">
        <f>"B092"</f>
        <v>B092</v>
      </c>
      <c r="AJ441" t="str">
        <f>"B092"</f>
        <v>B092</v>
      </c>
      <c r="AK441" t="s">
        <v>46</v>
      </c>
      <c r="AL441" s="1">
        <v>44816.546122685184</v>
      </c>
      <c r="AM441" t="s">
        <v>44</v>
      </c>
    </row>
    <row r="442" spans="1:39" x14ac:dyDescent="0.2">
      <c r="A442" t="s">
        <v>503</v>
      </c>
      <c r="B442" t="s">
        <v>40</v>
      </c>
      <c r="C442" t="s">
        <v>501</v>
      </c>
      <c r="D442" t="s">
        <v>42</v>
      </c>
      <c r="E442" t="s">
        <v>43</v>
      </c>
      <c r="F442" t="s">
        <v>44</v>
      </c>
      <c r="G442" t="s">
        <v>45</v>
      </c>
      <c r="AH442" t="s">
        <v>42</v>
      </c>
      <c r="AI442" t="str">
        <f>"66298798661833"</f>
        <v>66298798661833</v>
      </c>
      <c r="AJ442" t="str">
        <f>"400765"</f>
        <v>400765</v>
      </c>
      <c r="AK442" t="s">
        <v>46</v>
      </c>
      <c r="AL442" s="1">
        <v>44816.546134259261</v>
      </c>
      <c r="AM442" t="s">
        <v>44</v>
      </c>
    </row>
    <row r="443" spans="1:39" x14ac:dyDescent="0.2">
      <c r="A443" t="s">
        <v>504</v>
      </c>
      <c r="B443" t="s">
        <v>40</v>
      </c>
      <c r="C443" t="s">
        <v>501</v>
      </c>
      <c r="D443" t="s">
        <v>42</v>
      </c>
      <c r="E443" t="s">
        <v>43</v>
      </c>
      <c r="F443" t="s">
        <v>44</v>
      </c>
      <c r="G443" t="s">
        <v>45</v>
      </c>
      <c r="AH443" t="s">
        <v>42</v>
      </c>
      <c r="AI443" t="str">
        <f>"11450"</f>
        <v>11450</v>
      </c>
      <c r="AJ443" t="str">
        <f>"11450"</f>
        <v>11450</v>
      </c>
      <c r="AK443" t="s">
        <v>46</v>
      </c>
      <c r="AL443" s="1">
        <v>45076.62704861111</v>
      </c>
      <c r="AM443" t="s">
        <v>44</v>
      </c>
    </row>
    <row r="444" spans="1:39" x14ac:dyDescent="0.2">
      <c r="A444" t="s">
        <v>505</v>
      </c>
      <c r="B444" t="s">
        <v>40</v>
      </c>
      <c r="C444" t="s">
        <v>501</v>
      </c>
      <c r="D444" t="s">
        <v>42</v>
      </c>
      <c r="E444" t="s">
        <v>43</v>
      </c>
      <c r="F444" t="s">
        <v>44</v>
      </c>
      <c r="G444" t="s">
        <v>45</v>
      </c>
      <c r="AH444" t="s">
        <v>42</v>
      </c>
      <c r="AI444" t="str">
        <f>"66298798617551"</f>
        <v>66298798617551</v>
      </c>
      <c r="AJ444" t="str">
        <f>"400998"</f>
        <v>400998</v>
      </c>
      <c r="AK444" t="s">
        <v>46</v>
      </c>
      <c r="AL444" s="1">
        <v>44816.546134259261</v>
      </c>
      <c r="AM444" t="s">
        <v>44</v>
      </c>
    </row>
    <row r="445" spans="1:39" x14ac:dyDescent="0.2">
      <c r="A445" t="s">
        <v>506</v>
      </c>
      <c r="B445" t="s">
        <v>40</v>
      </c>
      <c r="C445" t="s">
        <v>501</v>
      </c>
      <c r="D445" t="s">
        <v>42</v>
      </c>
      <c r="E445" t="s">
        <v>43</v>
      </c>
      <c r="F445" t="s">
        <v>44</v>
      </c>
      <c r="G445" t="s">
        <v>45</v>
      </c>
      <c r="AH445" t="s">
        <v>42</v>
      </c>
      <c r="AI445" t="str">
        <f>"66298798703427"</f>
        <v>66298798703427</v>
      </c>
      <c r="AJ445" t="str">
        <f>"400766"</f>
        <v>400766</v>
      </c>
      <c r="AK445" t="s">
        <v>46</v>
      </c>
      <c r="AL445" s="1">
        <v>44816.54614583333</v>
      </c>
      <c r="AM445" t="s">
        <v>44</v>
      </c>
    </row>
    <row r="446" spans="1:39" x14ac:dyDescent="0.2">
      <c r="A446" t="s">
        <v>507</v>
      </c>
      <c r="B446" t="s">
        <v>40</v>
      </c>
      <c r="C446" t="s">
        <v>501</v>
      </c>
      <c r="D446" t="s">
        <v>42</v>
      </c>
      <c r="E446" t="s">
        <v>43</v>
      </c>
      <c r="F446" t="s">
        <v>44</v>
      </c>
      <c r="G446" t="s">
        <v>45</v>
      </c>
      <c r="AH446" t="s">
        <v>42</v>
      </c>
      <c r="AI446" t="str">
        <f>"66298798749546"</f>
        <v>66298798749546</v>
      </c>
      <c r="AJ446" t="str">
        <f>"80319"</f>
        <v>80319</v>
      </c>
      <c r="AK446" t="s">
        <v>46</v>
      </c>
      <c r="AL446" s="1">
        <v>44816.54614583333</v>
      </c>
      <c r="AM446" t="s">
        <v>44</v>
      </c>
    </row>
    <row r="447" spans="1:39" x14ac:dyDescent="0.2">
      <c r="A447" t="s">
        <v>508</v>
      </c>
      <c r="B447" t="s">
        <v>40</v>
      </c>
      <c r="C447" t="s">
        <v>501</v>
      </c>
      <c r="D447" t="s">
        <v>42</v>
      </c>
      <c r="E447" t="s">
        <v>43</v>
      </c>
      <c r="F447" t="s">
        <v>44</v>
      </c>
      <c r="G447" t="s">
        <v>45</v>
      </c>
      <c r="AH447" t="s">
        <v>42</v>
      </c>
      <c r="AI447" t="str">
        <f>"66298798830569"</f>
        <v>66298798830569</v>
      </c>
      <c r="AJ447" t="str">
        <f>"400763"</f>
        <v>400763</v>
      </c>
      <c r="AK447" t="s">
        <v>46</v>
      </c>
      <c r="AL447" s="1">
        <v>44816.546157407407</v>
      </c>
      <c r="AM447" t="s">
        <v>44</v>
      </c>
    </row>
    <row r="448" spans="1:39" x14ac:dyDescent="0.2">
      <c r="A448" t="s">
        <v>509</v>
      </c>
      <c r="B448" t="s">
        <v>40</v>
      </c>
      <c r="C448" t="s">
        <v>501</v>
      </c>
      <c r="D448" t="s">
        <v>42</v>
      </c>
      <c r="E448" t="s">
        <v>43</v>
      </c>
      <c r="F448" t="s">
        <v>44</v>
      </c>
      <c r="G448" t="s">
        <v>45</v>
      </c>
      <c r="AH448" t="s">
        <v>42</v>
      </c>
      <c r="AI448" t="str">
        <f>"66298798788674"</f>
        <v>66298798788674</v>
      </c>
      <c r="AJ448" t="str">
        <f>"81359"</f>
        <v>81359</v>
      </c>
      <c r="AK448" t="s">
        <v>46</v>
      </c>
      <c r="AL448" s="1">
        <v>44816.54614583333</v>
      </c>
      <c r="AM448" t="s">
        <v>44</v>
      </c>
    </row>
    <row r="449" spans="1:39" x14ac:dyDescent="0.2">
      <c r="A449" t="s">
        <v>510</v>
      </c>
      <c r="B449" t="s">
        <v>40</v>
      </c>
      <c r="C449" t="s">
        <v>501</v>
      </c>
      <c r="D449" t="s">
        <v>42</v>
      </c>
      <c r="E449" t="s">
        <v>43</v>
      </c>
      <c r="F449" t="s">
        <v>44</v>
      </c>
      <c r="G449" t="s">
        <v>45</v>
      </c>
      <c r="AH449" t="s">
        <v>42</v>
      </c>
      <c r="AI449" t="str">
        <f>"66298798871149"</f>
        <v>66298798871149</v>
      </c>
      <c r="AJ449" t="str">
        <f>"400760"</f>
        <v>400760</v>
      </c>
      <c r="AK449" t="s">
        <v>46</v>
      </c>
      <c r="AL449" s="1">
        <v>44816.546157407407</v>
      </c>
      <c r="AM449" t="s">
        <v>44</v>
      </c>
    </row>
    <row r="450" spans="1:39" x14ac:dyDescent="0.2">
      <c r="A450" t="s">
        <v>511</v>
      </c>
      <c r="B450" t="s">
        <v>40</v>
      </c>
      <c r="C450" t="s">
        <v>501</v>
      </c>
      <c r="D450" t="s">
        <v>42</v>
      </c>
      <c r="E450" t="s">
        <v>43</v>
      </c>
      <c r="F450" t="s">
        <v>44</v>
      </c>
      <c r="G450" t="s">
        <v>45</v>
      </c>
      <c r="AH450" t="s">
        <v>42</v>
      </c>
      <c r="AI450" t="str">
        <f>"66298798910168"</f>
        <v>66298798910168</v>
      </c>
      <c r="AJ450" t="str">
        <f>"CP002"</f>
        <v>CP002</v>
      </c>
      <c r="AK450" t="s">
        <v>46</v>
      </c>
      <c r="AL450" s="1">
        <v>44816.546168981484</v>
      </c>
      <c r="AM450" t="s">
        <v>44</v>
      </c>
    </row>
    <row r="451" spans="1:39" x14ac:dyDescent="0.2">
      <c r="A451" t="s">
        <v>512</v>
      </c>
      <c r="B451" t="s">
        <v>40</v>
      </c>
      <c r="C451" t="s">
        <v>501</v>
      </c>
      <c r="D451" t="s">
        <v>42</v>
      </c>
      <c r="E451" t="s">
        <v>43</v>
      </c>
      <c r="F451" t="s">
        <v>44</v>
      </c>
      <c r="G451" t="s">
        <v>45</v>
      </c>
      <c r="AH451" t="s">
        <v>42</v>
      </c>
      <c r="AI451" t="str">
        <f>"66298798952749"</f>
        <v>66298798952749</v>
      </c>
      <c r="AJ451" t="str">
        <f>"83941"</f>
        <v>83941</v>
      </c>
      <c r="AK451" t="s">
        <v>46</v>
      </c>
      <c r="AL451" s="1">
        <v>44816.546168981484</v>
      </c>
      <c r="AM451" t="s">
        <v>44</v>
      </c>
    </row>
    <row r="452" spans="1:39" x14ac:dyDescent="0.2">
      <c r="A452" t="s">
        <v>513</v>
      </c>
      <c r="B452" t="s">
        <v>40</v>
      </c>
      <c r="C452" t="s">
        <v>501</v>
      </c>
      <c r="D452" t="s">
        <v>42</v>
      </c>
      <c r="E452" t="s">
        <v>43</v>
      </c>
      <c r="F452" t="s">
        <v>44</v>
      </c>
      <c r="G452" t="s">
        <v>45</v>
      </c>
      <c r="AH452" t="s">
        <v>42</v>
      </c>
      <c r="AI452" t="str">
        <f>"66298798996589"</f>
        <v>66298798996589</v>
      </c>
      <c r="AJ452" t="str">
        <f>"400761"</f>
        <v>400761</v>
      </c>
      <c r="AK452" t="s">
        <v>46</v>
      </c>
      <c r="AL452" s="1">
        <v>44816.546168981484</v>
      </c>
      <c r="AM452" t="s">
        <v>44</v>
      </c>
    </row>
    <row r="453" spans="1:39" x14ac:dyDescent="0.2">
      <c r="A453" t="s">
        <v>514</v>
      </c>
      <c r="B453" t="s">
        <v>40</v>
      </c>
      <c r="C453" t="s">
        <v>501</v>
      </c>
      <c r="D453" t="s">
        <v>42</v>
      </c>
      <c r="E453" t="s">
        <v>43</v>
      </c>
      <c r="F453" t="s">
        <v>44</v>
      </c>
      <c r="G453" t="s">
        <v>45</v>
      </c>
      <c r="AH453" t="s">
        <v>42</v>
      </c>
      <c r="AI453" t="str">
        <f>"CP009"</f>
        <v>CP009</v>
      </c>
      <c r="AJ453" t="str">
        <f>"CP009"</f>
        <v>CP009</v>
      </c>
      <c r="AK453" t="s">
        <v>46</v>
      </c>
      <c r="AL453" s="1">
        <v>45086.732546296298</v>
      </c>
      <c r="AM453" t="s">
        <v>44</v>
      </c>
    </row>
    <row r="454" spans="1:39" x14ac:dyDescent="0.2">
      <c r="A454" t="s">
        <v>515</v>
      </c>
      <c r="B454" t="s">
        <v>40</v>
      </c>
      <c r="C454" t="s">
        <v>501</v>
      </c>
      <c r="D454" t="s">
        <v>42</v>
      </c>
      <c r="E454" t="s">
        <v>43</v>
      </c>
      <c r="F454" t="s">
        <v>44</v>
      </c>
      <c r="G454" t="s">
        <v>45</v>
      </c>
      <c r="AH454" t="s">
        <v>42</v>
      </c>
      <c r="AI454" t="str">
        <f>"66298799035344"</f>
        <v>66298799035344</v>
      </c>
      <c r="AJ454" t="str">
        <f>"400764"</f>
        <v>400764</v>
      </c>
      <c r="AK454" t="s">
        <v>46</v>
      </c>
      <c r="AL454" s="1">
        <v>44816.546180555553</v>
      </c>
      <c r="AM454" t="s">
        <v>44</v>
      </c>
    </row>
    <row r="455" spans="1:39" x14ac:dyDescent="0.2">
      <c r="A455" t="s">
        <v>516</v>
      </c>
      <c r="B455" t="s">
        <v>40</v>
      </c>
      <c r="C455" t="s">
        <v>501</v>
      </c>
      <c r="D455" t="s">
        <v>42</v>
      </c>
      <c r="E455" t="s">
        <v>43</v>
      </c>
      <c r="F455" t="s">
        <v>44</v>
      </c>
      <c r="G455" t="s">
        <v>45</v>
      </c>
      <c r="AH455" t="s">
        <v>42</v>
      </c>
      <c r="AI455" t="str">
        <f>"12167"</f>
        <v>12167</v>
      </c>
      <c r="AJ455" t="str">
        <f>"12167"</f>
        <v>12167</v>
      </c>
      <c r="AK455" t="s">
        <v>46</v>
      </c>
      <c r="AL455" s="1">
        <v>45120.847268518519</v>
      </c>
      <c r="AM455" t="s">
        <v>44</v>
      </c>
    </row>
    <row r="456" spans="1:39" x14ac:dyDescent="0.2">
      <c r="A456" t="s">
        <v>517</v>
      </c>
      <c r="B456" t="s">
        <v>40</v>
      </c>
      <c r="C456" t="s">
        <v>518</v>
      </c>
      <c r="D456" t="s">
        <v>42</v>
      </c>
      <c r="E456" t="s">
        <v>43</v>
      </c>
      <c r="F456" t="s">
        <v>44</v>
      </c>
      <c r="G456" t="s">
        <v>45</v>
      </c>
      <c r="AH456" t="s">
        <v>42</v>
      </c>
      <c r="AI456" t="str">
        <f>"HFP-382H"</f>
        <v>HFP-382H</v>
      </c>
      <c r="AJ456" t="str">
        <f>"HFP-382H"</f>
        <v>HFP-382H</v>
      </c>
      <c r="AK456" t="s">
        <v>46</v>
      </c>
      <c r="AL456" s="1">
        <v>45061.598946759259</v>
      </c>
      <c r="AM456" t="s">
        <v>44</v>
      </c>
    </row>
    <row r="457" spans="1:39" x14ac:dyDescent="0.2">
      <c r="A457" t="s">
        <v>519</v>
      </c>
      <c r="B457" t="s">
        <v>40</v>
      </c>
      <c r="C457" t="s">
        <v>518</v>
      </c>
      <c r="D457" t="s">
        <v>42</v>
      </c>
      <c r="E457" t="s">
        <v>43</v>
      </c>
      <c r="F457" t="s">
        <v>44</v>
      </c>
      <c r="G457" t="s">
        <v>45</v>
      </c>
      <c r="AH457" t="s">
        <v>42</v>
      </c>
      <c r="AI457" t="str">
        <f>"66298799077286"</f>
        <v>66298799077286</v>
      </c>
      <c r="AJ457" t="str">
        <f>"AG50"</f>
        <v>AG50</v>
      </c>
      <c r="AK457" t="s">
        <v>46</v>
      </c>
      <c r="AL457" s="1">
        <v>44816.546180555553</v>
      </c>
      <c r="AM457" t="s">
        <v>44</v>
      </c>
    </row>
    <row r="458" spans="1:39" x14ac:dyDescent="0.2">
      <c r="A458" t="s">
        <v>520</v>
      </c>
      <c r="B458" t="s">
        <v>40</v>
      </c>
      <c r="C458" t="s">
        <v>518</v>
      </c>
      <c r="D458" t="s">
        <v>42</v>
      </c>
      <c r="E458" t="s">
        <v>43</v>
      </c>
      <c r="F458" t="s">
        <v>44</v>
      </c>
      <c r="G458" t="s">
        <v>45</v>
      </c>
      <c r="AH458" t="s">
        <v>42</v>
      </c>
      <c r="AI458" t="str">
        <f>"66298799126851"</f>
        <v>66298799126851</v>
      </c>
      <c r="AJ458" t="str">
        <f>"GRACE-F13-7"</f>
        <v>GRACE-F13-7</v>
      </c>
      <c r="AK458" t="s">
        <v>46</v>
      </c>
      <c r="AL458" s="1">
        <v>44816.54619212963</v>
      </c>
      <c r="AM458" t="s">
        <v>44</v>
      </c>
    </row>
    <row r="459" spans="1:39" x14ac:dyDescent="0.2">
      <c r="A459" t="s">
        <v>521</v>
      </c>
      <c r="B459" t="s">
        <v>40</v>
      </c>
      <c r="C459" t="s">
        <v>518</v>
      </c>
      <c r="D459" t="s">
        <v>42</v>
      </c>
      <c r="E459" t="s">
        <v>43</v>
      </c>
      <c r="F459" t="s">
        <v>44</v>
      </c>
      <c r="G459" t="s">
        <v>45</v>
      </c>
      <c r="AH459" t="s">
        <v>42</v>
      </c>
      <c r="AI459" t="str">
        <f>"66298799172507"</f>
        <v>66298799172507</v>
      </c>
      <c r="AJ459" t="str">
        <f>"HFP-382K"</f>
        <v>HFP-382K</v>
      </c>
      <c r="AK459" t="s">
        <v>46</v>
      </c>
      <c r="AL459" s="1">
        <v>44816.54619212963</v>
      </c>
      <c r="AM459" t="s">
        <v>44</v>
      </c>
    </row>
    <row r="460" spans="1:39" x14ac:dyDescent="0.2">
      <c r="A460" t="s">
        <v>522</v>
      </c>
      <c r="B460" t="s">
        <v>40</v>
      </c>
      <c r="C460" t="s">
        <v>518</v>
      </c>
      <c r="D460" t="s">
        <v>42</v>
      </c>
      <c r="E460" t="s">
        <v>43</v>
      </c>
      <c r="F460" t="s">
        <v>44</v>
      </c>
      <c r="G460" t="s">
        <v>45</v>
      </c>
      <c r="AH460" t="s">
        <v>42</v>
      </c>
      <c r="AI460" t="str">
        <f>"66298799209613"</f>
        <v>66298799209613</v>
      </c>
      <c r="AJ460" t="str">
        <f>"HFP-389"</f>
        <v>HFP-389</v>
      </c>
      <c r="AK460" t="s">
        <v>46</v>
      </c>
      <c r="AL460" s="1">
        <v>44816.546203703707</v>
      </c>
      <c r="AM460" t="s">
        <v>44</v>
      </c>
    </row>
    <row r="461" spans="1:39" x14ac:dyDescent="0.2">
      <c r="A461" t="s">
        <v>523</v>
      </c>
      <c r="B461" t="s">
        <v>40</v>
      </c>
      <c r="C461" t="s">
        <v>524</v>
      </c>
      <c r="D461" t="s">
        <v>42</v>
      </c>
      <c r="E461" t="s">
        <v>43</v>
      </c>
      <c r="F461" t="s">
        <v>44</v>
      </c>
      <c r="G461" t="s">
        <v>45</v>
      </c>
      <c r="AH461" t="s">
        <v>42</v>
      </c>
      <c r="AI461" t="str">
        <f>"66298799292049"</f>
        <v>66298799292049</v>
      </c>
      <c r="AJ461" t="str">
        <f>"W150"</f>
        <v>W150</v>
      </c>
      <c r="AK461" t="s">
        <v>46</v>
      </c>
      <c r="AL461" s="1">
        <v>44816.546203703707</v>
      </c>
      <c r="AM461" t="s">
        <v>44</v>
      </c>
    </row>
    <row r="462" spans="1:39" x14ac:dyDescent="0.2">
      <c r="A462" t="s">
        <v>525</v>
      </c>
      <c r="B462" t="s">
        <v>40</v>
      </c>
      <c r="C462" t="s">
        <v>524</v>
      </c>
      <c r="D462" t="s">
        <v>42</v>
      </c>
      <c r="E462" t="s">
        <v>43</v>
      </c>
      <c r="F462" t="s">
        <v>44</v>
      </c>
      <c r="G462" t="s">
        <v>45</v>
      </c>
      <c r="AH462" t="s">
        <v>42</v>
      </c>
      <c r="AI462" t="str">
        <f>"Q014"</f>
        <v>Q014</v>
      </c>
      <c r="AJ462" t="str">
        <f>"Q014"</f>
        <v>Q014</v>
      </c>
      <c r="AK462" t="s">
        <v>46</v>
      </c>
      <c r="AL462" s="1">
        <v>44816.546215277776</v>
      </c>
      <c r="AM462" t="s">
        <v>44</v>
      </c>
    </row>
    <row r="463" spans="1:39" x14ac:dyDescent="0.2">
      <c r="A463" t="s">
        <v>526</v>
      </c>
      <c r="B463" t="s">
        <v>40</v>
      </c>
      <c r="C463" t="s">
        <v>524</v>
      </c>
      <c r="D463" t="s">
        <v>42</v>
      </c>
      <c r="E463" t="s">
        <v>43</v>
      </c>
      <c r="F463" t="s">
        <v>44</v>
      </c>
      <c r="G463" t="s">
        <v>45</v>
      </c>
      <c r="AH463" t="s">
        <v>42</v>
      </c>
      <c r="AI463" t="str">
        <f>"Q015"</f>
        <v>Q015</v>
      </c>
      <c r="AJ463" t="str">
        <f>"Q015"</f>
        <v>Q015</v>
      </c>
      <c r="AK463" t="s">
        <v>46</v>
      </c>
      <c r="AL463" s="1">
        <v>44816.546215277776</v>
      </c>
      <c r="AM463" t="s">
        <v>44</v>
      </c>
    </row>
    <row r="464" spans="1:39" x14ac:dyDescent="0.2">
      <c r="A464" t="s">
        <v>527</v>
      </c>
      <c r="B464" t="s">
        <v>40</v>
      </c>
      <c r="C464" t="s">
        <v>524</v>
      </c>
      <c r="D464" t="s">
        <v>42</v>
      </c>
      <c r="E464" t="s">
        <v>43</v>
      </c>
      <c r="F464" t="s">
        <v>44</v>
      </c>
      <c r="G464" t="s">
        <v>45</v>
      </c>
      <c r="AH464" t="s">
        <v>42</v>
      </c>
      <c r="AI464" t="str">
        <f>"66298799623614"</f>
        <v>66298799623614</v>
      </c>
      <c r="AJ464" t="str">
        <f>"Q008"</f>
        <v>Q008</v>
      </c>
      <c r="AK464" t="s">
        <v>46</v>
      </c>
      <c r="AL464" s="1">
        <v>44816.546249999999</v>
      </c>
      <c r="AM464" t="s">
        <v>44</v>
      </c>
    </row>
    <row r="465" spans="1:39" x14ac:dyDescent="0.2">
      <c r="A465" t="s">
        <v>528</v>
      </c>
      <c r="B465" t="s">
        <v>40</v>
      </c>
      <c r="C465" t="s">
        <v>524</v>
      </c>
      <c r="D465" t="s">
        <v>42</v>
      </c>
      <c r="E465" t="s">
        <v>43</v>
      </c>
      <c r="F465" t="s">
        <v>44</v>
      </c>
      <c r="G465" t="s">
        <v>45</v>
      </c>
      <c r="AH465" t="s">
        <v>42</v>
      </c>
      <c r="AI465" t="str">
        <f>"Q007"</f>
        <v>Q007</v>
      </c>
      <c r="AJ465" t="str">
        <f>"Q007"</f>
        <v>Q007</v>
      </c>
      <c r="AK465" t="s">
        <v>46</v>
      </c>
      <c r="AL465" s="1">
        <v>44816.546226851853</v>
      </c>
      <c r="AM465" t="s">
        <v>44</v>
      </c>
    </row>
    <row r="466" spans="1:39" x14ac:dyDescent="0.2">
      <c r="A466" t="s">
        <v>529</v>
      </c>
      <c r="B466" t="s">
        <v>40</v>
      </c>
      <c r="C466" t="s">
        <v>524</v>
      </c>
      <c r="D466" t="s">
        <v>42</v>
      </c>
      <c r="E466" t="s">
        <v>43</v>
      </c>
      <c r="F466" t="s">
        <v>44</v>
      </c>
      <c r="G466" t="s">
        <v>45</v>
      </c>
      <c r="AH466" t="s">
        <v>42</v>
      </c>
      <c r="AI466" t="str">
        <f>"9399"</f>
        <v>9399</v>
      </c>
      <c r="AJ466" t="str">
        <f>"9399"</f>
        <v>9399</v>
      </c>
      <c r="AK466" t="s">
        <v>46</v>
      </c>
      <c r="AL466" s="1">
        <v>45118.85832175926</v>
      </c>
      <c r="AM466" t="s">
        <v>44</v>
      </c>
    </row>
    <row r="467" spans="1:39" x14ac:dyDescent="0.2">
      <c r="A467" t="s">
        <v>530</v>
      </c>
      <c r="B467" t="s">
        <v>40</v>
      </c>
      <c r="C467" t="s">
        <v>524</v>
      </c>
      <c r="D467" t="s">
        <v>42</v>
      </c>
      <c r="E467" t="s">
        <v>43</v>
      </c>
      <c r="F467" t="s">
        <v>44</v>
      </c>
      <c r="G467" t="s">
        <v>45</v>
      </c>
      <c r="AH467" t="s">
        <v>42</v>
      </c>
      <c r="AI467" t="str">
        <f>"66298799458059"</f>
        <v>66298799458059</v>
      </c>
      <c r="AJ467" t="str">
        <f>"400530"</f>
        <v>400530</v>
      </c>
      <c r="AK467" t="s">
        <v>46</v>
      </c>
      <c r="AL467" s="1">
        <v>44816.546226851853</v>
      </c>
      <c r="AM467" t="s">
        <v>44</v>
      </c>
    </row>
    <row r="468" spans="1:39" x14ac:dyDescent="0.2">
      <c r="A468" t="s">
        <v>531</v>
      </c>
      <c r="B468" t="s">
        <v>40</v>
      </c>
      <c r="C468" t="s">
        <v>524</v>
      </c>
      <c r="D468" t="s">
        <v>42</v>
      </c>
      <c r="E468" t="s">
        <v>43</v>
      </c>
      <c r="F468" t="s">
        <v>44</v>
      </c>
      <c r="G468" t="s">
        <v>45</v>
      </c>
      <c r="AH468" t="s">
        <v>42</v>
      </c>
      <c r="AI468" t="str">
        <f>"66298799495819"</f>
        <v>66298799495819</v>
      </c>
      <c r="AJ468" t="str">
        <f>"BF-GN125"</f>
        <v>BF-GN125</v>
      </c>
      <c r="AK468" t="s">
        <v>46</v>
      </c>
      <c r="AL468" s="1">
        <v>44816.546226851853</v>
      </c>
      <c r="AM468" t="s">
        <v>44</v>
      </c>
    </row>
    <row r="469" spans="1:39" x14ac:dyDescent="0.2">
      <c r="A469" t="s">
        <v>532</v>
      </c>
      <c r="B469" t="s">
        <v>40</v>
      </c>
      <c r="C469" t="s">
        <v>524</v>
      </c>
      <c r="D469" t="s">
        <v>42</v>
      </c>
      <c r="E469" t="s">
        <v>43</v>
      </c>
      <c r="F469" t="s">
        <v>44</v>
      </c>
      <c r="G469" t="s">
        <v>45</v>
      </c>
      <c r="AH469" t="s">
        <v>42</v>
      </c>
      <c r="AI469" t="str">
        <f>"Q013"</f>
        <v>Q013</v>
      </c>
      <c r="AJ469" t="str">
        <f>"Q013"</f>
        <v>Q013</v>
      </c>
      <c r="AK469" t="s">
        <v>46</v>
      </c>
      <c r="AL469" s="1">
        <v>45086.740879629629</v>
      </c>
      <c r="AM469" t="s">
        <v>44</v>
      </c>
    </row>
    <row r="470" spans="1:39" x14ac:dyDescent="0.2">
      <c r="A470" t="s">
        <v>533</v>
      </c>
      <c r="B470" t="s">
        <v>40</v>
      </c>
      <c r="C470" t="s">
        <v>524</v>
      </c>
      <c r="D470" t="s">
        <v>42</v>
      </c>
      <c r="E470" t="s">
        <v>43</v>
      </c>
      <c r="F470" t="s">
        <v>44</v>
      </c>
      <c r="G470" t="s">
        <v>45</v>
      </c>
      <c r="AH470" t="s">
        <v>42</v>
      </c>
      <c r="AI470" t="str">
        <f>"66298799535723"</f>
        <v>66298799535723</v>
      </c>
      <c r="AJ470" t="str">
        <f>"59064H2A080H000"</f>
        <v>59064H2A080H000</v>
      </c>
      <c r="AK470" t="s">
        <v>46</v>
      </c>
      <c r="AL470" s="1">
        <v>44816.546238425923</v>
      </c>
      <c r="AM470" t="s">
        <v>44</v>
      </c>
    </row>
    <row r="471" spans="1:39" x14ac:dyDescent="0.2">
      <c r="A471" t="s">
        <v>534</v>
      </c>
      <c r="B471" t="s">
        <v>40</v>
      </c>
      <c r="C471" t="s">
        <v>524</v>
      </c>
      <c r="D471" t="s">
        <v>42</v>
      </c>
      <c r="E471" t="s">
        <v>43</v>
      </c>
      <c r="F471" t="s">
        <v>44</v>
      </c>
      <c r="G471" t="s">
        <v>45</v>
      </c>
      <c r="AH471" t="s">
        <v>42</v>
      </c>
      <c r="AI471" t="str">
        <f>"66298799579942"</f>
        <v>66298799579942</v>
      </c>
      <c r="AJ471" t="str">
        <f>"Q029"</f>
        <v>Q029</v>
      </c>
      <c r="AK471" t="s">
        <v>46</v>
      </c>
      <c r="AL471" s="1">
        <v>44816.546238425923</v>
      </c>
      <c r="AM471" t="s">
        <v>44</v>
      </c>
    </row>
    <row r="472" spans="1:39" x14ac:dyDescent="0.2">
      <c r="A472" t="s">
        <v>535</v>
      </c>
      <c r="B472" t="s">
        <v>40</v>
      </c>
      <c r="C472" t="s">
        <v>524</v>
      </c>
      <c r="D472" t="s">
        <v>42</v>
      </c>
      <c r="E472" t="s">
        <v>43</v>
      </c>
      <c r="F472" t="s">
        <v>44</v>
      </c>
      <c r="G472" t="s">
        <v>45</v>
      </c>
      <c r="AH472" t="s">
        <v>42</v>
      </c>
      <c r="AI472" t="str">
        <f>"66298799753987"</f>
        <v>66298799753987</v>
      </c>
      <c r="AJ472" t="str">
        <f>"H1110"</f>
        <v>H1110</v>
      </c>
      <c r="AK472" t="s">
        <v>46</v>
      </c>
      <c r="AL472" s="1">
        <v>44816.546261574076</v>
      </c>
      <c r="AM472" t="s">
        <v>44</v>
      </c>
    </row>
    <row r="473" spans="1:39" x14ac:dyDescent="0.2">
      <c r="A473" t="s">
        <v>536</v>
      </c>
      <c r="B473" t="s">
        <v>40</v>
      </c>
      <c r="C473" t="s">
        <v>524</v>
      </c>
      <c r="D473" t="s">
        <v>42</v>
      </c>
      <c r="E473" t="s">
        <v>43</v>
      </c>
      <c r="F473" t="s">
        <v>44</v>
      </c>
      <c r="G473" t="s">
        <v>45</v>
      </c>
      <c r="AH473" t="s">
        <v>42</v>
      </c>
      <c r="AI473" t="str">
        <f>"Q012"</f>
        <v>Q012</v>
      </c>
      <c r="AJ473" t="str">
        <f>"Q012"</f>
        <v>Q012</v>
      </c>
      <c r="AK473" t="s">
        <v>46</v>
      </c>
      <c r="AL473" s="1">
        <v>44816.546249999999</v>
      </c>
      <c r="AM473" t="s">
        <v>44</v>
      </c>
    </row>
    <row r="474" spans="1:39" x14ac:dyDescent="0.2">
      <c r="A474" t="s">
        <v>536</v>
      </c>
      <c r="B474" t="s">
        <v>40</v>
      </c>
      <c r="C474" t="s">
        <v>524</v>
      </c>
      <c r="D474" t="s">
        <v>42</v>
      </c>
      <c r="E474" t="s">
        <v>43</v>
      </c>
      <c r="F474" t="s">
        <v>44</v>
      </c>
      <c r="G474" t="s">
        <v>45</v>
      </c>
      <c r="AH474" t="s">
        <v>42</v>
      </c>
      <c r="AI474" t="str">
        <f>"66298799708072"</f>
        <v>66298799708072</v>
      </c>
      <c r="AJ474" t="str">
        <f>"LY125"</f>
        <v>LY125</v>
      </c>
      <c r="AK474" t="s">
        <v>46</v>
      </c>
      <c r="AL474" s="1">
        <v>44816.546261574076</v>
      </c>
      <c r="AM474" t="s">
        <v>44</v>
      </c>
    </row>
    <row r="475" spans="1:39" x14ac:dyDescent="0.2">
      <c r="A475" t="s">
        <v>537</v>
      </c>
      <c r="B475" t="s">
        <v>40</v>
      </c>
      <c r="C475" t="s">
        <v>524</v>
      </c>
      <c r="D475" t="s">
        <v>42</v>
      </c>
      <c r="E475" t="s">
        <v>43</v>
      </c>
      <c r="F475" t="s">
        <v>44</v>
      </c>
      <c r="G475" t="s">
        <v>45</v>
      </c>
      <c r="AH475" t="s">
        <v>42</v>
      </c>
      <c r="AI475" t="str">
        <f>"66298799792490"</f>
        <v>66298799792490</v>
      </c>
      <c r="AJ475" t="str">
        <f>"400572"</f>
        <v>400572</v>
      </c>
      <c r="AK475" t="s">
        <v>46</v>
      </c>
      <c r="AL475" s="1">
        <v>44816.546261574076</v>
      </c>
      <c r="AM475" t="s">
        <v>44</v>
      </c>
    </row>
    <row r="476" spans="1:39" x14ac:dyDescent="0.2">
      <c r="A476" t="s">
        <v>538</v>
      </c>
      <c r="B476" t="s">
        <v>40</v>
      </c>
      <c r="C476" t="s">
        <v>524</v>
      </c>
      <c r="D476" t="s">
        <v>42</v>
      </c>
      <c r="E476" t="s">
        <v>43</v>
      </c>
      <c r="F476" t="s">
        <v>44</v>
      </c>
      <c r="G476" t="s">
        <v>45</v>
      </c>
      <c r="AH476" t="s">
        <v>42</v>
      </c>
      <c r="AI476" t="str">
        <f>"Q009"</f>
        <v>Q009</v>
      </c>
      <c r="AJ476" t="str">
        <f>"Q009"</f>
        <v>Q009</v>
      </c>
      <c r="AK476" t="s">
        <v>46</v>
      </c>
      <c r="AL476" s="1">
        <v>45086.738541666666</v>
      </c>
      <c r="AM476" t="s">
        <v>44</v>
      </c>
    </row>
    <row r="477" spans="1:39" x14ac:dyDescent="0.2">
      <c r="A477" t="s">
        <v>539</v>
      </c>
      <c r="B477" t="s">
        <v>40</v>
      </c>
      <c r="C477" t="s">
        <v>524</v>
      </c>
      <c r="D477" t="s">
        <v>42</v>
      </c>
      <c r="E477" t="s">
        <v>43</v>
      </c>
      <c r="F477" t="s">
        <v>44</v>
      </c>
      <c r="G477" t="s">
        <v>45</v>
      </c>
      <c r="AH477" t="s">
        <v>42</v>
      </c>
      <c r="AI477" t="str">
        <f>"66298799834223"</f>
        <v>66298799834223</v>
      </c>
      <c r="AJ477" t="str">
        <f>"400531"</f>
        <v>400531</v>
      </c>
      <c r="AK477" t="s">
        <v>46</v>
      </c>
      <c r="AL477" s="1">
        <v>44816.546273148146</v>
      </c>
      <c r="AM477" t="s">
        <v>44</v>
      </c>
    </row>
    <row r="478" spans="1:39" x14ac:dyDescent="0.2">
      <c r="A478" t="s">
        <v>540</v>
      </c>
      <c r="B478" t="s">
        <v>40</v>
      </c>
      <c r="C478" t="s">
        <v>524</v>
      </c>
      <c r="D478" t="s">
        <v>42</v>
      </c>
      <c r="E478" t="s">
        <v>43</v>
      </c>
      <c r="F478" t="s">
        <v>44</v>
      </c>
      <c r="G478" t="s">
        <v>45</v>
      </c>
      <c r="AH478" t="s">
        <v>42</v>
      </c>
      <c r="AI478" t="str">
        <f>"66298799926841"</f>
        <v>66298799926841</v>
      </c>
      <c r="AJ478" t="str">
        <f>"G125"</f>
        <v>G125</v>
      </c>
      <c r="AK478" t="s">
        <v>46</v>
      </c>
      <c r="AL478" s="1">
        <v>44816.546284722222</v>
      </c>
      <c r="AM478" t="s">
        <v>44</v>
      </c>
    </row>
    <row r="479" spans="1:39" x14ac:dyDescent="0.2">
      <c r="A479" t="s">
        <v>541</v>
      </c>
      <c r="B479" t="s">
        <v>40</v>
      </c>
      <c r="C479" t="s">
        <v>524</v>
      </c>
      <c r="D479" t="s">
        <v>42</v>
      </c>
      <c r="E479" t="s">
        <v>43</v>
      </c>
      <c r="F479" t="s">
        <v>44</v>
      </c>
      <c r="G479" t="s">
        <v>45</v>
      </c>
      <c r="AH479" t="s">
        <v>42</v>
      </c>
      <c r="AI479" t="str">
        <f>"66298799879995"</f>
        <v>66298799879995</v>
      </c>
      <c r="AJ479" t="str">
        <f>"L150"</f>
        <v>L150</v>
      </c>
      <c r="AK479" t="s">
        <v>46</v>
      </c>
      <c r="AL479" s="1">
        <v>44816.546273148146</v>
      </c>
      <c r="AM479" t="s">
        <v>44</v>
      </c>
    </row>
    <row r="480" spans="1:39" x14ac:dyDescent="0.2">
      <c r="A480" t="s">
        <v>542</v>
      </c>
      <c r="B480" t="s">
        <v>40</v>
      </c>
      <c r="C480" t="s">
        <v>524</v>
      </c>
      <c r="D480" t="s">
        <v>42</v>
      </c>
      <c r="E480" t="s">
        <v>43</v>
      </c>
      <c r="F480" t="s">
        <v>44</v>
      </c>
      <c r="G480" t="s">
        <v>45</v>
      </c>
      <c r="AH480" t="s">
        <v>42</v>
      </c>
      <c r="AI480" t="str">
        <f>"66298800074222"</f>
        <v>66298800074222</v>
      </c>
      <c r="AJ480" t="str">
        <f>"400571"</f>
        <v>400571</v>
      </c>
      <c r="AK480" t="s">
        <v>46</v>
      </c>
      <c r="AL480" s="1">
        <v>44816.546296296299</v>
      </c>
      <c r="AM480" t="s">
        <v>44</v>
      </c>
    </row>
    <row r="481" spans="1:39" x14ac:dyDescent="0.2">
      <c r="A481" t="s">
        <v>543</v>
      </c>
      <c r="B481" t="s">
        <v>40</v>
      </c>
      <c r="C481" t="s">
        <v>524</v>
      </c>
      <c r="D481" t="s">
        <v>42</v>
      </c>
      <c r="E481" t="s">
        <v>43</v>
      </c>
      <c r="F481" t="s">
        <v>44</v>
      </c>
      <c r="G481" t="s">
        <v>45</v>
      </c>
      <c r="AH481" t="s">
        <v>42</v>
      </c>
      <c r="AI481" t="str">
        <f>"66298799966017"</f>
        <v>66298799966017</v>
      </c>
      <c r="AJ481" t="str">
        <f>"E150"</f>
        <v>E150</v>
      </c>
      <c r="AK481" t="s">
        <v>46</v>
      </c>
      <c r="AL481" s="1">
        <v>44816.546284722222</v>
      </c>
      <c r="AM481" t="s">
        <v>44</v>
      </c>
    </row>
    <row r="482" spans="1:39" x14ac:dyDescent="0.2">
      <c r="A482" t="s">
        <v>543</v>
      </c>
      <c r="B482" t="s">
        <v>40</v>
      </c>
      <c r="C482" t="s">
        <v>524</v>
      </c>
      <c r="D482" t="s">
        <v>42</v>
      </c>
      <c r="E482" t="s">
        <v>43</v>
      </c>
      <c r="F482" t="s">
        <v>44</v>
      </c>
      <c r="G482" t="s">
        <v>45</v>
      </c>
      <c r="AH482" t="s">
        <v>42</v>
      </c>
      <c r="AI482" t="str">
        <f>"Q001"</f>
        <v>Q001</v>
      </c>
      <c r="AJ482" t="str">
        <f>"Q001"</f>
        <v>Q001</v>
      </c>
      <c r="AK482" t="s">
        <v>46</v>
      </c>
      <c r="AL482" s="1">
        <v>44816.546296296299</v>
      </c>
      <c r="AM482" t="s">
        <v>44</v>
      </c>
    </row>
    <row r="483" spans="1:39" x14ac:dyDescent="0.2">
      <c r="A483" t="s">
        <v>543</v>
      </c>
      <c r="B483" t="s">
        <v>40</v>
      </c>
      <c r="C483" t="s">
        <v>524</v>
      </c>
      <c r="D483" t="s">
        <v>42</v>
      </c>
      <c r="E483" t="s">
        <v>43</v>
      </c>
      <c r="F483" t="s">
        <v>44</v>
      </c>
      <c r="G483" t="s">
        <v>45</v>
      </c>
      <c r="AH483" t="s">
        <v>42</v>
      </c>
      <c r="AI483" t="str">
        <f>"Q005"</f>
        <v>Q005</v>
      </c>
      <c r="AJ483" t="str">
        <f>"Q005"</f>
        <v>Q005</v>
      </c>
      <c r="AK483" t="s">
        <v>46</v>
      </c>
      <c r="AL483" s="1">
        <v>44816.546296296299</v>
      </c>
      <c r="AM483" t="s">
        <v>44</v>
      </c>
    </row>
    <row r="484" spans="1:39" x14ac:dyDescent="0.2">
      <c r="A484" t="s">
        <v>543</v>
      </c>
      <c r="B484" t="s">
        <v>40</v>
      </c>
      <c r="C484" t="s">
        <v>524</v>
      </c>
      <c r="D484" t="s">
        <v>42</v>
      </c>
      <c r="E484" t="s">
        <v>43</v>
      </c>
      <c r="F484" t="s">
        <v>44</v>
      </c>
      <c r="G484" t="s">
        <v>45</v>
      </c>
      <c r="AH484" t="s">
        <v>42</v>
      </c>
      <c r="AI484" t="str">
        <f>"Q003"</f>
        <v>Q003</v>
      </c>
      <c r="AJ484" t="str">
        <f>"Q003"</f>
        <v>Q003</v>
      </c>
      <c r="AK484" t="s">
        <v>46</v>
      </c>
      <c r="AL484" s="1">
        <v>45086.74491898148</v>
      </c>
      <c r="AM484" t="s">
        <v>44</v>
      </c>
    </row>
    <row r="485" spans="1:39" x14ac:dyDescent="0.2">
      <c r="A485" t="s">
        <v>544</v>
      </c>
      <c r="B485" t="s">
        <v>40</v>
      </c>
      <c r="C485" t="s">
        <v>524</v>
      </c>
      <c r="D485" t="s">
        <v>42</v>
      </c>
      <c r="E485" t="s">
        <v>43</v>
      </c>
      <c r="F485" t="s">
        <v>44</v>
      </c>
      <c r="G485" t="s">
        <v>45</v>
      </c>
      <c r="AH485" t="s">
        <v>42</v>
      </c>
      <c r="AI485" t="str">
        <f>"Q016"</f>
        <v>Q016</v>
      </c>
      <c r="AJ485" t="str">
        <f>"Q016"</f>
        <v>Q016</v>
      </c>
      <c r="AK485" t="s">
        <v>46</v>
      </c>
      <c r="AL485" s="1">
        <v>44858.664502314816</v>
      </c>
      <c r="AM485" t="s">
        <v>44</v>
      </c>
    </row>
    <row r="486" spans="1:39" x14ac:dyDescent="0.2">
      <c r="A486" t="s">
        <v>545</v>
      </c>
      <c r="B486" t="s">
        <v>40</v>
      </c>
      <c r="C486" t="s">
        <v>524</v>
      </c>
      <c r="D486" t="s">
        <v>42</v>
      </c>
      <c r="E486" t="s">
        <v>43</v>
      </c>
      <c r="F486" t="s">
        <v>44</v>
      </c>
      <c r="G486" t="s">
        <v>45</v>
      </c>
      <c r="AH486" t="s">
        <v>42</v>
      </c>
      <c r="AI486" t="str">
        <f>"66298800152935"</f>
        <v>66298800152935</v>
      </c>
      <c r="AJ486" t="str">
        <f>"400532"</f>
        <v>400532</v>
      </c>
      <c r="AK486" t="s">
        <v>46</v>
      </c>
      <c r="AL486" s="1">
        <v>44816.546307870369</v>
      </c>
      <c r="AM486" t="s">
        <v>44</v>
      </c>
    </row>
    <row r="487" spans="1:39" x14ac:dyDescent="0.2">
      <c r="A487" t="s">
        <v>546</v>
      </c>
      <c r="B487" t="s">
        <v>40</v>
      </c>
      <c r="C487" t="s">
        <v>524</v>
      </c>
      <c r="D487" t="s">
        <v>42</v>
      </c>
      <c r="E487" t="s">
        <v>43</v>
      </c>
      <c r="F487" t="s">
        <v>44</v>
      </c>
      <c r="G487" t="s">
        <v>45</v>
      </c>
      <c r="AH487" t="s">
        <v>42</v>
      </c>
      <c r="AI487" t="str">
        <f>"Q006"</f>
        <v>Q006</v>
      </c>
      <c r="AJ487" t="str">
        <f>"Q006"</f>
        <v>Q006</v>
      </c>
      <c r="AK487" t="s">
        <v>46</v>
      </c>
      <c r="AL487" s="1">
        <v>44816.546307870369</v>
      </c>
      <c r="AM487" t="s">
        <v>44</v>
      </c>
    </row>
    <row r="488" spans="1:39" x14ac:dyDescent="0.2">
      <c r="A488" t="s">
        <v>547</v>
      </c>
      <c r="B488" t="s">
        <v>40</v>
      </c>
      <c r="C488" t="s">
        <v>524</v>
      </c>
      <c r="D488" t="s">
        <v>42</v>
      </c>
      <c r="E488" t="s">
        <v>43</v>
      </c>
      <c r="F488" t="s">
        <v>44</v>
      </c>
      <c r="G488" t="s">
        <v>45</v>
      </c>
      <c r="AH488" t="s">
        <v>42</v>
      </c>
      <c r="AI488" t="str">
        <f>"66298800232610"</f>
        <v>66298800232610</v>
      </c>
      <c r="AJ488" t="str">
        <f>"80975"</f>
        <v>80975</v>
      </c>
      <c r="AK488" t="s">
        <v>46</v>
      </c>
      <c r="AL488" s="1">
        <v>44816.546319444446</v>
      </c>
      <c r="AM488" t="s">
        <v>44</v>
      </c>
    </row>
    <row r="489" spans="1:39" x14ac:dyDescent="0.2">
      <c r="A489" t="s">
        <v>548</v>
      </c>
      <c r="B489" t="s">
        <v>40</v>
      </c>
      <c r="C489" t="s">
        <v>524</v>
      </c>
      <c r="D489" t="s">
        <v>42</v>
      </c>
      <c r="E489" t="s">
        <v>43</v>
      </c>
      <c r="F489" t="s">
        <v>44</v>
      </c>
      <c r="G489" t="s">
        <v>45</v>
      </c>
      <c r="AH489" t="s">
        <v>42</v>
      </c>
      <c r="AI489" t="str">
        <f>"66298800112749"</f>
        <v>66298800112749</v>
      </c>
      <c r="AJ489" t="str">
        <f>"Q017"</f>
        <v>Q017</v>
      </c>
      <c r="AK489" t="s">
        <v>46</v>
      </c>
      <c r="AL489" s="1">
        <v>44816.546307870369</v>
      </c>
      <c r="AM489" t="s">
        <v>44</v>
      </c>
    </row>
    <row r="490" spans="1:39" x14ac:dyDescent="0.2">
      <c r="A490" t="s">
        <v>549</v>
      </c>
      <c r="B490" t="s">
        <v>40</v>
      </c>
      <c r="C490" t="s">
        <v>524</v>
      </c>
      <c r="D490" t="s">
        <v>42</v>
      </c>
      <c r="E490" t="s">
        <v>43</v>
      </c>
      <c r="F490" t="s">
        <v>44</v>
      </c>
      <c r="G490" t="s">
        <v>45</v>
      </c>
      <c r="AH490" t="s">
        <v>42</v>
      </c>
      <c r="AI490" t="str">
        <f>"66298800272348"</f>
        <v>66298800272348</v>
      </c>
      <c r="AJ490" t="str">
        <f>"400570"</f>
        <v>400570</v>
      </c>
      <c r="AK490" t="s">
        <v>46</v>
      </c>
      <c r="AL490" s="1">
        <v>44816.546319444446</v>
      </c>
      <c r="AM490" t="s">
        <v>44</v>
      </c>
    </row>
    <row r="491" spans="1:39" x14ac:dyDescent="0.2">
      <c r="A491" t="s">
        <v>550</v>
      </c>
      <c r="B491" t="s">
        <v>40</v>
      </c>
      <c r="C491" t="s">
        <v>524</v>
      </c>
      <c r="D491" t="s">
        <v>42</v>
      </c>
      <c r="E491" t="s">
        <v>43</v>
      </c>
      <c r="F491" t="s">
        <v>44</v>
      </c>
      <c r="G491" t="s">
        <v>45</v>
      </c>
      <c r="AH491" t="s">
        <v>42</v>
      </c>
      <c r="AI491" t="str">
        <f>"66298799247975"</f>
        <v>66298799247975</v>
      </c>
      <c r="AJ491" t="str">
        <f>"J150"</f>
        <v>J150</v>
      </c>
      <c r="AK491" t="s">
        <v>46</v>
      </c>
      <c r="AL491" s="1">
        <v>44816.546203703707</v>
      </c>
      <c r="AM491" t="s">
        <v>44</v>
      </c>
    </row>
    <row r="492" spans="1:39" x14ac:dyDescent="0.2">
      <c r="A492" t="s">
        <v>551</v>
      </c>
      <c r="B492" t="s">
        <v>40</v>
      </c>
      <c r="C492" t="s">
        <v>524</v>
      </c>
      <c r="D492" t="s">
        <v>42</v>
      </c>
      <c r="E492" t="s">
        <v>43</v>
      </c>
      <c r="F492" t="s">
        <v>44</v>
      </c>
      <c r="G492" t="s">
        <v>45</v>
      </c>
      <c r="AH492" t="s">
        <v>42</v>
      </c>
      <c r="AI492" t="str">
        <f>"131"</f>
        <v>131</v>
      </c>
      <c r="AJ492" t="str">
        <f>"131"</f>
        <v>131</v>
      </c>
      <c r="AK492" t="s">
        <v>46</v>
      </c>
      <c r="AL492" s="1">
        <v>45167.91033564815</v>
      </c>
      <c r="AM492" t="s">
        <v>44</v>
      </c>
    </row>
    <row r="493" spans="1:39" x14ac:dyDescent="0.2">
      <c r="A493" t="s">
        <v>552</v>
      </c>
      <c r="B493" t="s">
        <v>40</v>
      </c>
      <c r="C493" t="s">
        <v>524</v>
      </c>
      <c r="D493" t="s">
        <v>42</v>
      </c>
      <c r="E493" t="s">
        <v>43</v>
      </c>
      <c r="F493" t="s">
        <v>44</v>
      </c>
      <c r="G493" t="s">
        <v>45</v>
      </c>
      <c r="AH493" t="s">
        <v>42</v>
      </c>
      <c r="AI493" t="str">
        <f>"66298800358170"</f>
        <v>66298800358170</v>
      </c>
      <c r="AJ493" t="str">
        <f>"QB001"</f>
        <v>QB001</v>
      </c>
      <c r="AK493" t="s">
        <v>46</v>
      </c>
      <c r="AL493" s="1">
        <v>44816.546331018515</v>
      </c>
      <c r="AM493" t="s">
        <v>44</v>
      </c>
    </row>
    <row r="494" spans="1:39" x14ac:dyDescent="0.2">
      <c r="A494" t="s">
        <v>553</v>
      </c>
      <c r="B494" t="s">
        <v>40</v>
      </c>
      <c r="C494" t="s">
        <v>524</v>
      </c>
      <c r="D494" t="s">
        <v>42</v>
      </c>
      <c r="E494" t="s">
        <v>43</v>
      </c>
      <c r="F494" t="s">
        <v>44</v>
      </c>
      <c r="G494" t="s">
        <v>45</v>
      </c>
      <c r="AH494" t="s">
        <v>42</v>
      </c>
      <c r="AI494" t="str">
        <f>"66298800310945"</f>
        <v>66298800310945</v>
      </c>
      <c r="AJ494" t="str">
        <f>"QB003"</f>
        <v>QB003</v>
      </c>
      <c r="AK494" t="s">
        <v>46</v>
      </c>
      <c r="AL494" s="1">
        <v>44816.546331018515</v>
      </c>
      <c r="AM494" t="s">
        <v>44</v>
      </c>
    </row>
    <row r="495" spans="1:39" x14ac:dyDescent="0.2">
      <c r="A495" t="s">
        <v>554</v>
      </c>
      <c r="B495" t="s">
        <v>40</v>
      </c>
      <c r="C495" t="s">
        <v>555</v>
      </c>
      <c r="D495" t="s">
        <v>42</v>
      </c>
      <c r="E495" t="s">
        <v>43</v>
      </c>
      <c r="F495" t="s">
        <v>44</v>
      </c>
      <c r="G495" t="s">
        <v>45</v>
      </c>
      <c r="AH495" t="s">
        <v>42</v>
      </c>
      <c r="AI495" t="str">
        <f>"QG005"</f>
        <v>QG005</v>
      </c>
      <c r="AJ495" t="str">
        <f>"QG005"</f>
        <v>QG005</v>
      </c>
      <c r="AK495" t="s">
        <v>46</v>
      </c>
      <c r="AL495" s="1">
        <v>44816.546342592592</v>
      </c>
      <c r="AM495" t="s">
        <v>44</v>
      </c>
    </row>
    <row r="496" spans="1:39" x14ac:dyDescent="0.2">
      <c r="A496" t="s">
        <v>554</v>
      </c>
      <c r="B496" t="s">
        <v>40</v>
      </c>
      <c r="C496" t="s">
        <v>555</v>
      </c>
      <c r="D496" t="s">
        <v>42</v>
      </c>
      <c r="E496" t="s">
        <v>43</v>
      </c>
      <c r="F496" t="s">
        <v>44</v>
      </c>
      <c r="G496" t="s">
        <v>45</v>
      </c>
      <c r="AH496" t="s">
        <v>42</v>
      </c>
      <c r="AI496" t="str">
        <f>"BO-BOCINA"</f>
        <v>BO-BOCINA</v>
      </c>
      <c r="AJ496" t="str">
        <f>"BO-BOCINA"</f>
        <v>BO-BOCINA</v>
      </c>
      <c r="AK496" t="s">
        <v>46</v>
      </c>
      <c r="AL496" s="1">
        <v>45000.641203703701</v>
      </c>
      <c r="AM496" t="s">
        <v>44</v>
      </c>
    </row>
    <row r="497" spans="1:39" x14ac:dyDescent="0.2">
      <c r="A497" t="s">
        <v>556</v>
      </c>
      <c r="B497" t="s">
        <v>40</v>
      </c>
      <c r="C497" t="s">
        <v>555</v>
      </c>
      <c r="D497" t="s">
        <v>42</v>
      </c>
      <c r="E497" t="s">
        <v>43</v>
      </c>
      <c r="F497" t="s">
        <v>44</v>
      </c>
      <c r="G497" t="s">
        <v>45</v>
      </c>
      <c r="AH497" t="s">
        <v>42</v>
      </c>
      <c r="AI497" t="str">
        <f>"QG003"</f>
        <v>QG003</v>
      </c>
      <c r="AJ497" t="str">
        <f>"QG003"</f>
        <v>QG003</v>
      </c>
      <c r="AK497" t="s">
        <v>46</v>
      </c>
      <c r="AL497" s="1">
        <v>44881.641076388885</v>
      </c>
      <c r="AM497" t="s">
        <v>44</v>
      </c>
    </row>
    <row r="498" spans="1:39" x14ac:dyDescent="0.2">
      <c r="A498" t="s">
        <v>556</v>
      </c>
      <c r="B498" t="s">
        <v>40</v>
      </c>
      <c r="C498" t="s">
        <v>555</v>
      </c>
      <c r="D498" t="s">
        <v>42</v>
      </c>
      <c r="E498" t="s">
        <v>43</v>
      </c>
      <c r="F498" t="s">
        <v>44</v>
      </c>
      <c r="G498" t="s">
        <v>45</v>
      </c>
      <c r="AH498" t="s">
        <v>42</v>
      </c>
      <c r="AI498" t="str">
        <f>"BO-CALUCES"</f>
        <v>BO-CALUCES</v>
      </c>
      <c r="AJ498" t="str">
        <f>"BO-CALUCES"</f>
        <v>BO-CALUCES</v>
      </c>
      <c r="AK498" t="s">
        <v>46</v>
      </c>
      <c r="AL498" s="1">
        <v>45000.643946759257</v>
      </c>
      <c r="AM498" t="s">
        <v>44</v>
      </c>
    </row>
    <row r="499" spans="1:39" x14ac:dyDescent="0.2">
      <c r="A499" t="s">
        <v>557</v>
      </c>
      <c r="B499" t="s">
        <v>40</v>
      </c>
      <c r="C499" t="s">
        <v>555</v>
      </c>
      <c r="D499" t="s">
        <v>42</v>
      </c>
      <c r="E499" t="s">
        <v>43</v>
      </c>
      <c r="F499" t="s">
        <v>44</v>
      </c>
      <c r="G499" t="s">
        <v>45</v>
      </c>
      <c r="AH499" t="s">
        <v>42</v>
      </c>
      <c r="AI499" t="str">
        <f>"66298800438483"</f>
        <v>66298800438483</v>
      </c>
      <c r="AJ499" t="str">
        <f>"QG076"</f>
        <v>QG076</v>
      </c>
      <c r="AK499" t="s">
        <v>46</v>
      </c>
      <c r="AL499" s="1">
        <v>44816.546342592592</v>
      </c>
      <c r="AM499" t="s">
        <v>44</v>
      </c>
    </row>
    <row r="500" spans="1:39" x14ac:dyDescent="0.2">
      <c r="A500" t="s">
        <v>557</v>
      </c>
      <c r="B500" t="s">
        <v>40</v>
      </c>
      <c r="C500" t="s">
        <v>555</v>
      </c>
      <c r="D500" t="s">
        <v>42</v>
      </c>
      <c r="E500" t="s">
        <v>43</v>
      </c>
      <c r="F500" t="s">
        <v>44</v>
      </c>
      <c r="G500" t="s">
        <v>45</v>
      </c>
      <c r="AH500" t="s">
        <v>42</v>
      </c>
      <c r="AI500" t="str">
        <f>"4043"</f>
        <v>4043</v>
      </c>
      <c r="AJ500" t="str">
        <f>"4043"</f>
        <v>4043</v>
      </c>
      <c r="AK500" t="s">
        <v>46</v>
      </c>
      <c r="AL500" s="1">
        <v>45000.553622685184</v>
      </c>
      <c r="AM500" t="s">
        <v>44</v>
      </c>
    </row>
    <row r="501" spans="1:39" x14ac:dyDescent="0.2">
      <c r="A501" t="s">
        <v>558</v>
      </c>
      <c r="B501" t="s">
        <v>40</v>
      </c>
      <c r="C501" t="s">
        <v>555</v>
      </c>
      <c r="D501" t="s">
        <v>42</v>
      </c>
      <c r="E501" t="s">
        <v>43</v>
      </c>
      <c r="F501" t="s">
        <v>44</v>
      </c>
      <c r="G501" t="s">
        <v>45</v>
      </c>
      <c r="AH501" t="s">
        <v>42</v>
      </c>
      <c r="AI501" t="str">
        <f>"66298800477532"</f>
        <v>66298800477532</v>
      </c>
      <c r="AJ501" t="str">
        <f>"QF026-A"</f>
        <v>QF026-A</v>
      </c>
      <c r="AK501" t="s">
        <v>46</v>
      </c>
      <c r="AL501" s="1">
        <v>44816.546342592592</v>
      </c>
      <c r="AM501" t="s">
        <v>44</v>
      </c>
    </row>
    <row r="502" spans="1:39" x14ac:dyDescent="0.2">
      <c r="A502" t="s">
        <v>559</v>
      </c>
      <c r="B502" t="s">
        <v>40</v>
      </c>
      <c r="C502" t="s">
        <v>555</v>
      </c>
      <c r="D502" t="s">
        <v>42</v>
      </c>
      <c r="E502" t="s">
        <v>43</v>
      </c>
      <c r="F502" t="s">
        <v>44</v>
      </c>
      <c r="G502" t="s">
        <v>45</v>
      </c>
      <c r="AH502" t="s">
        <v>42</v>
      </c>
      <c r="AI502" t="str">
        <f>"BO-ENC"</f>
        <v>BO-ENC</v>
      </c>
      <c r="AJ502" t="str">
        <f>"BO-ENC"</f>
        <v>BO-ENC</v>
      </c>
      <c r="AK502" t="s">
        <v>46</v>
      </c>
      <c r="AL502" s="1">
        <v>45000.821122685185</v>
      </c>
      <c r="AM502" t="s">
        <v>44</v>
      </c>
    </row>
    <row r="503" spans="1:39" x14ac:dyDescent="0.2">
      <c r="A503" t="s">
        <v>559</v>
      </c>
      <c r="B503" t="s">
        <v>40</v>
      </c>
      <c r="C503" t="s">
        <v>555</v>
      </c>
      <c r="D503" t="s">
        <v>42</v>
      </c>
      <c r="E503" t="s">
        <v>43</v>
      </c>
      <c r="F503" t="s">
        <v>44</v>
      </c>
      <c r="G503" t="s">
        <v>45</v>
      </c>
      <c r="AH503" t="s">
        <v>42</v>
      </c>
      <c r="AI503" t="str">
        <f>"80400"</f>
        <v>80400</v>
      </c>
      <c r="AJ503" t="str">
        <f>"80400"</f>
        <v>80400</v>
      </c>
      <c r="AK503" t="s">
        <v>46</v>
      </c>
      <c r="AL503" s="1">
        <v>45063.862488425926</v>
      </c>
      <c r="AM503" t="s">
        <v>44</v>
      </c>
    </row>
    <row r="504" spans="1:39" x14ac:dyDescent="0.2">
      <c r="A504" t="s">
        <v>560</v>
      </c>
      <c r="B504" t="s">
        <v>40</v>
      </c>
      <c r="C504" t="s">
        <v>555</v>
      </c>
      <c r="D504" t="s">
        <v>42</v>
      </c>
      <c r="E504" t="s">
        <v>43</v>
      </c>
      <c r="F504" t="s">
        <v>44</v>
      </c>
      <c r="G504" t="s">
        <v>45</v>
      </c>
      <c r="AH504" t="s">
        <v>42</v>
      </c>
      <c r="AI504" t="str">
        <f>"QG009"</f>
        <v>QG009</v>
      </c>
      <c r="AJ504" t="str">
        <f>"QG009"</f>
        <v>QG009</v>
      </c>
      <c r="AK504" t="s">
        <v>46</v>
      </c>
      <c r="AL504" s="1">
        <v>44858.792175925926</v>
      </c>
      <c r="AM504" t="s">
        <v>44</v>
      </c>
    </row>
    <row r="505" spans="1:39" x14ac:dyDescent="0.2">
      <c r="A505" t="s">
        <v>560</v>
      </c>
      <c r="B505" t="s">
        <v>40</v>
      </c>
      <c r="C505" t="s">
        <v>555</v>
      </c>
      <c r="D505" t="s">
        <v>42</v>
      </c>
      <c r="E505" t="s">
        <v>43</v>
      </c>
      <c r="F505" t="s">
        <v>44</v>
      </c>
      <c r="G505" t="s">
        <v>45</v>
      </c>
      <c r="AH505" t="s">
        <v>42</v>
      </c>
      <c r="AI505" t="str">
        <f>"2250"</f>
        <v>2250</v>
      </c>
      <c r="AJ505" t="str">
        <f>"2250"</f>
        <v>2250</v>
      </c>
      <c r="AK505" t="s">
        <v>46</v>
      </c>
      <c r="AL505" s="1">
        <v>45106.910150462965</v>
      </c>
      <c r="AM505" t="s">
        <v>44</v>
      </c>
    </row>
    <row r="506" spans="1:39" x14ac:dyDescent="0.2">
      <c r="A506" t="s">
        <v>561</v>
      </c>
      <c r="B506" t="s">
        <v>40</v>
      </c>
      <c r="C506" t="s">
        <v>555</v>
      </c>
      <c r="D506" t="s">
        <v>42</v>
      </c>
      <c r="E506" t="s">
        <v>43</v>
      </c>
      <c r="F506" t="s">
        <v>44</v>
      </c>
      <c r="G506" t="s">
        <v>45</v>
      </c>
      <c r="AH506" t="s">
        <v>42</v>
      </c>
      <c r="AI506" t="str">
        <f>"QG006"</f>
        <v>QG006</v>
      </c>
      <c r="AJ506" t="str">
        <f>"QG006"</f>
        <v>QG006</v>
      </c>
      <c r="AK506" t="s">
        <v>46</v>
      </c>
      <c r="AL506" s="1">
        <v>44890.593715277777</v>
      </c>
      <c r="AM506" t="s">
        <v>44</v>
      </c>
    </row>
    <row r="507" spans="1:39" x14ac:dyDescent="0.2">
      <c r="A507" t="s">
        <v>561</v>
      </c>
      <c r="B507" t="s">
        <v>40</v>
      </c>
      <c r="C507" t="s">
        <v>555</v>
      </c>
      <c r="D507" t="s">
        <v>42</v>
      </c>
      <c r="E507" t="s">
        <v>43</v>
      </c>
      <c r="F507" t="s">
        <v>44</v>
      </c>
      <c r="G507" t="s">
        <v>45</v>
      </c>
      <c r="AH507" t="s">
        <v>42</v>
      </c>
      <c r="AI507" t="str">
        <f>"BO-ALTAYBAJA"</f>
        <v>BO-ALTAYBAJA</v>
      </c>
      <c r="AJ507" t="str">
        <f>"BO-ALTAYBAJA"</f>
        <v>BO-ALTAYBAJA</v>
      </c>
      <c r="AK507" t="s">
        <v>46</v>
      </c>
      <c r="AL507" s="1">
        <v>45000.641944444447</v>
      </c>
      <c r="AM507" t="s">
        <v>44</v>
      </c>
    </row>
    <row r="508" spans="1:39" x14ac:dyDescent="0.2">
      <c r="A508" t="s">
        <v>562</v>
      </c>
      <c r="B508" t="s">
        <v>40</v>
      </c>
      <c r="C508" t="s">
        <v>555</v>
      </c>
      <c r="D508" t="s">
        <v>42</v>
      </c>
      <c r="E508" t="s">
        <v>43</v>
      </c>
      <c r="F508" t="s">
        <v>44</v>
      </c>
      <c r="G508" t="s">
        <v>45</v>
      </c>
      <c r="AH508" t="s">
        <v>42</v>
      </c>
      <c r="AI508" t="str">
        <f>"BOTON-GY6"</f>
        <v>BOTON-GY6</v>
      </c>
      <c r="AJ508" t="str">
        <f>"BOTON-GY6"</f>
        <v>BOTON-GY6</v>
      </c>
      <c r="AK508" t="s">
        <v>46</v>
      </c>
      <c r="AL508" s="1">
        <v>44890.577719907407</v>
      </c>
      <c r="AM508" t="s">
        <v>44</v>
      </c>
    </row>
    <row r="509" spans="1:39" x14ac:dyDescent="0.2">
      <c r="A509" t="s">
        <v>563</v>
      </c>
      <c r="B509" t="s">
        <v>40</v>
      </c>
      <c r="C509" t="s">
        <v>555</v>
      </c>
      <c r="D509" t="s">
        <v>42</v>
      </c>
      <c r="E509" t="s">
        <v>43</v>
      </c>
      <c r="F509" t="s">
        <v>44</v>
      </c>
      <c r="G509" t="s">
        <v>45</v>
      </c>
      <c r="AH509" t="s">
        <v>42</v>
      </c>
      <c r="AI509" t="str">
        <f>"66298800514760"</f>
        <v>66298800514760</v>
      </c>
      <c r="AJ509" t="str">
        <f>"QG050"</f>
        <v>QG050</v>
      </c>
      <c r="AK509" t="s">
        <v>46</v>
      </c>
      <c r="AL509" s="1">
        <v>44816.546354166669</v>
      </c>
      <c r="AM509" t="s">
        <v>44</v>
      </c>
    </row>
    <row r="510" spans="1:39" x14ac:dyDescent="0.2">
      <c r="A510" t="s">
        <v>564</v>
      </c>
      <c r="B510" t="s">
        <v>40</v>
      </c>
      <c r="C510" t="s">
        <v>555</v>
      </c>
      <c r="D510" t="s">
        <v>42</v>
      </c>
      <c r="E510" t="s">
        <v>43</v>
      </c>
      <c r="F510" t="s">
        <v>44</v>
      </c>
      <c r="G510" t="s">
        <v>45</v>
      </c>
      <c r="AH510" t="s">
        <v>42</v>
      </c>
      <c r="AI510" t="str">
        <f>"66298800637205"</f>
        <v>66298800637205</v>
      </c>
      <c r="AJ510" t="str">
        <f>"QG008"</f>
        <v>QG008</v>
      </c>
      <c r="AK510" t="s">
        <v>46</v>
      </c>
      <c r="AL510" s="1">
        <v>44816.546365740738</v>
      </c>
      <c r="AM510" t="s">
        <v>44</v>
      </c>
    </row>
    <row r="511" spans="1:39" x14ac:dyDescent="0.2">
      <c r="A511" t="s">
        <v>565</v>
      </c>
      <c r="B511" t="s">
        <v>40</v>
      </c>
      <c r="C511" t="s">
        <v>555</v>
      </c>
      <c r="D511" t="s">
        <v>42</v>
      </c>
      <c r="E511" t="s">
        <v>43</v>
      </c>
      <c r="F511" t="s">
        <v>44</v>
      </c>
      <c r="G511" t="s">
        <v>45</v>
      </c>
      <c r="AH511" t="s">
        <v>42</v>
      </c>
      <c r="AI511" t="str">
        <f>"66298800683705"</f>
        <v>66298800683705</v>
      </c>
      <c r="AJ511" t="str">
        <f>"QG053"</f>
        <v>QG053</v>
      </c>
      <c r="AK511" t="s">
        <v>46</v>
      </c>
      <c r="AL511" s="1">
        <v>44816.546365740738</v>
      </c>
      <c r="AM511" t="s">
        <v>44</v>
      </c>
    </row>
    <row r="512" spans="1:39" x14ac:dyDescent="0.2">
      <c r="A512" t="s">
        <v>566</v>
      </c>
      <c r="B512" t="s">
        <v>40</v>
      </c>
      <c r="C512" t="s">
        <v>555</v>
      </c>
      <c r="D512" t="s">
        <v>42</v>
      </c>
      <c r="E512" t="s">
        <v>43</v>
      </c>
      <c r="F512" t="s">
        <v>44</v>
      </c>
      <c r="G512" t="s">
        <v>45</v>
      </c>
      <c r="AH512" t="s">
        <v>42</v>
      </c>
      <c r="AI512" t="str">
        <f>"66298800723853"</f>
        <v>66298800723853</v>
      </c>
      <c r="AJ512" t="str">
        <f>"0393"</f>
        <v>0393</v>
      </c>
      <c r="AK512" t="s">
        <v>46</v>
      </c>
      <c r="AL512" s="1">
        <v>44816.546377314815</v>
      </c>
      <c r="AM512" t="s">
        <v>44</v>
      </c>
    </row>
    <row r="513" spans="1:39" x14ac:dyDescent="0.2">
      <c r="A513" t="s">
        <v>567</v>
      </c>
      <c r="B513" t="s">
        <v>40</v>
      </c>
      <c r="C513" t="s">
        <v>555</v>
      </c>
      <c r="D513" t="s">
        <v>42</v>
      </c>
      <c r="E513" t="s">
        <v>43</v>
      </c>
      <c r="F513" t="s">
        <v>44</v>
      </c>
      <c r="G513" t="s">
        <v>45</v>
      </c>
      <c r="AH513" t="s">
        <v>42</v>
      </c>
      <c r="AI513" t="str">
        <f>"66298800555912"</f>
        <v>66298800555912</v>
      </c>
      <c r="AJ513" t="str">
        <f>"3221"</f>
        <v>3221</v>
      </c>
      <c r="AK513" t="s">
        <v>46</v>
      </c>
      <c r="AL513" s="1">
        <v>44816.546354166669</v>
      </c>
      <c r="AM513" t="s">
        <v>44</v>
      </c>
    </row>
    <row r="514" spans="1:39" x14ac:dyDescent="0.2">
      <c r="A514" t="s">
        <v>567</v>
      </c>
      <c r="B514" t="s">
        <v>40</v>
      </c>
      <c r="C514" t="s">
        <v>555</v>
      </c>
      <c r="D514" t="s">
        <v>42</v>
      </c>
      <c r="E514" t="s">
        <v>43</v>
      </c>
      <c r="F514" t="s">
        <v>44</v>
      </c>
      <c r="G514" t="s">
        <v>45</v>
      </c>
      <c r="AH514" t="s">
        <v>42</v>
      </c>
      <c r="AI514" t="str">
        <f>"66298800560729"</f>
        <v>66298800560729</v>
      </c>
      <c r="AJ514" t="str">
        <f>"QG077"</f>
        <v>QG077</v>
      </c>
      <c r="AK514" t="s">
        <v>46</v>
      </c>
      <c r="AL514" s="1">
        <v>44816.546354166669</v>
      </c>
      <c r="AM514" t="s">
        <v>44</v>
      </c>
    </row>
    <row r="515" spans="1:39" x14ac:dyDescent="0.2">
      <c r="A515" t="s">
        <v>567</v>
      </c>
      <c r="B515" t="s">
        <v>40</v>
      </c>
      <c r="C515" t="s">
        <v>555</v>
      </c>
      <c r="D515" t="s">
        <v>42</v>
      </c>
      <c r="E515" t="s">
        <v>43</v>
      </c>
      <c r="F515" t="s">
        <v>44</v>
      </c>
      <c r="G515" t="s">
        <v>45</v>
      </c>
      <c r="AH515" t="s">
        <v>42</v>
      </c>
      <c r="AI515" t="str">
        <f>"66298800567862"</f>
        <v>66298800567862</v>
      </c>
      <c r="AJ515" t="str">
        <f>"QG054"</f>
        <v>QG054</v>
      </c>
      <c r="AK515" t="s">
        <v>46</v>
      </c>
      <c r="AL515" s="1">
        <v>44816.546354166669</v>
      </c>
      <c r="AM515" t="s">
        <v>44</v>
      </c>
    </row>
    <row r="516" spans="1:39" x14ac:dyDescent="0.2">
      <c r="A516" t="s">
        <v>567</v>
      </c>
      <c r="B516" t="s">
        <v>40</v>
      </c>
      <c r="C516" t="s">
        <v>50</v>
      </c>
      <c r="D516" t="s">
        <v>42</v>
      </c>
      <c r="E516" t="s">
        <v>43</v>
      </c>
      <c r="F516" t="s">
        <v>44</v>
      </c>
      <c r="G516" t="s">
        <v>45</v>
      </c>
      <c r="AH516" t="s">
        <v>42</v>
      </c>
      <c r="AI516" t="str">
        <f>"QF016"</f>
        <v>QF016</v>
      </c>
      <c r="AJ516" t="str">
        <f>"QF016"</f>
        <v>QF016</v>
      </c>
      <c r="AK516" t="s">
        <v>46</v>
      </c>
      <c r="AL516" s="1">
        <v>45086.750578703701</v>
      </c>
      <c r="AM516" t="s">
        <v>44</v>
      </c>
    </row>
    <row r="517" spans="1:39" x14ac:dyDescent="0.2">
      <c r="A517" t="s">
        <v>567</v>
      </c>
      <c r="B517" t="s">
        <v>40</v>
      </c>
      <c r="C517" t="s">
        <v>50</v>
      </c>
      <c r="D517" t="s">
        <v>42</v>
      </c>
      <c r="E517" t="s">
        <v>43</v>
      </c>
      <c r="F517" t="s">
        <v>44</v>
      </c>
      <c r="G517" t="s">
        <v>45</v>
      </c>
      <c r="AH517" t="s">
        <v>42</v>
      </c>
      <c r="AI517" t="str">
        <f>"QF011"</f>
        <v>QF011</v>
      </c>
      <c r="AJ517" t="str">
        <f>"QF011"</f>
        <v>QF011</v>
      </c>
      <c r="AK517" t="s">
        <v>46</v>
      </c>
      <c r="AL517" s="1">
        <v>45086.751585648148</v>
      </c>
      <c r="AM517" t="s">
        <v>44</v>
      </c>
    </row>
    <row r="518" spans="1:39" x14ac:dyDescent="0.2">
      <c r="A518" t="s">
        <v>567</v>
      </c>
      <c r="B518" t="s">
        <v>40</v>
      </c>
      <c r="C518" t="s">
        <v>555</v>
      </c>
      <c r="D518" t="s">
        <v>42</v>
      </c>
      <c r="E518" t="s">
        <v>43</v>
      </c>
      <c r="F518" t="s">
        <v>44</v>
      </c>
      <c r="G518" t="s">
        <v>45</v>
      </c>
      <c r="AH518" t="s">
        <v>42</v>
      </c>
      <c r="AI518" t="str">
        <f>"202104"</f>
        <v>202104</v>
      </c>
      <c r="AJ518" t="str">
        <f>"202104"</f>
        <v>202104</v>
      </c>
      <c r="AK518" t="s">
        <v>46</v>
      </c>
      <c r="AL518" s="1">
        <v>45093.916192129633</v>
      </c>
      <c r="AM518" t="s">
        <v>44</v>
      </c>
    </row>
    <row r="519" spans="1:39" x14ac:dyDescent="0.2">
      <c r="A519" t="s">
        <v>568</v>
      </c>
      <c r="B519" t="s">
        <v>40</v>
      </c>
      <c r="C519" t="s">
        <v>555</v>
      </c>
      <c r="D519" t="s">
        <v>42</v>
      </c>
      <c r="E519" t="s">
        <v>43</v>
      </c>
      <c r="F519" t="s">
        <v>44</v>
      </c>
      <c r="G519" t="s">
        <v>45</v>
      </c>
      <c r="AH519" t="s">
        <v>42</v>
      </c>
      <c r="AI519" t="str">
        <f>"QG002"</f>
        <v>QG002</v>
      </c>
      <c r="AJ519" t="str">
        <f>"QG002"</f>
        <v>QG002</v>
      </c>
      <c r="AK519" t="s">
        <v>46</v>
      </c>
      <c r="AL519" s="1">
        <v>44890.589236111111</v>
      </c>
      <c r="AM519" t="s">
        <v>44</v>
      </c>
    </row>
    <row r="520" spans="1:39" x14ac:dyDescent="0.2">
      <c r="A520" t="s">
        <v>569</v>
      </c>
      <c r="B520" t="s">
        <v>40</v>
      </c>
      <c r="C520" t="s">
        <v>555</v>
      </c>
      <c r="D520" t="s">
        <v>42</v>
      </c>
      <c r="E520" t="s">
        <v>43</v>
      </c>
      <c r="F520" t="s">
        <v>44</v>
      </c>
      <c r="G520" t="s">
        <v>45</v>
      </c>
      <c r="AH520" t="s">
        <v>42</v>
      </c>
      <c r="AI520" t="str">
        <f>"QG004"</f>
        <v>QG004</v>
      </c>
      <c r="AJ520" t="str">
        <f>"QG004"</f>
        <v>QG004</v>
      </c>
      <c r="AK520" t="s">
        <v>46</v>
      </c>
      <c r="AL520" s="1">
        <v>44890.59202546296</v>
      </c>
      <c r="AM520" t="s">
        <v>44</v>
      </c>
    </row>
    <row r="521" spans="1:39" x14ac:dyDescent="0.2">
      <c r="A521" t="s">
        <v>569</v>
      </c>
      <c r="B521" t="s">
        <v>40</v>
      </c>
      <c r="C521" t="s">
        <v>555</v>
      </c>
      <c r="D521" t="s">
        <v>42</v>
      </c>
      <c r="E521" t="s">
        <v>43</v>
      </c>
      <c r="F521" t="s">
        <v>44</v>
      </c>
      <c r="G521" t="s">
        <v>45</v>
      </c>
      <c r="AH521" t="s">
        <v>42</v>
      </c>
      <c r="AI521" t="str">
        <f>"BO-SENAL"</f>
        <v>BO-SENAL</v>
      </c>
      <c r="AJ521" t="str">
        <f>"BO-SENAL"</f>
        <v>BO-SENAL</v>
      </c>
      <c r="AK521" t="s">
        <v>46</v>
      </c>
      <c r="AL521" s="1">
        <v>45000.642164351855</v>
      </c>
      <c r="AM521" t="s">
        <v>44</v>
      </c>
    </row>
    <row r="522" spans="1:39" x14ac:dyDescent="0.2">
      <c r="A522" t="s">
        <v>570</v>
      </c>
      <c r="B522" t="s">
        <v>40</v>
      </c>
      <c r="C522" t="s">
        <v>50</v>
      </c>
      <c r="D522" t="s">
        <v>42</v>
      </c>
      <c r="E522" t="s">
        <v>43</v>
      </c>
      <c r="F522" t="s">
        <v>44</v>
      </c>
      <c r="G522" t="s">
        <v>45</v>
      </c>
      <c r="AH522" t="s">
        <v>42</v>
      </c>
      <c r="AI522" t="str">
        <f>"C175"</f>
        <v>C175</v>
      </c>
      <c r="AJ522" t="str">
        <f>"C175"</f>
        <v>C175</v>
      </c>
      <c r="AK522" t="s">
        <v>46</v>
      </c>
      <c r="AL522" s="1">
        <v>44904.629317129627</v>
      </c>
      <c r="AM522" t="s">
        <v>44</v>
      </c>
    </row>
    <row r="523" spans="1:39" x14ac:dyDescent="0.2">
      <c r="A523" t="s">
        <v>571</v>
      </c>
      <c r="B523" t="s">
        <v>40</v>
      </c>
      <c r="C523" t="s">
        <v>572</v>
      </c>
      <c r="D523" t="s">
        <v>42</v>
      </c>
      <c r="E523" t="s">
        <v>43</v>
      </c>
      <c r="F523" t="s">
        <v>44</v>
      </c>
      <c r="G523" t="s">
        <v>45</v>
      </c>
      <c r="AH523" t="s">
        <v>42</v>
      </c>
      <c r="AI523" t="str">
        <f>"ZZA005"</f>
        <v>ZZA005</v>
      </c>
      <c r="AJ523" t="str">
        <f>"ZZA005"</f>
        <v>ZZA005</v>
      </c>
      <c r="AK523" t="s">
        <v>46</v>
      </c>
      <c r="AL523" s="1">
        <v>45086.759756944448</v>
      </c>
      <c r="AM523" t="s">
        <v>44</v>
      </c>
    </row>
    <row r="524" spans="1:39" x14ac:dyDescent="0.2">
      <c r="A524" t="s">
        <v>573</v>
      </c>
      <c r="B524" t="s">
        <v>40</v>
      </c>
      <c r="C524" t="s">
        <v>572</v>
      </c>
      <c r="D524" t="s">
        <v>42</v>
      </c>
      <c r="E524" t="s">
        <v>43</v>
      </c>
      <c r="F524" t="s">
        <v>44</v>
      </c>
      <c r="G524" t="s">
        <v>45</v>
      </c>
      <c r="AH524" t="s">
        <v>42</v>
      </c>
      <c r="AI524" t="str">
        <f>"21650-33G80-000"</f>
        <v>21650-33G80-000</v>
      </c>
      <c r="AJ524" t="str">
        <f>"21650-33G80-000"</f>
        <v>21650-33G80-000</v>
      </c>
      <c r="AK524" t="s">
        <v>46</v>
      </c>
      <c r="AL524" s="1">
        <v>44875.570011574076</v>
      </c>
      <c r="AM524" t="s">
        <v>44</v>
      </c>
    </row>
    <row r="525" spans="1:39" x14ac:dyDescent="0.2">
      <c r="A525" t="s">
        <v>574</v>
      </c>
      <c r="B525" t="s">
        <v>40</v>
      </c>
      <c r="C525" t="s">
        <v>572</v>
      </c>
      <c r="D525" t="s">
        <v>42</v>
      </c>
      <c r="E525" t="s">
        <v>43</v>
      </c>
      <c r="F525" t="s">
        <v>44</v>
      </c>
      <c r="G525" t="s">
        <v>45</v>
      </c>
      <c r="AH525" t="s">
        <v>42</v>
      </c>
      <c r="AI525" t="str">
        <f>"66298800770590"</f>
        <v>66298800770590</v>
      </c>
      <c r="AJ525" t="str">
        <f>"CC003"</f>
        <v>CC003</v>
      </c>
      <c r="AK525" t="s">
        <v>46</v>
      </c>
      <c r="AL525" s="1">
        <v>44816.546377314815</v>
      </c>
      <c r="AM525" t="s">
        <v>44</v>
      </c>
    </row>
    <row r="526" spans="1:39" x14ac:dyDescent="0.2">
      <c r="A526" t="s">
        <v>575</v>
      </c>
      <c r="B526" t="s">
        <v>40</v>
      </c>
      <c r="C526" t="s">
        <v>572</v>
      </c>
      <c r="D526" t="s">
        <v>42</v>
      </c>
      <c r="E526" t="s">
        <v>43</v>
      </c>
      <c r="F526" t="s">
        <v>44</v>
      </c>
      <c r="G526" t="s">
        <v>45</v>
      </c>
      <c r="AH526" t="s">
        <v>42</v>
      </c>
      <c r="AI526" t="str">
        <f>"66298800816074"</f>
        <v>66298800816074</v>
      </c>
      <c r="AJ526" t="str">
        <f>"CC002"</f>
        <v>CC002</v>
      </c>
      <c r="AK526" t="s">
        <v>46</v>
      </c>
      <c r="AL526" s="1">
        <v>44816.546388888892</v>
      </c>
      <c r="AM526" t="s">
        <v>44</v>
      </c>
    </row>
    <row r="527" spans="1:39" x14ac:dyDescent="0.2">
      <c r="A527" t="s">
        <v>576</v>
      </c>
      <c r="B527" t="s">
        <v>40</v>
      </c>
      <c r="C527" t="s">
        <v>572</v>
      </c>
      <c r="D527" t="s">
        <v>42</v>
      </c>
      <c r="E527" t="s">
        <v>43</v>
      </c>
      <c r="F527" t="s">
        <v>44</v>
      </c>
      <c r="G527" t="s">
        <v>45</v>
      </c>
      <c r="AH527" t="s">
        <v>42</v>
      </c>
      <c r="AI527" t="str">
        <f>"22121-HKE-000"</f>
        <v>22121-HKE-000</v>
      </c>
      <c r="AJ527" t="str">
        <f>"22121-HKE-000"</f>
        <v>22121-HKE-000</v>
      </c>
      <c r="AK527" t="s">
        <v>46</v>
      </c>
      <c r="AL527" s="1">
        <v>44819.57739583333</v>
      </c>
      <c r="AM527" t="s">
        <v>44</v>
      </c>
    </row>
    <row r="528" spans="1:39" x14ac:dyDescent="0.2">
      <c r="A528" t="s">
        <v>576</v>
      </c>
      <c r="B528" t="s">
        <v>40</v>
      </c>
      <c r="C528" t="s">
        <v>572</v>
      </c>
      <c r="D528" t="s">
        <v>42</v>
      </c>
      <c r="E528" t="s">
        <v>43</v>
      </c>
      <c r="F528" t="s">
        <v>44</v>
      </c>
      <c r="G528" t="s">
        <v>45</v>
      </c>
      <c r="AH528" t="s">
        <v>42</v>
      </c>
      <c r="AI528" t="str">
        <f>"H2120"</f>
        <v>H2120</v>
      </c>
      <c r="AJ528" t="str">
        <f>"H2120"</f>
        <v>H2120</v>
      </c>
      <c r="AK528" t="s">
        <v>46</v>
      </c>
      <c r="AL528" s="1">
        <v>45086.761678240742</v>
      </c>
      <c r="AM528" t="s">
        <v>44</v>
      </c>
    </row>
    <row r="529" spans="1:39" x14ac:dyDescent="0.2">
      <c r="A529" t="s">
        <v>577</v>
      </c>
      <c r="B529" t="s">
        <v>40</v>
      </c>
      <c r="C529" t="s">
        <v>572</v>
      </c>
      <c r="D529" t="s">
        <v>42</v>
      </c>
      <c r="E529" t="s">
        <v>43</v>
      </c>
      <c r="F529" t="s">
        <v>44</v>
      </c>
      <c r="G529" t="s">
        <v>45</v>
      </c>
      <c r="AH529" t="s">
        <v>42</v>
      </c>
      <c r="AI529" t="str">
        <f>"CC001"</f>
        <v>CC001</v>
      </c>
      <c r="AJ529" t="str">
        <f>"CC001"</f>
        <v>CC001</v>
      </c>
      <c r="AK529" t="s">
        <v>46</v>
      </c>
      <c r="AL529" s="1">
        <v>45093.841481481482</v>
      </c>
      <c r="AM529" t="s">
        <v>44</v>
      </c>
    </row>
    <row r="530" spans="1:39" x14ac:dyDescent="0.2">
      <c r="A530" t="s">
        <v>578</v>
      </c>
      <c r="B530" t="s">
        <v>40</v>
      </c>
      <c r="C530" t="s">
        <v>572</v>
      </c>
      <c r="D530" t="s">
        <v>42</v>
      </c>
      <c r="E530" t="s">
        <v>43</v>
      </c>
      <c r="F530" t="s">
        <v>44</v>
      </c>
      <c r="G530" t="s">
        <v>45</v>
      </c>
      <c r="AH530" t="s">
        <v>42</v>
      </c>
      <c r="AI530" t="str">
        <f>"B120"</f>
        <v>B120</v>
      </c>
      <c r="AJ530" t="str">
        <f>"B120"</f>
        <v>B120</v>
      </c>
      <c r="AK530" t="s">
        <v>46</v>
      </c>
      <c r="AL530" s="1">
        <v>45086.763553240744</v>
      </c>
      <c r="AM530" t="s">
        <v>44</v>
      </c>
    </row>
    <row r="531" spans="1:39" x14ac:dyDescent="0.2">
      <c r="A531" t="s">
        <v>579</v>
      </c>
      <c r="B531" t="s">
        <v>40</v>
      </c>
      <c r="C531" t="s">
        <v>572</v>
      </c>
      <c r="D531" t="s">
        <v>42</v>
      </c>
      <c r="E531" t="s">
        <v>43</v>
      </c>
      <c r="F531" t="s">
        <v>44</v>
      </c>
      <c r="G531" t="s">
        <v>45</v>
      </c>
      <c r="AH531" t="s">
        <v>42</v>
      </c>
      <c r="AI531" t="str">
        <f>"66298800858288"</f>
        <v>66298800858288</v>
      </c>
      <c r="AJ531" t="str">
        <f>"13521"</f>
        <v>13521</v>
      </c>
      <c r="AK531" t="s">
        <v>46</v>
      </c>
      <c r="AL531" s="1">
        <v>44816.546388888892</v>
      </c>
      <c r="AM531" t="s">
        <v>44</v>
      </c>
    </row>
    <row r="532" spans="1:39" x14ac:dyDescent="0.2">
      <c r="A532" t="s">
        <v>580</v>
      </c>
      <c r="B532" t="s">
        <v>40</v>
      </c>
      <c r="C532" t="s">
        <v>581</v>
      </c>
      <c r="D532" t="s">
        <v>42</v>
      </c>
      <c r="E532" t="s">
        <v>43</v>
      </c>
      <c r="F532" t="s">
        <v>44</v>
      </c>
      <c r="G532" t="s">
        <v>45</v>
      </c>
      <c r="AH532" t="s">
        <v>42</v>
      </c>
      <c r="AI532" t="str">
        <f>"66298800901697"</f>
        <v>66298800901697</v>
      </c>
      <c r="AJ532" t="str">
        <f>"D8EACN"</f>
        <v>D8EACN</v>
      </c>
      <c r="AK532" t="s">
        <v>46</v>
      </c>
      <c r="AL532" s="1">
        <v>44816.546400462961</v>
      </c>
      <c r="AM532" t="s">
        <v>44</v>
      </c>
    </row>
    <row r="533" spans="1:39" x14ac:dyDescent="0.2">
      <c r="A533" t="s">
        <v>582</v>
      </c>
      <c r="B533" t="s">
        <v>40</v>
      </c>
      <c r="C533" t="s">
        <v>581</v>
      </c>
      <c r="D533" t="s">
        <v>42</v>
      </c>
      <c r="E533" t="s">
        <v>43</v>
      </c>
      <c r="F533" t="s">
        <v>44</v>
      </c>
      <c r="G533" t="s">
        <v>45</v>
      </c>
      <c r="AH533" t="s">
        <v>42</v>
      </c>
      <c r="AI533" t="str">
        <f>"66298800985695"</f>
        <v>66298800985695</v>
      </c>
      <c r="AJ533" t="str">
        <f>"IU20JP"</f>
        <v>IU20JP</v>
      </c>
      <c r="AK533" t="s">
        <v>46</v>
      </c>
      <c r="AL533" s="1">
        <v>44816.546400462961</v>
      </c>
      <c r="AM533" t="s">
        <v>44</v>
      </c>
    </row>
    <row r="534" spans="1:39" x14ac:dyDescent="0.2">
      <c r="A534" t="s">
        <v>583</v>
      </c>
      <c r="B534" t="s">
        <v>40</v>
      </c>
      <c r="C534" t="s">
        <v>581</v>
      </c>
      <c r="D534" t="s">
        <v>42</v>
      </c>
      <c r="E534" t="s">
        <v>43</v>
      </c>
      <c r="F534" t="s">
        <v>44</v>
      </c>
      <c r="G534" t="s">
        <v>45</v>
      </c>
      <c r="AH534" t="s">
        <v>42</v>
      </c>
      <c r="AI534" t="str">
        <f>"66298801067873"</f>
        <v>66298801067873</v>
      </c>
      <c r="AJ534" t="str">
        <f>"IU22JP"</f>
        <v>IU22JP</v>
      </c>
      <c r="AK534" t="s">
        <v>46</v>
      </c>
      <c r="AL534" s="1">
        <v>44816.546412037038</v>
      </c>
      <c r="AM534" t="s">
        <v>44</v>
      </c>
    </row>
    <row r="535" spans="1:39" x14ac:dyDescent="0.2">
      <c r="A535" t="s">
        <v>584</v>
      </c>
      <c r="B535" t="s">
        <v>40</v>
      </c>
      <c r="C535" t="s">
        <v>581</v>
      </c>
      <c r="D535" t="s">
        <v>42</v>
      </c>
      <c r="E535" t="s">
        <v>43</v>
      </c>
      <c r="F535" t="s">
        <v>44</v>
      </c>
      <c r="G535" t="s">
        <v>45</v>
      </c>
      <c r="AH535" t="s">
        <v>42</v>
      </c>
      <c r="AI535" t="str">
        <f>"IU24JP"</f>
        <v>IU24JP</v>
      </c>
      <c r="AJ535" t="str">
        <f>"IU24JP"</f>
        <v>IU24JP</v>
      </c>
      <c r="AK535" t="s">
        <v>46</v>
      </c>
      <c r="AL535" s="1">
        <v>44816.546423611115</v>
      </c>
      <c r="AM535" t="s">
        <v>44</v>
      </c>
    </row>
    <row r="536" spans="1:39" x14ac:dyDescent="0.2">
      <c r="A536" t="s">
        <v>585</v>
      </c>
      <c r="B536" t="s">
        <v>40</v>
      </c>
      <c r="C536" t="s">
        <v>581</v>
      </c>
      <c r="D536" t="s">
        <v>42</v>
      </c>
      <c r="E536" t="s">
        <v>43</v>
      </c>
      <c r="F536" t="s">
        <v>44</v>
      </c>
      <c r="G536" t="s">
        <v>45</v>
      </c>
      <c r="AH536" t="s">
        <v>42</v>
      </c>
      <c r="AI536" t="str">
        <f>"66298801320393"</f>
        <v>66298801320393</v>
      </c>
      <c r="AJ536" t="str">
        <f>"IU24AJP"</f>
        <v>IU24AJP</v>
      </c>
      <c r="AK536" t="s">
        <v>46</v>
      </c>
      <c r="AL536" s="1">
        <v>44816.546446759261</v>
      </c>
      <c r="AM536" t="s">
        <v>44</v>
      </c>
    </row>
    <row r="537" spans="1:39" x14ac:dyDescent="0.2">
      <c r="A537" t="s">
        <v>586</v>
      </c>
      <c r="B537" t="s">
        <v>40</v>
      </c>
      <c r="C537" t="s">
        <v>581</v>
      </c>
      <c r="D537" t="s">
        <v>42</v>
      </c>
      <c r="E537" t="s">
        <v>43</v>
      </c>
      <c r="F537" t="s">
        <v>44</v>
      </c>
      <c r="G537" t="s">
        <v>45</v>
      </c>
      <c r="AH537" t="s">
        <v>42</v>
      </c>
      <c r="AI537" t="str">
        <f>"IU27JP"</f>
        <v>IU27JP</v>
      </c>
      <c r="AJ537" t="str">
        <f>"IU27JP"</f>
        <v>IU27JP</v>
      </c>
      <c r="AK537" t="s">
        <v>46</v>
      </c>
      <c r="AL537" s="1">
        <v>44872.647685185184</v>
      </c>
      <c r="AM537" t="s">
        <v>44</v>
      </c>
    </row>
    <row r="538" spans="1:39" x14ac:dyDescent="0.2">
      <c r="A538" t="s">
        <v>587</v>
      </c>
      <c r="B538" t="s">
        <v>40</v>
      </c>
      <c r="C538" t="s">
        <v>581</v>
      </c>
      <c r="D538" t="s">
        <v>42</v>
      </c>
      <c r="E538" t="s">
        <v>43</v>
      </c>
      <c r="F538" t="s">
        <v>44</v>
      </c>
      <c r="G538" t="s">
        <v>45</v>
      </c>
      <c r="AH538" t="s">
        <v>42</v>
      </c>
      <c r="AI538" t="str">
        <f>"66298801360705"</f>
        <v>66298801360705</v>
      </c>
      <c r="AJ538" t="str">
        <f>"IU27AJP"</f>
        <v>IU27AJP</v>
      </c>
      <c r="AK538" t="s">
        <v>46</v>
      </c>
      <c r="AL538" s="1">
        <v>44816.546446759261</v>
      </c>
      <c r="AM538" t="s">
        <v>44</v>
      </c>
    </row>
    <row r="539" spans="1:39" x14ac:dyDescent="0.2">
      <c r="A539" t="s">
        <v>588</v>
      </c>
      <c r="B539" t="s">
        <v>40</v>
      </c>
      <c r="C539" t="s">
        <v>581</v>
      </c>
      <c r="D539" t="s">
        <v>42</v>
      </c>
      <c r="E539" t="s">
        <v>43</v>
      </c>
      <c r="F539" t="s">
        <v>44</v>
      </c>
      <c r="G539" t="s">
        <v>45</v>
      </c>
      <c r="AH539" t="s">
        <v>42</v>
      </c>
      <c r="AI539" t="str">
        <f>"IU31"</f>
        <v>IU31</v>
      </c>
      <c r="AJ539" t="str">
        <f>"IU31"</f>
        <v>IU31</v>
      </c>
      <c r="AK539" t="s">
        <v>46</v>
      </c>
      <c r="AL539" s="1">
        <v>44939.647187499999</v>
      </c>
      <c r="AM539" t="s">
        <v>44</v>
      </c>
    </row>
    <row r="540" spans="1:39" x14ac:dyDescent="0.2">
      <c r="A540" t="s">
        <v>589</v>
      </c>
      <c r="B540" t="s">
        <v>40</v>
      </c>
      <c r="C540" t="s">
        <v>581</v>
      </c>
      <c r="D540" t="s">
        <v>42</v>
      </c>
      <c r="E540" t="s">
        <v>43</v>
      </c>
      <c r="F540" t="s">
        <v>44</v>
      </c>
      <c r="G540" t="s">
        <v>45</v>
      </c>
      <c r="AH540" t="s">
        <v>42</v>
      </c>
      <c r="AI540" t="str">
        <f>"66298801025535"</f>
        <v>66298801025535</v>
      </c>
      <c r="AJ540" t="str">
        <f>"IU31AJP"</f>
        <v>IU31AJP</v>
      </c>
      <c r="AK540" t="s">
        <v>46</v>
      </c>
      <c r="AL540" s="1">
        <v>44816.546412037038</v>
      </c>
      <c r="AM540" t="s">
        <v>44</v>
      </c>
    </row>
    <row r="541" spans="1:39" x14ac:dyDescent="0.2">
      <c r="A541" t="s">
        <v>590</v>
      </c>
      <c r="B541" t="s">
        <v>40</v>
      </c>
      <c r="C541" t="s">
        <v>581</v>
      </c>
      <c r="D541" t="s">
        <v>42</v>
      </c>
      <c r="E541" t="s">
        <v>43</v>
      </c>
      <c r="F541" t="s">
        <v>44</v>
      </c>
      <c r="G541" t="s">
        <v>45</v>
      </c>
      <c r="AH541" t="s">
        <v>42</v>
      </c>
      <c r="AI541" t="str">
        <f>"IUF22JP"</f>
        <v>IUF22JP</v>
      </c>
      <c r="AJ541" t="str">
        <f>"IUF22JP"</f>
        <v>IUF22JP</v>
      </c>
      <c r="AK541" t="s">
        <v>46</v>
      </c>
      <c r="AL541" s="1">
        <v>44939.697766203702</v>
      </c>
      <c r="AM541" t="s">
        <v>44</v>
      </c>
    </row>
    <row r="542" spans="1:39" x14ac:dyDescent="0.2">
      <c r="A542" t="s">
        <v>591</v>
      </c>
      <c r="B542" t="s">
        <v>40</v>
      </c>
      <c r="C542" t="s">
        <v>581</v>
      </c>
      <c r="D542" t="s">
        <v>42</v>
      </c>
      <c r="E542" t="s">
        <v>43</v>
      </c>
      <c r="F542" t="s">
        <v>44</v>
      </c>
      <c r="G542" t="s">
        <v>45</v>
      </c>
      <c r="AH542" t="s">
        <v>42</v>
      </c>
      <c r="AI542" t="str">
        <f>"IUF24JP"</f>
        <v>IUF24JP</v>
      </c>
      <c r="AJ542" t="str">
        <f>"IUF24JP"</f>
        <v>IUF24JP</v>
      </c>
      <c r="AK542" t="s">
        <v>46</v>
      </c>
      <c r="AL542" s="1">
        <v>44876.812094907407</v>
      </c>
      <c r="AM542" t="s">
        <v>44</v>
      </c>
    </row>
    <row r="543" spans="1:39" x14ac:dyDescent="0.2">
      <c r="A543" t="s">
        <v>592</v>
      </c>
      <c r="B543" t="s">
        <v>40</v>
      </c>
      <c r="C543" t="s">
        <v>581</v>
      </c>
      <c r="D543" t="s">
        <v>42</v>
      </c>
      <c r="E543" t="s">
        <v>43</v>
      </c>
      <c r="F543" t="s">
        <v>44</v>
      </c>
      <c r="G543" t="s">
        <v>45</v>
      </c>
      <c r="AH543" t="s">
        <v>42</v>
      </c>
      <c r="AI543" t="str">
        <f>"66298801112250"</f>
        <v>66298801112250</v>
      </c>
      <c r="AJ543" t="str">
        <f>"IUH24JP"</f>
        <v>IUH24JP</v>
      </c>
      <c r="AK543" t="s">
        <v>46</v>
      </c>
      <c r="AL543" s="1">
        <v>44816.546423611115</v>
      </c>
      <c r="AM543" t="s">
        <v>44</v>
      </c>
    </row>
    <row r="544" spans="1:39" x14ac:dyDescent="0.2">
      <c r="A544" t="s">
        <v>593</v>
      </c>
      <c r="B544" t="s">
        <v>40</v>
      </c>
      <c r="C544" t="s">
        <v>581</v>
      </c>
      <c r="D544" t="s">
        <v>42</v>
      </c>
      <c r="E544" t="s">
        <v>43</v>
      </c>
      <c r="F544" t="s">
        <v>44</v>
      </c>
      <c r="G544" t="s">
        <v>45</v>
      </c>
      <c r="AH544" t="s">
        <v>42</v>
      </c>
      <c r="AI544" t="str">
        <f>"66298801189788"</f>
        <v>66298801189788</v>
      </c>
      <c r="AJ544" t="str">
        <f>"IUH27JP"</f>
        <v>IUH27JP</v>
      </c>
      <c r="AK544" t="s">
        <v>46</v>
      </c>
      <c r="AL544" s="1">
        <v>44816.546423611115</v>
      </c>
      <c r="AM544" t="s">
        <v>44</v>
      </c>
    </row>
    <row r="545" spans="1:39" x14ac:dyDescent="0.2">
      <c r="A545" t="s">
        <v>594</v>
      </c>
      <c r="B545" t="s">
        <v>40</v>
      </c>
      <c r="C545" t="s">
        <v>581</v>
      </c>
      <c r="D545" t="s">
        <v>42</v>
      </c>
      <c r="E545" t="s">
        <v>43</v>
      </c>
      <c r="F545" t="s">
        <v>44</v>
      </c>
      <c r="G545" t="s">
        <v>45</v>
      </c>
      <c r="AH545" t="s">
        <v>42</v>
      </c>
      <c r="AI545" t="str">
        <f>"66298800943216"</f>
        <v>66298800943216</v>
      </c>
      <c r="AJ545" t="str">
        <f>"IW24JP"</f>
        <v>IW24JP</v>
      </c>
      <c r="AK545" t="s">
        <v>46</v>
      </c>
      <c r="AL545" s="1">
        <v>44816.546400462961</v>
      </c>
      <c r="AM545" t="s">
        <v>44</v>
      </c>
    </row>
    <row r="546" spans="1:39" x14ac:dyDescent="0.2">
      <c r="A546" t="s">
        <v>595</v>
      </c>
      <c r="B546" t="s">
        <v>40</v>
      </c>
      <c r="C546" t="s">
        <v>581</v>
      </c>
      <c r="D546" t="s">
        <v>42</v>
      </c>
      <c r="E546" t="s">
        <v>43</v>
      </c>
      <c r="F546" t="s">
        <v>44</v>
      </c>
      <c r="G546" t="s">
        <v>45</v>
      </c>
      <c r="AH546" t="s">
        <v>42</v>
      </c>
      <c r="AI546" t="str">
        <f>"IWF24JP"</f>
        <v>IWF24JP</v>
      </c>
      <c r="AJ546" t="str">
        <f>"IWF24JP"</f>
        <v>IWF24JP</v>
      </c>
      <c r="AK546" t="s">
        <v>46</v>
      </c>
      <c r="AL546" s="1">
        <v>44939.687939814816</v>
      </c>
      <c r="AM546" t="s">
        <v>44</v>
      </c>
    </row>
    <row r="547" spans="1:39" x14ac:dyDescent="0.2">
      <c r="A547" t="s">
        <v>596</v>
      </c>
      <c r="B547" t="s">
        <v>40</v>
      </c>
      <c r="C547" t="s">
        <v>581</v>
      </c>
      <c r="D547" t="s">
        <v>42</v>
      </c>
      <c r="E547" t="s">
        <v>43</v>
      </c>
      <c r="F547" t="s">
        <v>44</v>
      </c>
      <c r="G547" t="s">
        <v>45</v>
      </c>
      <c r="AH547" t="s">
        <v>42</v>
      </c>
      <c r="AI547" t="str">
        <f>"IX24JP"</f>
        <v>IX24JP</v>
      </c>
      <c r="AJ547" t="str">
        <f>"IX24JP"</f>
        <v>IX24JP</v>
      </c>
      <c r="AK547" t="s">
        <v>46</v>
      </c>
      <c r="AL547" s="1">
        <v>44939.685173611113</v>
      </c>
      <c r="AM547" t="s">
        <v>44</v>
      </c>
    </row>
    <row r="548" spans="1:39" x14ac:dyDescent="0.2">
      <c r="A548" t="s">
        <v>597</v>
      </c>
      <c r="B548" t="s">
        <v>40</v>
      </c>
      <c r="C548" t="s">
        <v>581</v>
      </c>
      <c r="D548" t="s">
        <v>42</v>
      </c>
      <c r="E548" t="s">
        <v>43</v>
      </c>
      <c r="F548" t="s">
        <v>44</v>
      </c>
      <c r="G548" t="s">
        <v>45</v>
      </c>
      <c r="AH548" t="s">
        <v>42</v>
      </c>
      <c r="AI548" t="str">
        <f>"IX24BJP"</f>
        <v>IX24BJP</v>
      </c>
      <c r="AJ548" t="str">
        <f>"IX24BJP"</f>
        <v>IX24BJP</v>
      </c>
      <c r="AK548" t="s">
        <v>46</v>
      </c>
      <c r="AL548" s="1">
        <v>44816.546435185184</v>
      </c>
      <c r="AM548" t="s">
        <v>44</v>
      </c>
    </row>
    <row r="549" spans="1:39" x14ac:dyDescent="0.2">
      <c r="A549" t="s">
        <v>598</v>
      </c>
      <c r="B549" t="s">
        <v>40</v>
      </c>
      <c r="C549" t="s">
        <v>581</v>
      </c>
      <c r="D549" t="s">
        <v>42</v>
      </c>
      <c r="E549" t="s">
        <v>43</v>
      </c>
      <c r="F549" t="s">
        <v>44</v>
      </c>
      <c r="G549" t="s">
        <v>45</v>
      </c>
      <c r="AH549" t="s">
        <v>42</v>
      </c>
      <c r="AI549" t="str">
        <f>"IX27BJP"</f>
        <v>IX27BJP</v>
      </c>
      <c r="AJ549" t="str">
        <f>"IX27BJP"</f>
        <v>IX27BJP</v>
      </c>
      <c r="AK549" t="s">
        <v>46</v>
      </c>
      <c r="AL549" s="1">
        <v>44902.767974537041</v>
      </c>
      <c r="AM549" t="s">
        <v>44</v>
      </c>
    </row>
    <row r="550" spans="1:39" x14ac:dyDescent="0.2">
      <c r="A550" t="s">
        <v>599</v>
      </c>
      <c r="B550" t="s">
        <v>40</v>
      </c>
      <c r="C550" t="s">
        <v>581</v>
      </c>
      <c r="D550" t="s">
        <v>42</v>
      </c>
      <c r="E550" t="s">
        <v>43</v>
      </c>
      <c r="F550" t="s">
        <v>44</v>
      </c>
      <c r="G550" t="s">
        <v>45</v>
      </c>
      <c r="AH550" t="s">
        <v>42</v>
      </c>
      <c r="AI550" t="str">
        <f>"IXU24JP"</f>
        <v>IXU24JP</v>
      </c>
      <c r="AJ550" t="str">
        <f>"IXU24JP"</f>
        <v>IXU24JP</v>
      </c>
      <c r="AK550" t="s">
        <v>46</v>
      </c>
      <c r="AL550" s="1">
        <v>44939.68005787037</v>
      </c>
      <c r="AM550" t="s">
        <v>44</v>
      </c>
    </row>
    <row r="551" spans="1:39" x14ac:dyDescent="0.2">
      <c r="A551" t="s">
        <v>600</v>
      </c>
      <c r="B551" t="s">
        <v>40</v>
      </c>
      <c r="C551" t="s">
        <v>581</v>
      </c>
      <c r="D551" t="s">
        <v>42</v>
      </c>
      <c r="E551" t="s">
        <v>43</v>
      </c>
      <c r="F551" t="s">
        <v>44</v>
      </c>
      <c r="G551" t="s">
        <v>45</v>
      </c>
      <c r="AH551" t="s">
        <v>42</v>
      </c>
      <c r="AI551" t="str">
        <f>"66298801276854"</f>
        <v>66298801276854</v>
      </c>
      <c r="AJ551" t="str">
        <f>"IXU27JP"</f>
        <v>IXU27JP</v>
      </c>
      <c r="AK551" t="s">
        <v>46</v>
      </c>
      <c r="AL551" s="1">
        <v>44816.546435185184</v>
      </c>
      <c r="AM551" t="s">
        <v>44</v>
      </c>
    </row>
    <row r="552" spans="1:39" x14ac:dyDescent="0.2">
      <c r="A552" t="s">
        <v>601</v>
      </c>
      <c r="B552" t="s">
        <v>40</v>
      </c>
      <c r="C552" t="s">
        <v>581</v>
      </c>
      <c r="D552" t="s">
        <v>42</v>
      </c>
      <c r="E552" t="s">
        <v>43</v>
      </c>
      <c r="F552" t="s">
        <v>44</v>
      </c>
      <c r="G552" t="s">
        <v>45</v>
      </c>
      <c r="AH552" t="s">
        <v>42</v>
      </c>
      <c r="AI552" t="str">
        <f>"U20EPR-9JP"</f>
        <v>U20EPR-9JP</v>
      </c>
      <c r="AJ552" t="str">
        <f>"U20EPR-9JP"</f>
        <v>U20EPR-9JP</v>
      </c>
      <c r="AK552" t="s">
        <v>46</v>
      </c>
      <c r="AL552" s="1">
        <v>44816.546458333331</v>
      </c>
      <c r="AM552" t="s">
        <v>44</v>
      </c>
    </row>
    <row r="553" spans="1:39" x14ac:dyDescent="0.2">
      <c r="A553" t="s">
        <v>602</v>
      </c>
      <c r="B553" t="s">
        <v>40</v>
      </c>
      <c r="C553" t="s">
        <v>581</v>
      </c>
      <c r="D553" t="s">
        <v>42</v>
      </c>
      <c r="E553" t="s">
        <v>43</v>
      </c>
      <c r="F553" t="s">
        <v>44</v>
      </c>
      <c r="G553" t="s">
        <v>45</v>
      </c>
      <c r="AH553" t="s">
        <v>42</v>
      </c>
      <c r="AI553" t="str">
        <f>"U22FS-UJP"</f>
        <v>U22FS-UJP</v>
      </c>
      <c r="AJ553" t="str">
        <f>"U22FS-UJP"</f>
        <v>U22FS-UJP</v>
      </c>
      <c r="AK553" t="s">
        <v>46</v>
      </c>
      <c r="AL553" s="1">
        <v>44936.877893518518</v>
      </c>
      <c r="AM553" t="s">
        <v>44</v>
      </c>
    </row>
    <row r="554" spans="1:39" x14ac:dyDescent="0.2">
      <c r="A554" t="s">
        <v>603</v>
      </c>
      <c r="B554" t="s">
        <v>40</v>
      </c>
      <c r="C554" t="s">
        <v>581</v>
      </c>
      <c r="D554" t="s">
        <v>42</v>
      </c>
      <c r="E554" t="s">
        <v>43</v>
      </c>
      <c r="F554" t="s">
        <v>44</v>
      </c>
      <c r="G554" t="s">
        <v>45</v>
      </c>
      <c r="AH554" t="s">
        <v>42</v>
      </c>
      <c r="AI554" t="str">
        <f>"66298801485728"</f>
        <v>66298801485728</v>
      </c>
      <c r="AJ554" t="str">
        <f>"U22FSR-UJP"</f>
        <v>U22FSR-UJP</v>
      </c>
      <c r="AK554" t="s">
        <v>46</v>
      </c>
      <c r="AL554" s="1">
        <v>44816.546458333331</v>
      </c>
      <c r="AM554" t="s">
        <v>44</v>
      </c>
    </row>
    <row r="555" spans="1:39" x14ac:dyDescent="0.2">
      <c r="A555" t="s">
        <v>604</v>
      </c>
      <c r="B555" t="s">
        <v>40</v>
      </c>
      <c r="C555" t="s">
        <v>581</v>
      </c>
      <c r="D555" t="s">
        <v>42</v>
      </c>
      <c r="E555" t="s">
        <v>43</v>
      </c>
      <c r="F555" t="s">
        <v>44</v>
      </c>
      <c r="G555" t="s">
        <v>45</v>
      </c>
      <c r="AH555" t="s">
        <v>42</v>
      </c>
      <c r="AI555" t="str">
        <f>"66298801531667"</f>
        <v>66298801531667</v>
      </c>
      <c r="AJ555" t="str">
        <f>"U24ES-NJP"</f>
        <v>U24ES-NJP</v>
      </c>
      <c r="AK555" t="s">
        <v>46</v>
      </c>
      <c r="AL555" s="1">
        <v>44816.546469907407</v>
      </c>
      <c r="AM555" t="s">
        <v>44</v>
      </c>
    </row>
    <row r="556" spans="1:39" x14ac:dyDescent="0.2">
      <c r="A556" t="s">
        <v>605</v>
      </c>
      <c r="B556" t="s">
        <v>40</v>
      </c>
      <c r="C556" t="s">
        <v>581</v>
      </c>
      <c r="D556" t="s">
        <v>42</v>
      </c>
      <c r="E556" t="s">
        <v>43</v>
      </c>
      <c r="F556" t="s">
        <v>44</v>
      </c>
      <c r="G556" t="s">
        <v>45</v>
      </c>
      <c r="AH556" t="s">
        <v>42</v>
      </c>
      <c r="AI556" t="str">
        <f>"U24FER-9JP"</f>
        <v>U24FER-9JP</v>
      </c>
      <c r="AJ556" t="str">
        <f>"U24FER-9JP"</f>
        <v>U24FER-9JP</v>
      </c>
      <c r="AK556" t="s">
        <v>46</v>
      </c>
      <c r="AL556" s="1">
        <v>44816.546469907407</v>
      </c>
      <c r="AM556" t="s">
        <v>44</v>
      </c>
    </row>
    <row r="557" spans="1:39" x14ac:dyDescent="0.2">
      <c r="A557" t="s">
        <v>606</v>
      </c>
      <c r="B557" t="s">
        <v>40</v>
      </c>
      <c r="C557" t="s">
        <v>581</v>
      </c>
      <c r="D557" t="s">
        <v>42</v>
      </c>
      <c r="E557" t="s">
        <v>43</v>
      </c>
      <c r="F557" t="s">
        <v>44</v>
      </c>
      <c r="G557" t="s">
        <v>45</v>
      </c>
      <c r="AH557" t="s">
        <v>42</v>
      </c>
      <c r="AI557" t="str">
        <f>"66298801608746"</f>
        <v>66298801608746</v>
      </c>
      <c r="AJ557" t="str">
        <f>"U27ES-NJP"</f>
        <v>U27ES-NJP</v>
      </c>
      <c r="AK557" t="s">
        <v>46</v>
      </c>
      <c r="AL557" s="1">
        <v>44816.546481481484</v>
      </c>
      <c r="AM557" t="s">
        <v>44</v>
      </c>
    </row>
    <row r="558" spans="1:39" x14ac:dyDescent="0.2">
      <c r="A558" t="s">
        <v>607</v>
      </c>
      <c r="B558" t="s">
        <v>40</v>
      </c>
      <c r="C558" t="s">
        <v>581</v>
      </c>
      <c r="D558" t="s">
        <v>42</v>
      </c>
      <c r="E558" t="s">
        <v>43</v>
      </c>
      <c r="F558" t="s">
        <v>44</v>
      </c>
      <c r="G558" t="s">
        <v>45</v>
      </c>
      <c r="AH558" t="s">
        <v>42</v>
      </c>
      <c r="AI558" t="str">
        <f>"66298801651527"</f>
        <v>66298801651527</v>
      </c>
      <c r="AJ558" t="str">
        <f>"U27ESR-NJP"</f>
        <v>U27ESR-NJP</v>
      </c>
      <c r="AK558" t="s">
        <v>46</v>
      </c>
      <c r="AL558" s="1">
        <v>44816.546481481484</v>
      </c>
      <c r="AM558" t="s">
        <v>44</v>
      </c>
    </row>
    <row r="559" spans="1:39" x14ac:dyDescent="0.2">
      <c r="A559" t="s">
        <v>608</v>
      </c>
      <c r="B559" t="s">
        <v>40</v>
      </c>
      <c r="C559" t="s">
        <v>581</v>
      </c>
      <c r="D559" t="s">
        <v>42</v>
      </c>
      <c r="E559" t="s">
        <v>43</v>
      </c>
      <c r="F559" t="s">
        <v>44</v>
      </c>
      <c r="G559" t="s">
        <v>45</v>
      </c>
      <c r="AH559" t="s">
        <v>42</v>
      </c>
      <c r="AI559" t="str">
        <f>"66298801407141"</f>
        <v>66298801407141</v>
      </c>
      <c r="AJ559" t="str">
        <f>"U27FER-9JP"</f>
        <v>U27FER-9JP</v>
      </c>
      <c r="AK559" t="s">
        <v>46</v>
      </c>
      <c r="AL559" s="1">
        <v>44816.546458333331</v>
      </c>
      <c r="AM559" t="s">
        <v>44</v>
      </c>
    </row>
    <row r="560" spans="1:39" x14ac:dyDescent="0.2">
      <c r="A560" t="s">
        <v>609</v>
      </c>
      <c r="B560" t="s">
        <v>40</v>
      </c>
      <c r="C560" t="s">
        <v>581</v>
      </c>
      <c r="D560" t="s">
        <v>42</v>
      </c>
      <c r="E560" t="s">
        <v>43</v>
      </c>
      <c r="F560" t="s">
        <v>44</v>
      </c>
      <c r="G560" t="s">
        <v>45</v>
      </c>
      <c r="AH560" t="s">
        <v>42</v>
      </c>
      <c r="AI560" t="str">
        <f>"66298801696820"</f>
        <v>66298801696820</v>
      </c>
      <c r="AJ560" t="str">
        <f>"U31ETRJP"</f>
        <v>U31ETRJP</v>
      </c>
      <c r="AK560" t="s">
        <v>46</v>
      </c>
      <c r="AL560" s="1">
        <v>44816.546481481484</v>
      </c>
      <c r="AM560" t="s">
        <v>44</v>
      </c>
    </row>
    <row r="561" spans="1:39" x14ac:dyDescent="0.2">
      <c r="A561" t="s">
        <v>610</v>
      </c>
      <c r="B561" t="s">
        <v>40</v>
      </c>
      <c r="C561" t="s">
        <v>581</v>
      </c>
      <c r="D561" t="s">
        <v>42</v>
      </c>
      <c r="E561" t="s">
        <v>43</v>
      </c>
      <c r="F561" t="s">
        <v>44</v>
      </c>
      <c r="G561" t="s">
        <v>45</v>
      </c>
      <c r="AH561" t="s">
        <v>42</v>
      </c>
      <c r="AI561" t="str">
        <f>"W20M-UJP"</f>
        <v>W20M-UJP</v>
      </c>
      <c r="AJ561" t="str">
        <f>"W20M-UJP"</f>
        <v>W20M-UJP</v>
      </c>
      <c r="AK561" t="s">
        <v>46</v>
      </c>
      <c r="AL561" s="1">
        <v>45086.768182870372</v>
      </c>
      <c r="AM561" t="s">
        <v>44</v>
      </c>
    </row>
    <row r="562" spans="1:39" x14ac:dyDescent="0.2">
      <c r="A562" t="s">
        <v>611</v>
      </c>
      <c r="B562" t="s">
        <v>40</v>
      </c>
      <c r="C562" t="s">
        <v>581</v>
      </c>
      <c r="D562" t="s">
        <v>42</v>
      </c>
      <c r="E562" t="s">
        <v>43</v>
      </c>
      <c r="F562" t="s">
        <v>44</v>
      </c>
      <c r="G562" t="s">
        <v>45</v>
      </c>
      <c r="AH562" t="s">
        <v>42</v>
      </c>
      <c r="AI562" t="str">
        <f>"W24ESR-UJP"</f>
        <v>W24ESR-UJP</v>
      </c>
      <c r="AJ562" t="str">
        <f>"W24ESR-UJP"</f>
        <v>W24ESR-UJP</v>
      </c>
      <c r="AK562" t="s">
        <v>46</v>
      </c>
      <c r="AL562" s="1">
        <v>44936.893645833334</v>
      </c>
      <c r="AM562" t="s">
        <v>44</v>
      </c>
    </row>
    <row r="563" spans="1:39" x14ac:dyDescent="0.2">
      <c r="A563" t="s">
        <v>612</v>
      </c>
      <c r="B563" t="s">
        <v>40</v>
      </c>
      <c r="C563" t="s">
        <v>581</v>
      </c>
      <c r="D563" t="s">
        <v>42</v>
      </c>
      <c r="E563" t="s">
        <v>43</v>
      </c>
      <c r="F563" t="s">
        <v>44</v>
      </c>
      <c r="G563" t="s">
        <v>45</v>
      </c>
      <c r="AH563" t="s">
        <v>42</v>
      </c>
      <c r="AI563" t="str">
        <f>"W24ESR-VJP"</f>
        <v>W24ESR-VJP</v>
      </c>
      <c r="AJ563" t="str">
        <f>"W24ESR-VJP"</f>
        <v>W24ESR-VJP</v>
      </c>
      <c r="AK563" t="s">
        <v>46</v>
      </c>
      <c r="AL563" s="1">
        <v>45086.769004629627</v>
      </c>
      <c r="AM563" t="s">
        <v>44</v>
      </c>
    </row>
    <row r="564" spans="1:39" x14ac:dyDescent="0.2">
      <c r="A564" t="s">
        <v>613</v>
      </c>
      <c r="B564" t="s">
        <v>40</v>
      </c>
      <c r="C564" t="s">
        <v>581</v>
      </c>
      <c r="D564" t="s">
        <v>42</v>
      </c>
      <c r="E564" t="s">
        <v>43</v>
      </c>
      <c r="F564" t="s">
        <v>44</v>
      </c>
      <c r="G564" t="s">
        <v>45</v>
      </c>
      <c r="AH564" t="s">
        <v>42</v>
      </c>
      <c r="AI564" t="str">
        <f>"W24FS-UJP"</f>
        <v>W24FS-UJP</v>
      </c>
      <c r="AJ564" t="str">
        <f>"W24FS-UJP"</f>
        <v>W24FS-UJP</v>
      </c>
      <c r="AK564" t="s">
        <v>46</v>
      </c>
      <c r="AL564" s="1">
        <v>44936.831342592595</v>
      </c>
      <c r="AM564" t="s">
        <v>44</v>
      </c>
    </row>
    <row r="565" spans="1:39" x14ac:dyDescent="0.2">
      <c r="A565" t="s">
        <v>614</v>
      </c>
      <c r="B565" t="s">
        <v>40</v>
      </c>
      <c r="C565" t="s">
        <v>581</v>
      </c>
      <c r="D565" t="s">
        <v>42</v>
      </c>
      <c r="E565" t="s">
        <v>43</v>
      </c>
      <c r="F565" t="s">
        <v>44</v>
      </c>
      <c r="G565" t="s">
        <v>45</v>
      </c>
      <c r="AH565" t="s">
        <v>42</v>
      </c>
      <c r="AI565" t="str">
        <f>"X24EP-U9JP"</f>
        <v>X24EP-U9JP</v>
      </c>
      <c r="AJ565" t="str">
        <f>"X24EP-U9JP"</f>
        <v>X24EP-U9JP</v>
      </c>
      <c r="AK565" t="s">
        <v>46</v>
      </c>
      <c r="AL565" s="1">
        <v>44816.546493055554</v>
      </c>
      <c r="AM565" t="s">
        <v>44</v>
      </c>
    </row>
    <row r="566" spans="1:39" x14ac:dyDescent="0.2">
      <c r="A566" t="s">
        <v>615</v>
      </c>
      <c r="B566" t="s">
        <v>40</v>
      </c>
      <c r="C566" t="s">
        <v>581</v>
      </c>
      <c r="D566" t="s">
        <v>42</v>
      </c>
      <c r="E566" t="s">
        <v>43</v>
      </c>
      <c r="F566" t="s">
        <v>44</v>
      </c>
      <c r="G566" t="s">
        <v>45</v>
      </c>
      <c r="AH566" t="s">
        <v>42</v>
      </c>
      <c r="AI566" t="str">
        <f>"66298801737741"</f>
        <v>66298801737741</v>
      </c>
      <c r="AJ566" t="str">
        <f>"X24EPR-U9JP"</f>
        <v>X24EPR-U9JP</v>
      </c>
      <c r="AK566" t="s">
        <v>46</v>
      </c>
      <c r="AL566" s="1">
        <v>44816.546493055554</v>
      </c>
      <c r="AM566" t="s">
        <v>44</v>
      </c>
    </row>
    <row r="567" spans="1:39" x14ac:dyDescent="0.2">
      <c r="A567" t="s">
        <v>616</v>
      </c>
      <c r="B567" t="s">
        <v>40</v>
      </c>
      <c r="C567" t="s">
        <v>581</v>
      </c>
      <c r="D567" t="s">
        <v>42</v>
      </c>
      <c r="E567" t="s">
        <v>43</v>
      </c>
      <c r="F567" t="s">
        <v>44</v>
      </c>
      <c r="G567" t="s">
        <v>45</v>
      </c>
      <c r="AH567" t="s">
        <v>42</v>
      </c>
      <c r="AI567" t="str">
        <f>"66298801824468"</f>
        <v>66298801824468</v>
      </c>
      <c r="AJ567" t="str">
        <f>"XU24EPR-UJP"</f>
        <v>XU24EPR-UJP</v>
      </c>
      <c r="AK567" t="s">
        <v>46</v>
      </c>
      <c r="AL567" s="1">
        <v>44816.54650462963</v>
      </c>
      <c r="AM567" t="s">
        <v>44</v>
      </c>
    </row>
    <row r="568" spans="1:39" x14ac:dyDescent="0.2">
      <c r="A568" t="s">
        <v>617</v>
      </c>
      <c r="B568" t="s">
        <v>40</v>
      </c>
      <c r="C568" t="s">
        <v>581</v>
      </c>
      <c r="D568" t="s">
        <v>42</v>
      </c>
      <c r="E568" t="s">
        <v>43</v>
      </c>
      <c r="F568" t="s">
        <v>44</v>
      </c>
      <c r="G568" t="s">
        <v>45</v>
      </c>
      <c r="AH568" t="s">
        <v>42</v>
      </c>
      <c r="AI568" t="str">
        <f>"66298801864920"</f>
        <v>66298801864920</v>
      </c>
      <c r="AJ568" t="str">
        <f>"CR9E-EK"</f>
        <v>CR9E-EK</v>
      </c>
      <c r="AK568" t="s">
        <v>46</v>
      </c>
      <c r="AL568" s="1">
        <v>44816.54650462963</v>
      </c>
      <c r="AM568" t="s">
        <v>44</v>
      </c>
    </row>
    <row r="569" spans="1:39" x14ac:dyDescent="0.2">
      <c r="A569" t="s">
        <v>618</v>
      </c>
      <c r="B569" t="s">
        <v>40</v>
      </c>
      <c r="C569" t="s">
        <v>581</v>
      </c>
      <c r="D569" t="s">
        <v>42</v>
      </c>
      <c r="E569" t="s">
        <v>43</v>
      </c>
      <c r="F569" t="s">
        <v>44</v>
      </c>
      <c r="G569" t="s">
        <v>45</v>
      </c>
      <c r="AH569" t="s">
        <v>42</v>
      </c>
      <c r="AI569" t="str">
        <f>"66298801905107"</f>
        <v>66298801905107</v>
      </c>
      <c r="AJ569" t="str">
        <f>"CR7EI-EK"</f>
        <v>CR7EI-EK</v>
      </c>
      <c r="AK569" t="s">
        <v>46</v>
      </c>
      <c r="AL569" s="1">
        <v>44816.546516203707</v>
      </c>
      <c r="AM569" t="s">
        <v>44</v>
      </c>
    </row>
    <row r="570" spans="1:39" x14ac:dyDescent="0.2">
      <c r="A570" t="s">
        <v>619</v>
      </c>
      <c r="B570" t="s">
        <v>40</v>
      </c>
      <c r="C570" t="s">
        <v>581</v>
      </c>
      <c r="D570" t="s">
        <v>42</v>
      </c>
      <c r="E570" t="s">
        <v>43</v>
      </c>
      <c r="F570" t="s">
        <v>44</v>
      </c>
      <c r="G570" t="s">
        <v>45</v>
      </c>
      <c r="AH570" t="s">
        <v>42</v>
      </c>
      <c r="AI570" t="str">
        <f>"66298801945839"</f>
        <v>66298801945839</v>
      </c>
      <c r="AJ570" t="str">
        <f>"IUF22-EK"</f>
        <v>IUF22-EK</v>
      </c>
      <c r="AK570" t="s">
        <v>46</v>
      </c>
      <c r="AL570" s="1">
        <v>44816.546516203707</v>
      </c>
      <c r="AM570" t="s">
        <v>44</v>
      </c>
    </row>
    <row r="571" spans="1:39" x14ac:dyDescent="0.2">
      <c r="A571" t="s">
        <v>620</v>
      </c>
      <c r="B571" t="s">
        <v>40</v>
      </c>
      <c r="C571" t="s">
        <v>581</v>
      </c>
      <c r="D571" t="s">
        <v>42</v>
      </c>
      <c r="E571" t="s">
        <v>43</v>
      </c>
      <c r="F571" t="s">
        <v>44</v>
      </c>
      <c r="G571" t="s">
        <v>45</v>
      </c>
      <c r="AH571" t="s">
        <v>42</v>
      </c>
      <c r="AI571" t="str">
        <f>"66298801987355"</f>
        <v>66298801987355</v>
      </c>
      <c r="AJ571" t="str">
        <f>"B7HS-EK"</f>
        <v>B7HS-EK</v>
      </c>
      <c r="AK571" t="s">
        <v>46</v>
      </c>
      <c r="AL571" s="1">
        <v>44816.546516203707</v>
      </c>
      <c r="AM571" t="s">
        <v>44</v>
      </c>
    </row>
    <row r="572" spans="1:39" x14ac:dyDescent="0.2">
      <c r="A572" t="s">
        <v>621</v>
      </c>
      <c r="B572" t="s">
        <v>40</v>
      </c>
      <c r="C572" t="s">
        <v>581</v>
      </c>
      <c r="D572" t="s">
        <v>42</v>
      </c>
      <c r="E572" t="s">
        <v>43</v>
      </c>
      <c r="F572" t="s">
        <v>44</v>
      </c>
      <c r="G572" t="s">
        <v>45</v>
      </c>
      <c r="AH572" t="s">
        <v>42</v>
      </c>
      <c r="AI572" t="str">
        <f>"66298802033748"</f>
        <v>66298802033748</v>
      </c>
      <c r="AJ572" t="str">
        <f>"A7TC-EK"</f>
        <v>A7TC-EK</v>
      </c>
      <c r="AK572" t="s">
        <v>46</v>
      </c>
      <c r="AL572" s="1">
        <v>44816.546527777777</v>
      </c>
      <c r="AM572" t="s">
        <v>44</v>
      </c>
    </row>
    <row r="573" spans="1:39" x14ac:dyDescent="0.2">
      <c r="A573" t="s">
        <v>622</v>
      </c>
      <c r="B573" t="s">
        <v>40</v>
      </c>
      <c r="C573" t="s">
        <v>581</v>
      </c>
      <c r="D573" t="s">
        <v>42</v>
      </c>
      <c r="E573" t="s">
        <v>43</v>
      </c>
      <c r="F573" t="s">
        <v>44</v>
      </c>
      <c r="G573" t="s">
        <v>45</v>
      </c>
      <c r="AH573" t="s">
        <v>42</v>
      </c>
      <c r="AI573" t="str">
        <f>"66298802074846"</f>
        <v>66298802074846</v>
      </c>
      <c r="AJ573" t="str">
        <f>"CR7HSCN"</f>
        <v>CR7HSCN</v>
      </c>
      <c r="AK573" t="s">
        <v>46</v>
      </c>
      <c r="AL573" s="1">
        <v>44816.546527777777</v>
      </c>
      <c r="AM573" t="s">
        <v>44</v>
      </c>
    </row>
    <row r="574" spans="1:39" x14ac:dyDescent="0.2">
      <c r="A574" t="s">
        <v>623</v>
      </c>
      <c r="B574" t="s">
        <v>40</v>
      </c>
      <c r="C574" t="s">
        <v>581</v>
      </c>
      <c r="D574" t="s">
        <v>42</v>
      </c>
      <c r="E574" t="s">
        <v>43</v>
      </c>
      <c r="F574" t="s">
        <v>44</v>
      </c>
      <c r="G574" t="s">
        <v>45</v>
      </c>
      <c r="AH574" t="s">
        <v>42</v>
      </c>
      <c r="AI574" t="str">
        <f>"66298802120728"</f>
        <v>66298802120728</v>
      </c>
      <c r="AJ574" t="str">
        <f>"DPR8EA-9CN"</f>
        <v>DPR8EA-9CN</v>
      </c>
      <c r="AK574" t="s">
        <v>46</v>
      </c>
      <c r="AL574" s="1">
        <v>44816.546539351853</v>
      </c>
      <c r="AM574" t="s">
        <v>44</v>
      </c>
    </row>
    <row r="575" spans="1:39" x14ac:dyDescent="0.2">
      <c r="A575" t="s">
        <v>624</v>
      </c>
      <c r="B575" t="s">
        <v>40</v>
      </c>
      <c r="C575" t="s">
        <v>581</v>
      </c>
      <c r="D575" t="s">
        <v>42</v>
      </c>
      <c r="E575" t="s">
        <v>43</v>
      </c>
      <c r="F575" t="s">
        <v>44</v>
      </c>
      <c r="G575" t="s">
        <v>45</v>
      </c>
      <c r="AH575" t="s">
        <v>42</v>
      </c>
      <c r="AI575" t="str">
        <f>"66298802172961"</f>
        <v>66298802172961</v>
      </c>
      <c r="AJ575" t="str">
        <f>"IWF16-JP"</f>
        <v>IWF16-JP</v>
      </c>
      <c r="AK575" t="s">
        <v>46</v>
      </c>
      <c r="AL575" s="1">
        <v>44816.546539351853</v>
      </c>
      <c r="AM575" t="s">
        <v>44</v>
      </c>
    </row>
    <row r="576" spans="1:39" x14ac:dyDescent="0.2">
      <c r="A576" t="s">
        <v>625</v>
      </c>
      <c r="B576" t="s">
        <v>40</v>
      </c>
      <c r="C576" t="s">
        <v>581</v>
      </c>
      <c r="D576" t="s">
        <v>42</v>
      </c>
      <c r="E576" t="s">
        <v>43</v>
      </c>
      <c r="F576" t="s">
        <v>44</v>
      </c>
      <c r="G576" t="s">
        <v>45</v>
      </c>
      <c r="AH576" t="s">
        <v>42</v>
      </c>
      <c r="AI576" t="str">
        <f>"66298802217472"</f>
        <v>66298802217472</v>
      </c>
      <c r="AJ576" t="str">
        <f>"BPR8EIXJP"</f>
        <v>BPR8EIXJP</v>
      </c>
      <c r="AK576" t="s">
        <v>46</v>
      </c>
      <c r="AL576" s="1">
        <v>44816.546550925923</v>
      </c>
      <c r="AM576" t="s">
        <v>44</v>
      </c>
    </row>
    <row r="577" spans="1:39" x14ac:dyDescent="0.2">
      <c r="A577" t="s">
        <v>626</v>
      </c>
      <c r="B577" t="s">
        <v>40</v>
      </c>
      <c r="C577" t="s">
        <v>581</v>
      </c>
      <c r="D577" t="s">
        <v>42</v>
      </c>
      <c r="E577" t="s">
        <v>43</v>
      </c>
      <c r="F577" t="s">
        <v>44</v>
      </c>
      <c r="G577" t="s">
        <v>45</v>
      </c>
      <c r="AH577" t="s">
        <v>42</v>
      </c>
      <c r="AI577" t="str">
        <f>"66298802262478"</f>
        <v>66298802262478</v>
      </c>
      <c r="AJ577" t="str">
        <f>"BR10EIX"</f>
        <v>BR10EIX</v>
      </c>
      <c r="AK577" t="s">
        <v>46</v>
      </c>
      <c r="AL577" s="1">
        <v>44816.546550925923</v>
      </c>
      <c r="AM577" t="s">
        <v>44</v>
      </c>
    </row>
    <row r="578" spans="1:39" x14ac:dyDescent="0.2">
      <c r="A578" t="s">
        <v>627</v>
      </c>
      <c r="B578" t="s">
        <v>40</v>
      </c>
      <c r="C578" t="s">
        <v>581</v>
      </c>
      <c r="D578" t="s">
        <v>42</v>
      </c>
      <c r="E578" t="s">
        <v>43</v>
      </c>
      <c r="F578" t="s">
        <v>44</v>
      </c>
      <c r="G578" t="s">
        <v>45</v>
      </c>
      <c r="AH578" t="s">
        <v>42</v>
      </c>
      <c r="AI578" t="str">
        <f>"IFR6G-11K"</f>
        <v>IFR6G-11K</v>
      </c>
      <c r="AJ578" t="str">
        <f>"IFR6G-11K"</f>
        <v>IFR6G-11K</v>
      </c>
      <c r="AK578" t="s">
        <v>46</v>
      </c>
      <c r="AL578" s="1">
        <v>45065.666655092595</v>
      </c>
      <c r="AM578" t="s">
        <v>44</v>
      </c>
    </row>
    <row r="579" spans="1:39" x14ac:dyDescent="0.2">
      <c r="A579" t="s">
        <v>628</v>
      </c>
      <c r="B579" t="s">
        <v>40</v>
      </c>
      <c r="C579" t="s">
        <v>581</v>
      </c>
      <c r="D579" t="s">
        <v>42</v>
      </c>
      <c r="E579" t="s">
        <v>43</v>
      </c>
      <c r="F579" t="s">
        <v>44</v>
      </c>
      <c r="G579" t="s">
        <v>45</v>
      </c>
      <c r="AH579" t="s">
        <v>42</v>
      </c>
      <c r="AI579" t="str">
        <f>"66298802311964"</f>
        <v>66298802311964</v>
      </c>
      <c r="AJ579" t="str">
        <f>"IJR8B-9JP"</f>
        <v>IJR8B-9JP</v>
      </c>
      <c r="AK579" t="s">
        <v>46</v>
      </c>
      <c r="AL579" s="1">
        <v>44816.5465625</v>
      </c>
      <c r="AM579" t="s">
        <v>44</v>
      </c>
    </row>
    <row r="580" spans="1:39" x14ac:dyDescent="0.2">
      <c r="A580" t="s">
        <v>629</v>
      </c>
      <c r="B580" t="s">
        <v>40</v>
      </c>
      <c r="C580" t="s">
        <v>581</v>
      </c>
      <c r="D580" t="s">
        <v>42</v>
      </c>
      <c r="E580" t="s">
        <v>43</v>
      </c>
      <c r="F580" t="s">
        <v>44</v>
      </c>
      <c r="G580" t="s">
        <v>45</v>
      </c>
      <c r="AH580" t="s">
        <v>42</v>
      </c>
      <c r="AI580" t="str">
        <f>"B8ESJP"</f>
        <v>B8ESJP</v>
      </c>
      <c r="AJ580" t="str">
        <f>"B8ESJP"</f>
        <v>B8ESJP</v>
      </c>
      <c r="AK580" t="s">
        <v>46</v>
      </c>
      <c r="AL580" s="1">
        <v>45086.771284722221</v>
      </c>
      <c r="AM580" t="s">
        <v>44</v>
      </c>
    </row>
    <row r="581" spans="1:39" x14ac:dyDescent="0.2">
      <c r="A581" t="s">
        <v>630</v>
      </c>
      <c r="B581" t="s">
        <v>40</v>
      </c>
      <c r="C581" t="s">
        <v>581</v>
      </c>
      <c r="D581" t="s">
        <v>42</v>
      </c>
      <c r="E581" t="s">
        <v>43</v>
      </c>
      <c r="F581" t="s">
        <v>44</v>
      </c>
      <c r="G581" t="s">
        <v>45</v>
      </c>
      <c r="AH581" t="s">
        <v>42</v>
      </c>
      <c r="AI581" t="str">
        <f>"66298802354731"</f>
        <v>66298802354731</v>
      </c>
      <c r="AJ581" t="str">
        <f>"BPR6ESJP"</f>
        <v>BPR6ESJP</v>
      </c>
      <c r="AK581" t="s">
        <v>46</v>
      </c>
      <c r="AL581" s="1">
        <v>44816.5465625</v>
      </c>
      <c r="AM581" t="s">
        <v>44</v>
      </c>
    </row>
    <row r="582" spans="1:39" x14ac:dyDescent="0.2">
      <c r="A582" t="s">
        <v>631</v>
      </c>
      <c r="B582" t="s">
        <v>40</v>
      </c>
      <c r="C582" t="s">
        <v>581</v>
      </c>
      <c r="D582" t="s">
        <v>42</v>
      </c>
      <c r="E582" t="s">
        <v>43</v>
      </c>
      <c r="F582" t="s">
        <v>44</v>
      </c>
      <c r="G582" t="s">
        <v>45</v>
      </c>
      <c r="AH582" t="s">
        <v>42</v>
      </c>
      <c r="AI582" t="str">
        <f>"66298802399039"</f>
        <v>66298802399039</v>
      </c>
      <c r="AJ582" t="str">
        <f>"BPR6ES-11BR"</f>
        <v>BPR6ES-11BR</v>
      </c>
      <c r="AK582" t="s">
        <v>46</v>
      </c>
      <c r="AL582" s="1">
        <v>44816.5465625</v>
      </c>
      <c r="AM582" t="s">
        <v>44</v>
      </c>
    </row>
    <row r="583" spans="1:39" x14ac:dyDescent="0.2">
      <c r="A583" t="s">
        <v>632</v>
      </c>
      <c r="B583" t="s">
        <v>40</v>
      </c>
      <c r="C583" t="s">
        <v>581</v>
      </c>
      <c r="D583" t="s">
        <v>42</v>
      </c>
      <c r="E583" t="s">
        <v>43</v>
      </c>
      <c r="F583" t="s">
        <v>44</v>
      </c>
      <c r="G583" t="s">
        <v>45</v>
      </c>
      <c r="AH583" t="s">
        <v>42</v>
      </c>
      <c r="AI583" t="str">
        <f>"C7HSBR"</f>
        <v>C7HSBR</v>
      </c>
      <c r="AJ583" t="str">
        <f>"C7HSBR"</f>
        <v>C7HSBR</v>
      </c>
      <c r="AK583" t="s">
        <v>46</v>
      </c>
      <c r="AL583" s="1">
        <v>44921.712233796294</v>
      </c>
      <c r="AM583" t="s">
        <v>44</v>
      </c>
    </row>
    <row r="584" spans="1:39" x14ac:dyDescent="0.2">
      <c r="A584" t="s">
        <v>633</v>
      </c>
      <c r="B584" t="s">
        <v>40</v>
      </c>
      <c r="C584" t="s">
        <v>581</v>
      </c>
      <c r="D584" t="s">
        <v>42</v>
      </c>
      <c r="E584" t="s">
        <v>43</v>
      </c>
      <c r="F584" t="s">
        <v>44</v>
      </c>
      <c r="G584" t="s">
        <v>45</v>
      </c>
      <c r="AH584" t="s">
        <v>42</v>
      </c>
      <c r="AI584" t="str">
        <f>"C7HSA-BR"</f>
        <v>C7HSA-BR</v>
      </c>
      <c r="AJ584" t="str">
        <f>"C7HSA-BR"</f>
        <v>C7HSA-BR</v>
      </c>
      <c r="AK584" t="s">
        <v>46</v>
      </c>
      <c r="AL584" s="1">
        <v>45093.944421296299</v>
      </c>
      <c r="AM584" t="s">
        <v>44</v>
      </c>
    </row>
    <row r="585" spans="1:39" x14ac:dyDescent="0.2">
      <c r="A585" t="s">
        <v>634</v>
      </c>
      <c r="B585" t="s">
        <v>40</v>
      </c>
      <c r="C585" t="s">
        <v>581</v>
      </c>
      <c r="D585" t="s">
        <v>42</v>
      </c>
      <c r="E585" t="s">
        <v>43</v>
      </c>
      <c r="F585" t="s">
        <v>44</v>
      </c>
      <c r="G585" t="s">
        <v>45</v>
      </c>
      <c r="AH585" t="s">
        <v>42</v>
      </c>
      <c r="AI585" t="str">
        <f>"CR6HS"</f>
        <v>CR6HS</v>
      </c>
      <c r="AJ585" t="str">
        <f>"CR6HS"</f>
        <v>CR6HS</v>
      </c>
      <c r="AK585" t="s">
        <v>46</v>
      </c>
      <c r="AL585" s="1">
        <v>45068.827789351853</v>
      </c>
      <c r="AM585" t="s">
        <v>44</v>
      </c>
    </row>
    <row r="586" spans="1:39" x14ac:dyDescent="0.2">
      <c r="A586" t="s">
        <v>635</v>
      </c>
      <c r="B586" t="s">
        <v>40</v>
      </c>
      <c r="C586" t="s">
        <v>581</v>
      </c>
      <c r="D586" t="s">
        <v>42</v>
      </c>
      <c r="E586" t="s">
        <v>43</v>
      </c>
      <c r="F586" t="s">
        <v>44</v>
      </c>
      <c r="G586" t="s">
        <v>45</v>
      </c>
      <c r="AH586" t="s">
        <v>42</v>
      </c>
      <c r="AI586" t="str">
        <f>"66298802441205"</f>
        <v>66298802441205</v>
      </c>
      <c r="AJ586" t="str">
        <f>"CR7EH-9JP"</f>
        <v>CR7EH-9JP</v>
      </c>
      <c r="AK586" t="s">
        <v>46</v>
      </c>
      <c r="AL586" s="1">
        <v>44816.546574074076</v>
      </c>
      <c r="AM586" t="s">
        <v>44</v>
      </c>
    </row>
    <row r="587" spans="1:39" x14ac:dyDescent="0.2">
      <c r="A587" t="s">
        <v>636</v>
      </c>
      <c r="B587" t="s">
        <v>40</v>
      </c>
      <c r="C587" t="s">
        <v>581</v>
      </c>
      <c r="D587" t="s">
        <v>42</v>
      </c>
      <c r="E587" t="s">
        <v>43</v>
      </c>
      <c r="F587" t="s">
        <v>44</v>
      </c>
      <c r="G587" t="s">
        <v>45</v>
      </c>
      <c r="AH587" t="s">
        <v>42</v>
      </c>
      <c r="AI587" t="str">
        <f>"CR8EJP"</f>
        <v>CR8EJP</v>
      </c>
      <c r="AJ587" t="str">
        <f>"CR8EJP"</f>
        <v>CR8EJP</v>
      </c>
      <c r="AK587" t="s">
        <v>46</v>
      </c>
      <c r="AL587" s="1">
        <v>45086.773796296293</v>
      </c>
      <c r="AM587" t="s">
        <v>44</v>
      </c>
    </row>
    <row r="588" spans="1:39" x14ac:dyDescent="0.2">
      <c r="A588" t="s">
        <v>637</v>
      </c>
      <c r="B588" t="s">
        <v>40</v>
      </c>
      <c r="C588" t="s">
        <v>581</v>
      </c>
      <c r="D588" t="s">
        <v>42</v>
      </c>
      <c r="E588" t="s">
        <v>43</v>
      </c>
      <c r="F588" t="s">
        <v>44</v>
      </c>
      <c r="G588" t="s">
        <v>45</v>
      </c>
      <c r="AH588" t="s">
        <v>42</v>
      </c>
      <c r="AI588" t="str">
        <f>"CR9EJP"</f>
        <v>CR9EJP</v>
      </c>
      <c r="AJ588" t="str">
        <f>"CR9EJP"</f>
        <v>CR9EJP</v>
      </c>
      <c r="AK588" t="s">
        <v>46</v>
      </c>
      <c r="AL588" s="1">
        <v>45086.776921296296</v>
      </c>
      <c r="AM588" t="s">
        <v>44</v>
      </c>
    </row>
    <row r="589" spans="1:39" x14ac:dyDescent="0.2">
      <c r="A589" t="s">
        <v>638</v>
      </c>
      <c r="B589" t="s">
        <v>40</v>
      </c>
      <c r="C589" t="s">
        <v>581</v>
      </c>
      <c r="D589" t="s">
        <v>42</v>
      </c>
      <c r="E589" t="s">
        <v>43</v>
      </c>
      <c r="F589" t="s">
        <v>44</v>
      </c>
      <c r="G589" t="s">
        <v>45</v>
      </c>
      <c r="AH589" t="s">
        <v>42</v>
      </c>
      <c r="AI589" t="str">
        <f>"D8EAJP"</f>
        <v>D8EAJP</v>
      </c>
      <c r="AJ589" t="str">
        <f>"D8EAJP"</f>
        <v>D8EAJP</v>
      </c>
      <c r="AK589" t="s">
        <v>46</v>
      </c>
      <c r="AL589" s="1">
        <v>45086.777743055558</v>
      </c>
      <c r="AM589" t="s">
        <v>44</v>
      </c>
    </row>
    <row r="590" spans="1:39" x14ac:dyDescent="0.2">
      <c r="A590" t="s">
        <v>639</v>
      </c>
      <c r="B590" t="s">
        <v>40</v>
      </c>
      <c r="C590" t="s">
        <v>581</v>
      </c>
      <c r="D590" t="s">
        <v>42</v>
      </c>
      <c r="E590" t="s">
        <v>43</v>
      </c>
      <c r="F590" t="s">
        <v>44</v>
      </c>
      <c r="G590" t="s">
        <v>45</v>
      </c>
      <c r="AH590" t="s">
        <v>42</v>
      </c>
      <c r="AI590" t="str">
        <f>"66298802485220"</f>
        <v>66298802485220</v>
      </c>
      <c r="AJ590" t="str">
        <f>"DPR8EA-9BR"</f>
        <v>DPR8EA-9BR</v>
      </c>
      <c r="AK590" t="s">
        <v>46</v>
      </c>
      <c r="AL590" s="1">
        <v>44816.546574074076</v>
      </c>
      <c r="AM590" t="s">
        <v>44</v>
      </c>
    </row>
    <row r="591" spans="1:39" x14ac:dyDescent="0.2">
      <c r="A591" t="s">
        <v>640</v>
      </c>
      <c r="B591" t="s">
        <v>40</v>
      </c>
      <c r="C591" t="s">
        <v>581</v>
      </c>
      <c r="D591" t="s">
        <v>42</v>
      </c>
      <c r="E591" t="s">
        <v>43</v>
      </c>
      <c r="F591" t="s">
        <v>44</v>
      </c>
      <c r="G591" t="s">
        <v>45</v>
      </c>
      <c r="AH591" t="s">
        <v>42</v>
      </c>
      <c r="AI591" t="str">
        <f>"LKAR8A-9"</f>
        <v>LKAR8A-9</v>
      </c>
      <c r="AJ591" t="str">
        <f>"LKAR8A-9"</f>
        <v>LKAR8A-9</v>
      </c>
      <c r="AK591" t="s">
        <v>46</v>
      </c>
      <c r="AL591" s="1">
        <v>44888.612916666665</v>
      </c>
      <c r="AM591" t="s">
        <v>44</v>
      </c>
    </row>
    <row r="592" spans="1:39" x14ac:dyDescent="0.2">
      <c r="A592" t="s">
        <v>641</v>
      </c>
      <c r="B592" t="s">
        <v>40</v>
      </c>
      <c r="C592" t="s">
        <v>581</v>
      </c>
      <c r="D592" t="s">
        <v>42</v>
      </c>
      <c r="E592" t="s">
        <v>43</v>
      </c>
      <c r="F592" t="s">
        <v>44</v>
      </c>
      <c r="G592" t="s">
        <v>45</v>
      </c>
      <c r="AH592" t="s">
        <v>42</v>
      </c>
      <c r="AI592" t="str">
        <f>"66298802530482"</f>
        <v>66298802530482</v>
      </c>
      <c r="AJ592" t="str">
        <f>"CPR8EA-9EIX-VN"</f>
        <v>CPR8EA-9EIX-VN</v>
      </c>
      <c r="AK592" t="s">
        <v>46</v>
      </c>
      <c r="AL592" s="1">
        <v>44816.546585648146</v>
      </c>
      <c r="AM592" t="s">
        <v>44</v>
      </c>
    </row>
    <row r="593" spans="1:39" x14ac:dyDescent="0.2">
      <c r="A593" t="s">
        <v>642</v>
      </c>
      <c r="B593" t="s">
        <v>40</v>
      </c>
      <c r="C593" t="s">
        <v>581</v>
      </c>
      <c r="D593" t="s">
        <v>42</v>
      </c>
      <c r="E593" t="s">
        <v>43</v>
      </c>
      <c r="F593" t="s">
        <v>44</v>
      </c>
      <c r="G593" t="s">
        <v>45</v>
      </c>
      <c r="AH593" t="s">
        <v>42</v>
      </c>
      <c r="AI593" t="str">
        <f>"66298802573508"</f>
        <v>66298802573508</v>
      </c>
      <c r="AJ593" t="str">
        <f>"CR8EH-9EIX-VN"</f>
        <v>CR8EH-9EIX-VN</v>
      </c>
      <c r="AK593" t="s">
        <v>46</v>
      </c>
      <c r="AL593" s="1">
        <v>44816.546585648146</v>
      </c>
      <c r="AM593" t="s">
        <v>44</v>
      </c>
    </row>
    <row r="594" spans="1:39" x14ac:dyDescent="0.2">
      <c r="A594" t="s">
        <v>643</v>
      </c>
      <c r="B594" t="s">
        <v>40</v>
      </c>
      <c r="C594" t="s">
        <v>581</v>
      </c>
      <c r="D594" t="s">
        <v>42</v>
      </c>
      <c r="E594" t="s">
        <v>43</v>
      </c>
      <c r="F594" t="s">
        <v>44</v>
      </c>
      <c r="G594" t="s">
        <v>45</v>
      </c>
      <c r="AH594" t="s">
        <v>42</v>
      </c>
      <c r="AI594" t="str">
        <f>"66298802617007"</f>
        <v>66298802617007</v>
      </c>
      <c r="AJ594" t="str">
        <f>"DPR8EA-9EIX-VN"</f>
        <v>DPR8EA-9EIX-VN</v>
      </c>
      <c r="AK594" t="s">
        <v>46</v>
      </c>
      <c r="AL594" s="1">
        <v>44816.546597222223</v>
      </c>
      <c r="AM594" t="s">
        <v>44</v>
      </c>
    </row>
    <row r="595" spans="1:39" x14ac:dyDescent="0.2">
      <c r="A595" t="s">
        <v>644</v>
      </c>
      <c r="B595" t="s">
        <v>40</v>
      </c>
      <c r="C595" t="s">
        <v>581</v>
      </c>
      <c r="D595" t="s">
        <v>42</v>
      </c>
      <c r="E595" t="s">
        <v>43</v>
      </c>
      <c r="F595" t="s">
        <v>44</v>
      </c>
      <c r="G595" t="s">
        <v>45</v>
      </c>
      <c r="AH595" t="s">
        <v>42</v>
      </c>
      <c r="AI595" t="str">
        <f>"66298802661000"</f>
        <v>66298802661000</v>
      </c>
      <c r="AJ595" t="str">
        <f>"C7HSVN"</f>
        <v>C7HSVN</v>
      </c>
      <c r="AK595" t="s">
        <v>46</v>
      </c>
      <c r="AL595" s="1">
        <v>44816.546597222223</v>
      </c>
      <c r="AM595" t="s">
        <v>44</v>
      </c>
    </row>
    <row r="596" spans="1:39" x14ac:dyDescent="0.2">
      <c r="A596" t="s">
        <v>645</v>
      </c>
      <c r="B596" t="s">
        <v>40</v>
      </c>
      <c r="C596" t="s">
        <v>581</v>
      </c>
      <c r="D596" t="s">
        <v>42</v>
      </c>
      <c r="E596" t="s">
        <v>43</v>
      </c>
      <c r="F596" t="s">
        <v>44</v>
      </c>
      <c r="G596" t="s">
        <v>45</v>
      </c>
      <c r="AH596" t="s">
        <v>42</v>
      </c>
      <c r="AI596" t="str">
        <f>"66298802707892"</f>
        <v>66298802707892</v>
      </c>
      <c r="AJ596" t="str">
        <f>"CR8EVN"</f>
        <v>CR8EVN</v>
      </c>
      <c r="AK596" t="s">
        <v>46</v>
      </c>
      <c r="AL596" s="1">
        <v>44816.5466087963</v>
      </c>
      <c r="AM596" t="s">
        <v>44</v>
      </c>
    </row>
    <row r="597" spans="1:39" x14ac:dyDescent="0.2">
      <c r="A597" t="s">
        <v>646</v>
      </c>
      <c r="B597" t="s">
        <v>40</v>
      </c>
      <c r="C597" t="s">
        <v>581</v>
      </c>
      <c r="D597" t="s">
        <v>42</v>
      </c>
      <c r="E597" t="s">
        <v>43</v>
      </c>
      <c r="F597" t="s">
        <v>44</v>
      </c>
      <c r="G597" t="s">
        <v>45</v>
      </c>
      <c r="AH597" t="s">
        <v>42</v>
      </c>
      <c r="AI597" t="str">
        <f>"66298802748152"</f>
        <v>66298802748152</v>
      </c>
      <c r="AJ597" t="str">
        <f>"D8EAVN"</f>
        <v>D8EAVN</v>
      </c>
      <c r="AK597" t="s">
        <v>46</v>
      </c>
      <c r="AL597" s="1">
        <v>44816.5466087963</v>
      </c>
      <c r="AM597" t="s">
        <v>44</v>
      </c>
    </row>
    <row r="598" spans="1:39" x14ac:dyDescent="0.2">
      <c r="A598" t="s">
        <v>647</v>
      </c>
      <c r="B598" t="s">
        <v>40</v>
      </c>
      <c r="C598" t="s">
        <v>648</v>
      </c>
      <c r="D598" t="s">
        <v>42</v>
      </c>
      <c r="E598" t="s">
        <v>43</v>
      </c>
      <c r="F598" t="s">
        <v>44</v>
      </c>
      <c r="G598" t="s">
        <v>45</v>
      </c>
      <c r="AH598" t="s">
        <v>42</v>
      </c>
      <c r="AI598" t="str">
        <f>"66298802786849"</f>
        <v>66298802786849</v>
      </c>
      <c r="AJ598" t="str">
        <f>"DM-B-00004"</f>
        <v>DM-B-00004</v>
      </c>
      <c r="AK598" t="s">
        <v>46</v>
      </c>
      <c r="AL598" s="1">
        <v>44816.5466087963</v>
      </c>
      <c r="AM598" t="s">
        <v>44</v>
      </c>
    </row>
    <row r="599" spans="1:39" x14ac:dyDescent="0.2">
      <c r="A599" t="s">
        <v>649</v>
      </c>
      <c r="B599" t="s">
        <v>40</v>
      </c>
      <c r="C599" t="s">
        <v>650</v>
      </c>
      <c r="D599" t="s">
        <v>42</v>
      </c>
      <c r="E599" t="s">
        <v>43</v>
      </c>
      <c r="F599" t="s">
        <v>44</v>
      </c>
      <c r="G599" t="s">
        <v>45</v>
      </c>
      <c r="AH599" t="s">
        <v>42</v>
      </c>
      <c r="AI599" t="str">
        <f>"66298802829474"</f>
        <v>66298802829474</v>
      </c>
      <c r="AJ599" t="str">
        <f>"VA004"</f>
        <v>VA004</v>
      </c>
      <c r="AK599" t="s">
        <v>46</v>
      </c>
      <c r="AL599" s="1">
        <v>44816.546620370369</v>
      </c>
      <c r="AM599" t="s">
        <v>44</v>
      </c>
    </row>
    <row r="600" spans="1:39" x14ac:dyDescent="0.2">
      <c r="A600" t="s">
        <v>651</v>
      </c>
      <c r="B600" t="s">
        <v>40</v>
      </c>
      <c r="C600" t="s">
        <v>650</v>
      </c>
      <c r="D600" t="s">
        <v>42</v>
      </c>
      <c r="E600" t="s">
        <v>43</v>
      </c>
      <c r="F600" t="s">
        <v>44</v>
      </c>
      <c r="G600" t="s">
        <v>45</v>
      </c>
      <c r="AH600" t="s">
        <v>42</v>
      </c>
      <c r="AI600" t="str">
        <f>"66298802872553"</f>
        <v>66298802872553</v>
      </c>
      <c r="AJ600" t="str">
        <f>"VA008"</f>
        <v>VA008</v>
      </c>
      <c r="AK600" t="s">
        <v>46</v>
      </c>
      <c r="AL600" s="1">
        <v>44816.546620370369</v>
      </c>
      <c r="AM600" t="s">
        <v>44</v>
      </c>
    </row>
    <row r="601" spans="1:39" x14ac:dyDescent="0.2">
      <c r="A601" t="s">
        <v>651</v>
      </c>
      <c r="B601" t="s">
        <v>40</v>
      </c>
      <c r="C601" t="s">
        <v>650</v>
      </c>
      <c r="D601" t="s">
        <v>42</v>
      </c>
      <c r="E601" t="s">
        <v>43</v>
      </c>
      <c r="F601" t="s">
        <v>44</v>
      </c>
      <c r="G601" t="s">
        <v>45</v>
      </c>
      <c r="AH601" t="s">
        <v>42</v>
      </c>
      <c r="AI601" t="str">
        <f>"66298802914895"</f>
        <v>66298802914895</v>
      </c>
      <c r="AJ601" t="str">
        <f>"VA019"</f>
        <v>VA019</v>
      </c>
      <c r="AK601" t="s">
        <v>46</v>
      </c>
      <c r="AL601" s="1">
        <v>44816.546631944446</v>
      </c>
      <c r="AM601" t="s">
        <v>44</v>
      </c>
    </row>
    <row r="602" spans="1:39" x14ac:dyDescent="0.2">
      <c r="A602" t="s">
        <v>652</v>
      </c>
      <c r="B602" t="s">
        <v>40</v>
      </c>
      <c r="C602" t="s">
        <v>650</v>
      </c>
      <c r="D602" t="s">
        <v>42</v>
      </c>
      <c r="E602" t="s">
        <v>43</v>
      </c>
      <c r="F602" t="s">
        <v>44</v>
      </c>
      <c r="G602" t="s">
        <v>45</v>
      </c>
      <c r="AH602" t="s">
        <v>42</v>
      </c>
      <c r="AI602" t="str">
        <f>"VA040"</f>
        <v>VA040</v>
      </c>
      <c r="AJ602" t="str">
        <f>"VA040"</f>
        <v>VA040</v>
      </c>
      <c r="AK602" t="s">
        <v>46</v>
      </c>
      <c r="AL602" s="1">
        <v>44926.608182870368</v>
      </c>
      <c r="AM602" t="s">
        <v>44</v>
      </c>
    </row>
    <row r="603" spans="1:39" x14ac:dyDescent="0.2">
      <c r="A603" t="s">
        <v>653</v>
      </c>
      <c r="B603" t="s">
        <v>40</v>
      </c>
      <c r="C603" t="s">
        <v>650</v>
      </c>
      <c r="D603" t="s">
        <v>42</v>
      </c>
      <c r="E603" t="s">
        <v>43</v>
      </c>
      <c r="F603" t="s">
        <v>44</v>
      </c>
      <c r="G603" t="s">
        <v>45</v>
      </c>
      <c r="AH603" t="s">
        <v>42</v>
      </c>
      <c r="AI603" t="str">
        <f>"66298802954882"</f>
        <v>66298802954882</v>
      </c>
      <c r="AJ603" t="str">
        <f>"30410-KSP-911HB"</f>
        <v>30410-KSP-911HB</v>
      </c>
      <c r="AK603" t="s">
        <v>46</v>
      </c>
      <c r="AL603" s="1">
        <v>44816.546631944446</v>
      </c>
      <c r="AM603" t="s">
        <v>44</v>
      </c>
    </row>
    <row r="604" spans="1:39" x14ac:dyDescent="0.2">
      <c r="A604" t="s">
        <v>654</v>
      </c>
      <c r="B604" t="s">
        <v>40</v>
      </c>
      <c r="C604" t="s">
        <v>650</v>
      </c>
      <c r="D604" t="s">
        <v>42</v>
      </c>
      <c r="E604" t="s">
        <v>43</v>
      </c>
      <c r="F604" t="s">
        <v>44</v>
      </c>
      <c r="G604" t="s">
        <v>45</v>
      </c>
      <c r="AH604" t="s">
        <v>42</v>
      </c>
      <c r="AI604" t="str">
        <f>"66298802996722"</f>
        <v>66298802996722</v>
      </c>
      <c r="AJ604" t="str">
        <f>"83163"</f>
        <v>83163</v>
      </c>
      <c r="AK604" t="s">
        <v>46</v>
      </c>
      <c r="AL604" s="1">
        <v>44816.546631944446</v>
      </c>
      <c r="AM604" t="s">
        <v>44</v>
      </c>
    </row>
    <row r="605" spans="1:39" x14ac:dyDescent="0.2">
      <c r="A605" t="s">
        <v>655</v>
      </c>
      <c r="B605" t="s">
        <v>40</v>
      </c>
      <c r="C605" t="s">
        <v>650</v>
      </c>
      <c r="D605" t="s">
        <v>42</v>
      </c>
      <c r="E605" t="s">
        <v>43</v>
      </c>
      <c r="F605" t="s">
        <v>44</v>
      </c>
      <c r="G605" t="s">
        <v>45</v>
      </c>
      <c r="AH605" t="s">
        <v>42</v>
      </c>
      <c r="AI605" t="str">
        <f>"66298803039279"</f>
        <v>66298803039279</v>
      </c>
      <c r="AJ605" t="str">
        <f>"V027"</f>
        <v>V027</v>
      </c>
      <c r="AK605" t="s">
        <v>46</v>
      </c>
      <c r="AL605" s="1">
        <v>44816.546643518515</v>
      </c>
      <c r="AM605" t="s">
        <v>44</v>
      </c>
    </row>
    <row r="606" spans="1:39" x14ac:dyDescent="0.2">
      <c r="A606" t="s">
        <v>655</v>
      </c>
      <c r="B606" t="s">
        <v>40</v>
      </c>
      <c r="C606" t="s">
        <v>650</v>
      </c>
      <c r="D606" t="s">
        <v>42</v>
      </c>
      <c r="E606" t="s">
        <v>43</v>
      </c>
      <c r="F606" t="s">
        <v>44</v>
      </c>
      <c r="G606" t="s">
        <v>45</v>
      </c>
      <c r="AH606" t="s">
        <v>42</v>
      </c>
      <c r="AI606" t="str">
        <f>"66298803045585"</f>
        <v>66298803045585</v>
      </c>
      <c r="AJ606" t="str">
        <f>"VA016"</f>
        <v>VA016</v>
      </c>
      <c r="AK606" t="s">
        <v>46</v>
      </c>
      <c r="AL606" s="1">
        <v>44816.546643518515</v>
      </c>
      <c r="AM606" t="s">
        <v>44</v>
      </c>
    </row>
    <row r="607" spans="1:39" x14ac:dyDescent="0.2">
      <c r="A607" t="s">
        <v>656</v>
      </c>
      <c r="B607" t="s">
        <v>40</v>
      </c>
      <c r="C607" t="s">
        <v>650</v>
      </c>
      <c r="D607" t="s">
        <v>42</v>
      </c>
      <c r="E607" t="s">
        <v>43</v>
      </c>
      <c r="F607" t="s">
        <v>44</v>
      </c>
      <c r="G607" t="s">
        <v>45</v>
      </c>
      <c r="AH607" t="s">
        <v>42</v>
      </c>
      <c r="AI607" t="str">
        <f>"F34"</f>
        <v>F34</v>
      </c>
      <c r="AJ607" t="str">
        <f>"F34"</f>
        <v>F34</v>
      </c>
      <c r="AK607" t="s">
        <v>46</v>
      </c>
      <c r="AL607" s="1">
        <v>45086.810729166667</v>
      </c>
      <c r="AM607" t="s">
        <v>44</v>
      </c>
    </row>
    <row r="608" spans="1:39" x14ac:dyDescent="0.2">
      <c r="A608" t="s">
        <v>656</v>
      </c>
      <c r="B608" t="s">
        <v>40</v>
      </c>
      <c r="C608" t="s">
        <v>650</v>
      </c>
      <c r="D608" t="s">
        <v>42</v>
      </c>
      <c r="E608" t="s">
        <v>43</v>
      </c>
      <c r="F608" t="s">
        <v>44</v>
      </c>
      <c r="G608" t="s">
        <v>45</v>
      </c>
      <c r="AH608" t="s">
        <v>42</v>
      </c>
      <c r="AI608" t="str">
        <f>"F35"</f>
        <v>F35</v>
      </c>
      <c r="AJ608" t="str">
        <f>"F35"</f>
        <v>F35</v>
      </c>
      <c r="AK608" t="s">
        <v>46</v>
      </c>
      <c r="AL608" s="1">
        <v>45086.812106481484</v>
      </c>
      <c r="AM608" t="s">
        <v>44</v>
      </c>
    </row>
    <row r="609" spans="1:39" x14ac:dyDescent="0.2">
      <c r="A609" t="s">
        <v>657</v>
      </c>
      <c r="B609" t="s">
        <v>40</v>
      </c>
      <c r="C609" t="s">
        <v>650</v>
      </c>
      <c r="D609" t="s">
        <v>42</v>
      </c>
      <c r="E609" t="s">
        <v>43</v>
      </c>
      <c r="F609" t="s">
        <v>44</v>
      </c>
      <c r="G609" t="s">
        <v>45</v>
      </c>
      <c r="AH609" t="s">
        <v>42</v>
      </c>
      <c r="AI609" t="str">
        <f>"66298803186450"</f>
        <v>66298803186450</v>
      </c>
      <c r="AJ609" t="str">
        <f>"M067"</f>
        <v>M067</v>
      </c>
      <c r="AK609" t="s">
        <v>46</v>
      </c>
      <c r="AL609" s="1">
        <v>44816.546655092592</v>
      </c>
      <c r="AM609" t="s">
        <v>44</v>
      </c>
    </row>
    <row r="610" spans="1:39" x14ac:dyDescent="0.2">
      <c r="A610" t="s">
        <v>658</v>
      </c>
      <c r="B610" t="s">
        <v>40</v>
      </c>
      <c r="C610" t="s">
        <v>650</v>
      </c>
      <c r="D610" t="s">
        <v>42</v>
      </c>
      <c r="E610" t="s">
        <v>43</v>
      </c>
      <c r="F610" t="s">
        <v>44</v>
      </c>
      <c r="G610" t="s">
        <v>45</v>
      </c>
      <c r="AH610" t="s">
        <v>42</v>
      </c>
      <c r="AI610" t="str">
        <f>"66298803108320"</f>
        <v>66298803108320</v>
      </c>
      <c r="AJ610" t="str">
        <f>"80782"</f>
        <v>80782</v>
      </c>
      <c r="AK610" t="s">
        <v>46</v>
      </c>
      <c r="AL610" s="1">
        <v>44816.546655092592</v>
      </c>
      <c r="AM610" t="s">
        <v>44</v>
      </c>
    </row>
    <row r="611" spans="1:39" x14ac:dyDescent="0.2">
      <c r="A611" t="s">
        <v>658</v>
      </c>
      <c r="B611" t="s">
        <v>40</v>
      </c>
      <c r="C611" t="s">
        <v>650</v>
      </c>
      <c r="D611" t="s">
        <v>42</v>
      </c>
      <c r="E611" t="s">
        <v>43</v>
      </c>
      <c r="F611" t="s">
        <v>44</v>
      </c>
      <c r="G611" t="s">
        <v>45</v>
      </c>
      <c r="AH611" t="s">
        <v>42</v>
      </c>
      <c r="AI611" t="str">
        <f>"66298803113014"</f>
        <v>66298803113014</v>
      </c>
      <c r="AJ611" t="str">
        <f>"DM-C-00039"</f>
        <v>DM-C-00039</v>
      </c>
      <c r="AK611" t="s">
        <v>46</v>
      </c>
      <c r="AL611" s="1">
        <v>44816.546655092592</v>
      </c>
      <c r="AM611" t="s">
        <v>44</v>
      </c>
    </row>
    <row r="612" spans="1:39" x14ac:dyDescent="0.2">
      <c r="A612" t="s">
        <v>658</v>
      </c>
      <c r="B612" t="s">
        <v>40</v>
      </c>
      <c r="C612" t="s">
        <v>650</v>
      </c>
      <c r="D612" t="s">
        <v>42</v>
      </c>
      <c r="E612" t="s">
        <v>43</v>
      </c>
      <c r="F612" t="s">
        <v>44</v>
      </c>
      <c r="G612" t="s">
        <v>45</v>
      </c>
      <c r="AH612" t="s">
        <v>42</v>
      </c>
      <c r="AI612" t="str">
        <f>"66298803118491"</f>
        <v>66298803118491</v>
      </c>
      <c r="AJ612" t="str">
        <f>"VA013"</f>
        <v>VA013</v>
      </c>
      <c r="AK612" t="s">
        <v>46</v>
      </c>
      <c r="AL612" s="1">
        <v>44816.546655092592</v>
      </c>
      <c r="AM612" t="s">
        <v>44</v>
      </c>
    </row>
    <row r="613" spans="1:39" x14ac:dyDescent="0.2">
      <c r="A613" t="s">
        <v>659</v>
      </c>
      <c r="B613" t="s">
        <v>40</v>
      </c>
      <c r="C613" t="s">
        <v>650</v>
      </c>
      <c r="D613" t="s">
        <v>42</v>
      </c>
      <c r="E613" t="s">
        <v>43</v>
      </c>
      <c r="F613" t="s">
        <v>44</v>
      </c>
      <c r="G613" t="s">
        <v>45</v>
      </c>
      <c r="AH613" t="s">
        <v>42</v>
      </c>
      <c r="AI613" t="str">
        <f>"81092"</f>
        <v>81092</v>
      </c>
      <c r="AJ613" t="str">
        <f>"81092"</f>
        <v>81092</v>
      </c>
      <c r="AK613" t="s">
        <v>46</v>
      </c>
      <c r="AL613" s="1">
        <v>44816.546666666669</v>
      </c>
      <c r="AM613" t="s">
        <v>44</v>
      </c>
    </row>
    <row r="614" spans="1:39" x14ac:dyDescent="0.2">
      <c r="A614" t="s">
        <v>660</v>
      </c>
      <c r="B614" t="s">
        <v>40</v>
      </c>
      <c r="C614" t="s">
        <v>650</v>
      </c>
      <c r="D614" t="s">
        <v>42</v>
      </c>
      <c r="E614" t="s">
        <v>43</v>
      </c>
      <c r="F614" t="s">
        <v>44</v>
      </c>
      <c r="G614" t="s">
        <v>45</v>
      </c>
      <c r="AH614" t="s">
        <v>42</v>
      </c>
      <c r="AI614" t="str">
        <f>"66298803264171"</f>
        <v>66298803264171</v>
      </c>
      <c r="AJ614" t="str">
        <f>"401054"</f>
        <v>401054</v>
      </c>
      <c r="AK614" t="s">
        <v>46</v>
      </c>
      <c r="AL614" s="1">
        <v>44816.546666666669</v>
      </c>
      <c r="AM614" t="s">
        <v>44</v>
      </c>
    </row>
    <row r="615" spans="1:39" x14ac:dyDescent="0.2">
      <c r="A615" t="s">
        <v>661</v>
      </c>
      <c r="B615" t="s">
        <v>40</v>
      </c>
      <c r="C615" t="s">
        <v>650</v>
      </c>
      <c r="D615" t="s">
        <v>42</v>
      </c>
      <c r="E615" t="s">
        <v>43</v>
      </c>
      <c r="F615" t="s">
        <v>44</v>
      </c>
      <c r="G615" t="s">
        <v>45</v>
      </c>
      <c r="AH615" t="s">
        <v>42</v>
      </c>
      <c r="AI615" t="str">
        <f>"66298803303011"</f>
        <v>66298803303011</v>
      </c>
      <c r="AJ615" t="str">
        <f>"80781"</f>
        <v>80781</v>
      </c>
      <c r="AK615" t="s">
        <v>46</v>
      </c>
      <c r="AL615" s="1">
        <v>44816.546678240738</v>
      </c>
      <c r="AM615" t="s">
        <v>44</v>
      </c>
    </row>
    <row r="616" spans="1:39" x14ac:dyDescent="0.2">
      <c r="A616" t="s">
        <v>662</v>
      </c>
      <c r="B616" t="s">
        <v>40</v>
      </c>
      <c r="C616" t="s">
        <v>650</v>
      </c>
      <c r="D616" t="s">
        <v>42</v>
      </c>
      <c r="E616" t="s">
        <v>43</v>
      </c>
      <c r="F616" t="s">
        <v>44</v>
      </c>
      <c r="G616" t="s">
        <v>45</v>
      </c>
      <c r="AH616" t="s">
        <v>42</v>
      </c>
      <c r="AI616" t="str">
        <f>"VA002"</f>
        <v>VA002</v>
      </c>
      <c r="AJ616" t="str">
        <f>"VA002"</f>
        <v>VA002</v>
      </c>
      <c r="AK616" t="s">
        <v>46</v>
      </c>
      <c r="AL616" s="1">
        <v>44918.787326388891</v>
      </c>
      <c r="AM616" t="s">
        <v>44</v>
      </c>
    </row>
    <row r="617" spans="1:39" x14ac:dyDescent="0.2">
      <c r="A617" t="s">
        <v>663</v>
      </c>
      <c r="B617" t="s">
        <v>40</v>
      </c>
      <c r="C617" t="s">
        <v>650</v>
      </c>
      <c r="D617" t="s">
        <v>42</v>
      </c>
      <c r="E617" t="s">
        <v>43</v>
      </c>
      <c r="F617" t="s">
        <v>44</v>
      </c>
      <c r="G617" t="s">
        <v>45</v>
      </c>
      <c r="AH617" t="s">
        <v>42</v>
      </c>
      <c r="AI617" t="str">
        <f>"66298803344101"</f>
        <v>66298803344101</v>
      </c>
      <c r="AJ617" t="str">
        <f>"VA018"</f>
        <v>VA018</v>
      </c>
      <c r="AK617" t="s">
        <v>46</v>
      </c>
      <c r="AL617" s="1">
        <v>44816.546678240738</v>
      </c>
      <c r="AM617" t="s">
        <v>44</v>
      </c>
    </row>
    <row r="618" spans="1:39" x14ac:dyDescent="0.2">
      <c r="A618" t="s">
        <v>664</v>
      </c>
      <c r="B618" t="s">
        <v>40</v>
      </c>
      <c r="C618" t="s">
        <v>650</v>
      </c>
      <c r="D618" t="s">
        <v>42</v>
      </c>
      <c r="E618" t="s">
        <v>43</v>
      </c>
      <c r="F618" t="s">
        <v>44</v>
      </c>
      <c r="G618" t="s">
        <v>45</v>
      </c>
      <c r="AH618" t="s">
        <v>42</v>
      </c>
      <c r="AI618" t="str">
        <f>"66298803394235"</f>
        <v>66298803394235</v>
      </c>
      <c r="AJ618" t="str">
        <f>"21C-H5540-00HB"</f>
        <v>21C-H5540-00HB</v>
      </c>
      <c r="AK618" t="s">
        <v>46</v>
      </c>
      <c r="AL618" s="1">
        <v>44816.546678240738</v>
      </c>
      <c r="AM618" t="s">
        <v>44</v>
      </c>
    </row>
    <row r="619" spans="1:39" x14ac:dyDescent="0.2">
      <c r="A619" t="s">
        <v>664</v>
      </c>
      <c r="B619" t="s">
        <v>40</v>
      </c>
      <c r="C619" t="s">
        <v>650</v>
      </c>
      <c r="D619" t="s">
        <v>42</v>
      </c>
      <c r="E619" t="s">
        <v>43</v>
      </c>
      <c r="F619" t="s">
        <v>44</v>
      </c>
      <c r="G619" t="s">
        <v>45</v>
      </c>
      <c r="AH619" t="s">
        <v>42</v>
      </c>
      <c r="AI619" t="str">
        <f>"VA014"</f>
        <v>VA014</v>
      </c>
      <c r="AJ619" t="str">
        <f>"VA014"</f>
        <v>VA014</v>
      </c>
      <c r="AK619" t="s">
        <v>46</v>
      </c>
      <c r="AL619" s="1">
        <v>44946.867465277777</v>
      </c>
      <c r="AM619" t="s">
        <v>44</v>
      </c>
    </row>
    <row r="620" spans="1:39" x14ac:dyDescent="0.2">
      <c r="A620" t="s">
        <v>664</v>
      </c>
      <c r="B620" t="s">
        <v>40</v>
      </c>
      <c r="C620" t="s">
        <v>650</v>
      </c>
      <c r="D620" t="s">
        <v>42</v>
      </c>
      <c r="E620" t="s">
        <v>43</v>
      </c>
      <c r="F620" t="s">
        <v>44</v>
      </c>
      <c r="G620" t="s">
        <v>45</v>
      </c>
      <c r="AH620" t="s">
        <v>43</v>
      </c>
      <c r="AI620" t="str">
        <f>"CDI-FZ16"</f>
        <v>CDI-FZ16</v>
      </c>
      <c r="AJ620" t="str">
        <f>"CDI-FZ16"</f>
        <v>CDI-FZ16</v>
      </c>
      <c r="AK620" t="s">
        <v>46</v>
      </c>
      <c r="AL620" s="1">
        <v>44999.675763888888</v>
      </c>
      <c r="AM620" t="s">
        <v>44</v>
      </c>
    </row>
    <row r="621" spans="1:39" x14ac:dyDescent="0.2">
      <c r="A621" t="s">
        <v>665</v>
      </c>
      <c r="B621" t="s">
        <v>40</v>
      </c>
      <c r="C621" t="s">
        <v>650</v>
      </c>
      <c r="D621" t="s">
        <v>42</v>
      </c>
      <c r="E621" t="s">
        <v>43</v>
      </c>
      <c r="F621" t="s">
        <v>44</v>
      </c>
      <c r="G621" t="s">
        <v>45</v>
      </c>
      <c r="AH621" t="s">
        <v>42</v>
      </c>
      <c r="AI621" t="str">
        <f>"66298803437005"</f>
        <v>66298803437005</v>
      </c>
      <c r="AJ621" t="str">
        <f>"B77-H591A-00"</f>
        <v>B77-H591A-00</v>
      </c>
      <c r="AK621" t="s">
        <v>46</v>
      </c>
      <c r="AL621" s="1">
        <v>44816.546689814815</v>
      </c>
      <c r="AM621" t="s">
        <v>44</v>
      </c>
    </row>
    <row r="622" spans="1:39" x14ac:dyDescent="0.2">
      <c r="A622" t="s">
        <v>666</v>
      </c>
      <c r="B622" t="s">
        <v>40</v>
      </c>
      <c r="C622" t="s">
        <v>650</v>
      </c>
      <c r="D622" t="s">
        <v>42</v>
      </c>
      <c r="E622" t="s">
        <v>43</v>
      </c>
      <c r="F622" t="s">
        <v>44</v>
      </c>
      <c r="G622" t="s">
        <v>45</v>
      </c>
      <c r="AH622" t="s">
        <v>42</v>
      </c>
      <c r="AI622" t="str">
        <f>"66298803478068"</f>
        <v>66298803478068</v>
      </c>
      <c r="AJ622" t="str">
        <f>"VA017"</f>
        <v>VA017</v>
      </c>
      <c r="AK622" t="s">
        <v>46</v>
      </c>
      <c r="AL622" s="1">
        <v>44816.546689814815</v>
      </c>
      <c r="AM622" t="s">
        <v>44</v>
      </c>
    </row>
    <row r="623" spans="1:39" x14ac:dyDescent="0.2">
      <c r="A623" t="s">
        <v>667</v>
      </c>
      <c r="B623" t="s">
        <v>40</v>
      </c>
      <c r="C623" t="s">
        <v>650</v>
      </c>
      <c r="D623" t="s">
        <v>42</v>
      </c>
      <c r="E623" t="s">
        <v>43</v>
      </c>
      <c r="F623" t="s">
        <v>44</v>
      </c>
      <c r="G623" t="s">
        <v>45</v>
      </c>
      <c r="AH623" t="s">
        <v>42</v>
      </c>
      <c r="AI623" t="str">
        <f>"66298803518064"</f>
        <v>66298803518064</v>
      </c>
      <c r="AJ623" t="str">
        <f>"VA023"</f>
        <v>VA023</v>
      </c>
      <c r="AK623" t="s">
        <v>46</v>
      </c>
      <c r="AL623" s="1">
        <v>44816.546701388892</v>
      </c>
      <c r="AM623" t="s">
        <v>44</v>
      </c>
    </row>
    <row r="624" spans="1:39" x14ac:dyDescent="0.2">
      <c r="A624" t="s">
        <v>668</v>
      </c>
      <c r="B624" t="s">
        <v>40</v>
      </c>
      <c r="C624" t="s">
        <v>650</v>
      </c>
      <c r="D624" t="s">
        <v>42</v>
      </c>
      <c r="E624" t="s">
        <v>43</v>
      </c>
      <c r="F624" t="s">
        <v>44</v>
      </c>
      <c r="G624" t="s">
        <v>45</v>
      </c>
      <c r="AH624" t="s">
        <v>42</v>
      </c>
      <c r="AI624" t="str">
        <f>"66298803559321"</f>
        <v>66298803559321</v>
      </c>
      <c r="AJ624" t="str">
        <f>"VA020"</f>
        <v>VA020</v>
      </c>
      <c r="AK624" t="s">
        <v>46</v>
      </c>
      <c r="AL624" s="1">
        <v>44816.546701388892</v>
      </c>
      <c r="AM624" t="s">
        <v>44</v>
      </c>
    </row>
    <row r="625" spans="1:39" x14ac:dyDescent="0.2">
      <c r="A625" t="s">
        <v>669</v>
      </c>
      <c r="B625" t="s">
        <v>40</v>
      </c>
      <c r="C625" t="s">
        <v>650</v>
      </c>
      <c r="D625" t="s">
        <v>42</v>
      </c>
      <c r="E625" t="s">
        <v>43</v>
      </c>
      <c r="F625" t="s">
        <v>44</v>
      </c>
      <c r="G625" t="s">
        <v>45</v>
      </c>
      <c r="AH625" t="s">
        <v>42</v>
      </c>
      <c r="AI625" t="str">
        <f>"66298803599467"</f>
        <v>66298803599467</v>
      </c>
      <c r="AJ625" t="str">
        <f>"32900H2C000H000"</f>
        <v>32900H2C000H000</v>
      </c>
      <c r="AK625" t="s">
        <v>46</v>
      </c>
      <c r="AL625" s="1">
        <v>44816.546701388892</v>
      </c>
      <c r="AM625" t="s">
        <v>44</v>
      </c>
    </row>
    <row r="626" spans="1:39" x14ac:dyDescent="0.2">
      <c r="A626" t="s">
        <v>670</v>
      </c>
      <c r="B626" t="s">
        <v>40</v>
      </c>
      <c r="C626" t="s">
        <v>650</v>
      </c>
      <c r="D626" t="s">
        <v>42</v>
      </c>
      <c r="E626" t="s">
        <v>43</v>
      </c>
      <c r="F626" t="s">
        <v>44</v>
      </c>
      <c r="G626" t="s">
        <v>45</v>
      </c>
      <c r="AH626" t="s">
        <v>42</v>
      </c>
      <c r="AI626" t="str">
        <f>"66298803640520"</f>
        <v>66298803640520</v>
      </c>
      <c r="AJ626" t="str">
        <f>"32900H40000H000"</f>
        <v>32900H40000H000</v>
      </c>
      <c r="AK626" t="s">
        <v>46</v>
      </c>
      <c r="AL626" s="1">
        <v>44816.546712962961</v>
      </c>
      <c r="AM626" t="s">
        <v>44</v>
      </c>
    </row>
    <row r="627" spans="1:39" x14ac:dyDescent="0.2">
      <c r="A627" t="s">
        <v>671</v>
      </c>
      <c r="B627" t="s">
        <v>40</v>
      </c>
      <c r="C627" t="s">
        <v>650</v>
      </c>
      <c r="D627" t="s">
        <v>42</v>
      </c>
      <c r="E627" t="s">
        <v>43</v>
      </c>
      <c r="F627" t="s">
        <v>44</v>
      </c>
      <c r="G627" t="s">
        <v>45</v>
      </c>
      <c r="AH627" t="s">
        <v>42</v>
      </c>
      <c r="AI627" t="str">
        <f>"66298803683575"</f>
        <v>66298803683575</v>
      </c>
      <c r="AJ627" t="str">
        <f>"83179"</f>
        <v>83179</v>
      </c>
      <c r="AK627" t="s">
        <v>46</v>
      </c>
      <c r="AL627" s="1">
        <v>44816.546712962961</v>
      </c>
      <c r="AM627" t="s">
        <v>44</v>
      </c>
    </row>
    <row r="628" spans="1:39" x14ac:dyDescent="0.2">
      <c r="A628" t="s">
        <v>671</v>
      </c>
      <c r="B628" t="s">
        <v>40</v>
      </c>
      <c r="C628" t="s">
        <v>650</v>
      </c>
      <c r="D628" t="s">
        <v>42</v>
      </c>
      <c r="E628" t="s">
        <v>43</v>
      </c>
      <c r="F628" t="s">
        <v>44</v>
      </c>
      <c r="G628" t="s">
        <v>45</v>
      </c>
      <c r="AH628" t="s">
        <v>42</v>
      </c>
      <c r="AI628" t="str">
        <f>"66298803691138"</f>
        <v>66298803691138</v>
      </c>
      <c r="AJ628" t="str">
        <f>"JL-3512-00HB"</f>
        <v>JL-3512-00HB</v>
      </c>
      <c r="AK628" t="s">
        <v>46</v>
      </c>
      <c r="AL628" s="1">
        <v>44816.546712962961</v>
      </c>
      <c r="AM628" t="s">
        <v>44</v>
      </c>
    </row>
    <row r="629" spans="1:39" x14ac:dyDescent="0.2">
      <c r="A629" t="s">
        <v>672</v>
      </c>
      <c r="B629" t="s">
        <v>40</v>
      </c>
      <c r="C629" t="s">
        <v>650</v>
      </c>
      <c r="D629" t="s">
        <v>42</v>
      </c>
      <c r="E629" t="s">
        <v>43</v>
      </c>
      <c r="F629" t="s">
        <v>44</v>
      </c>
      <c r="G629" t="s">
        <v>45</v>
      </c>
      <c r="AH629" t="s">
        <v>42</v>
      </c>
      <c r="AI629" t="str">
        <f>"66298803748282"</f>
        <v>66298803748282</v>
      </c>
      <c r="AJ629" t="str">
        <f>"401053"</f>
        <v>401053</v>
      </c>
      <c r="AK629" t="s">
        <v>46</v>
      </c>
      <c r="AL629" s="1">
        <v>44816.546724537038</v>
      </c>
      <c r="AM629" t="s">
        <v>44</v>
      </c>
    </row>
    <row r="630" spans="1:39" x14ac:dyDescent="0.2">
      <c r="A630" t="s">
        <v>673</v>
      </c>
      <c r="B630" t="s">
        <v>40</v>
      </c>
      <c r="C630" t="s">
        <v>650</v>
      </c>
      <c r="D630" t="s">
        <v>42</v>
      </c>
      <c r="E630" t="s">
        <v>43</v>
      </c>
      <c r="F630" t="s">
        <v>44</v>
      </c>
      <c r="G630" t="s">
        <v>45</v>
      </c>
      <c r="AH630" t="s">
        <v>42</v>
      </c>
      <c r="AI630" t="str">
        <f>"66298803787525"</f>
        <v>66298803787525</v>
      </c>
      <c r="AJ630" t="str">
        <f>"82795"</f>
        <v>82795</v>
      </c>
      <c r="AK630" t="s">
        <v>46</v>
      </c>
      <c r="AL630" s="1">
        <v>44816.546724537038</v>
      </c>
      <c r="AM630" t="s">
        <v>44</v>
      </c>
    </row>
    <row r="631" spans="1:39" x14ac:dyDescent="0.2">
      <c r="A631" t="s">
        <v>674</v>
      </c>
      <c r="B631" t="s">
        <v>40</v>
      </c>
      <c r="C631" t="s">
        <v>650</v>
      </c>
      <c r="D631" t="s">
        <v>42</v>
      </c>
      <c r="E631" t="s">
        <v>43</v>
      </c>
      <c r="F631" t="s">
        <v>44</v>
      </c>
      <c r="G631" t="s">
        <v>45</v>
      </c>
      <c r="AH631" t="s">
        <v>42</v>
      </c>
      <c r="AI631" t="str">
        <f>"66298803834424"</f>
        <v>66298803834424</v>
      </c>
      <c r="AJ631" t="str">
        <f>"VA021"</f>
        <v>VA021</v>
      </c>
      <c r="AK631" t="s">
        <v>46</v>
      </c>
      <c r="AL631" s="1">
        <v>44816.546736111108</v>
      </c>
      <c r="AM631" t="s">
        <v>44</v>
      </c>
    </row>
    <row r="632" spans="1:39" x14ac:dyDescent="0.2">
      <c r="A632" t="s">
        <v>675</v>
      </c>
      <c r="B632" t="s">
        <v>40</v>
      </c>
      <c r="C632" t="s">
        <v>650</v>
      </c>
      <c r="D632" t="s">
        <v>42</v>
      </c>
      <c r="E632" t="s">
        <v>43</v>
      </c>
      <c r="F632" t="s">
        <v>44</v>
      </c>
      <c r="G632" t="s">
        <v>45</v>
      </c>
      <c r="AH632" t="s">
        <v>42</v>
      </c>
      <c r="AI632" t="str">
        <f>"CK110S7-F2-28"</f>
        <v>CK110S7-F2-28</v>
      </c>
      <c r="AJ632" t="str">
        <f>"CK110S7-F2-28"</f>
        <v>CK110S7-F2-28</v>
      </c>
      <c r="AK632" t="s">
        <v>46</v>
      </c>
      <c r="AL632" s="1">
        <v>44853.695509259262</v>
      </c>
      <c r="AM632" t="s">
        <v>44</v>
      </c>
    </row>
    <row r="633" spans="1:39" x14ac:dyDescent="0.2">
      <c r="A633" t="s">
        <v>676</v>
      </c>
      <c r="B633" t="s">
        <v>40</v>
      </c>
      <c r="C633" t="s">
        <v>650</v>
      </c>
      <c r="D633" t="s">
        <v>42</v>
      </c>
      <c r="E633" t="s">
        <v>43</v>
      </c>
      <c r="F633" t="s">
        <v>44</v>
      </c>
      <c r="G633" t="s">
        <v>45</v>
      </c>
      <c r="AH633" t="s">
        <v>42</v>
      </c>
      <c r="AI633" t="str">
        <f>"LXGS2-F10-3"</f>
        <v>LXGS2-F10-3</v>
      </c>
      <c r="AJ633" t="str">
        <f>"LXGS2-F10-3"</f>
        <v>LXGS2-F10-3</v>
      </c>
      <c r="AK633" t="s">
        <v>46</v>
      </c>
      <c r="AL633" s="1">
        <v>45154.913078703707</v>
      </c>
      <c r="AM633" t="s">
        <v>44</v>
      </c>
    </row>
    <row r="634" spans="1:39" x14ac:dyDescent="0.2">
      <c r="A634" t="s">
        <v>677</v>
      </c>
      <c r="B634" t="s">
        <v>40</v>
      </c>
      <c r="C634" t="s">
        <v>650</v>
      </c>
      <c r="D634" t="s">
        <v>42</v>
      </c>
      <c r="E634" t="s">
        <v>43</v>
      </c>
      <c r="F634" t="s">
        <v>44</v>
      </c>
      <c r="G634" t="s">
        <v>45</v>
      </c>
      <c r="AH634" t="s">
        <v>42</v>
      </c>
      <c r="AI634" t="str">
        <f>"66298803876078"</f>
        <v>66298803876078</v>
      </c>
      <c r="AJ634" t="str">
        <f>"82421"</f>
        <v>82421</v>
      </c>
      <c r="AK634" t="s">
        <v>46</v>
      </c>
      <c r="AL634" s="1">
        <v>44816.546736111108</v>
      </c>
      <c r="AM634" t="s">
        <v>44</v>
      </c>
    </row>
    <row r="635" spans="1:39" x14ac:dyDescent="0.2">
      <c r="A635" t="s">
        <v>678</v>
      </c>
      <c r="B635" t="s">
        <v>40</v>
      </c>
      <c r="C635" t="s">
        <v>650</v>
      </c>
      <c r="D635" t="s">
        <v>42</v>
      </c>
      <c r="E635" t="s">
        <v>43</v>
      </c>
      <c r="F635" t="s">
        <v>44</v>
      </c>
      <c r="G635" t="s">
        <v>45</v>
      </c>
      <c r="AH635" t="s">
        <v>42</v>
      </c>
      <c r="AI635" t="str">
        <f>"139"</f>
        <v>139</v>
      </c>
      <c r="AJ635" t="str">
        <f>"139"</f>
        <v>139</v>
      </c>
      <c r="AK635" t="s">
        <v>46</v>
      </c>
      <c r="AL635" s="1">
        <v>45059.669004629628</v>
      </c>
      <c r="AM635" t="s">
        <v>44</v>
      </c>
    </row>
    <row r="636" spans="1:39" x14ac:dyDescent="0.2">
      <c r="A636" t="s">
        <v>679</v>
      </c>
      <c r="B636" t="s">
        <v>40</v>
      </c>
      <c r="C636" t="s">
        <v>650</v>
      </c>
      <c r="D636" t="s">
        <v>42</v>
      </c>
      <c r="E636" t="s">
        <v>43</v>
      </c>
      <c r="F636" t="s">
        <v>44</v>
      </c>
      <c r="G636" t="s">
        <v>45</v>
      </c>
      <c r="AH636" t="s">
        <v>42</v>
      </c>
      <c r="AI636" t="str">
        <f>"66298803918266"</f>
        <v>66298803918266</v>
      </c>
      <c r="AJ636" t="str">
        <f>"VA015"</f>
        <v>VA015</v>
      </c>
      <c r="AK636" t="s">
        <v>46</v>
      </c>
      <c r="AL636" s="1">
        <v>44816.546747685185</v>
      </c>
      <c r="AM636" t="s">
        <v>44</v>
      </c>
    </row>
    <row r="637" spans="1:39" x14ac:dyDescent="0.2">
      <c r="A637" t="s">
        <v>680</v>
      </c>
      <c r="B637" t="s">
        <v>40</v>
      </c>
      <c r="C637" t="s">
        <v>650</v>
      </c>
      <c r="D637" t="s">
        <v>42</v>
      </c>
      <c r="E637" t="s">
        <v>43</v>
      </c>
      <c r="F637" t="s">
        <v>44</v>
      </c>
      <c r="G637" t="s">
        <v>45</v>
      </c>
      <c r="AH637" t="s">
        <v>42</v>
      </c>
      <c r="AI637" t="str">
        <f>"66298803960807"</f>
        <v>66298803960807</v>
      </c>
      <c r="AJ637" t="str">
        <f>"400026"</f>
        <v>400026</v>
      </c>
      <c r="AK637" t="s">
        <v>46</v>
      </c>
      <c r="AL637" s="1">
        <v>44816.546747685185</v>
      </c>
      <c r="AM637" t="s">
        <v>44</v>
      </c>
    </row>
    <row r="638" spans="1:39" x14ac:dyDescent="0.2">
      <c r="A638" t="s">
        <v>681</v>
      </c>
      <c r="B638" t="s">
        <v>40</v>
      </c>
      <c r="C638" t="s">
        <v>650</v>
      </c>
      <c r="D638" t="s">
        <v>42</v>
      </c>
      <c r="E638" t="s">
        <v>43</v>
      </c>
      <c r="F638" t="s">
        <v>44</v>
      </c>
      <c r="G638" t="s">
        <v>45</v>
      </c>
      <c r="AH638" t="s">
        <v>42</v>
      </c>
      <c r="AI638" t="str">
        <f>"66298804004536"</f>
        <v>66298804004536</v>
      </c>
      <c r="AJ638" t="str">
        <f>"401052"</f>
        <v>401052</v>
      </c>
      <c r="AK638" t="s">
        <v>46</v>
      </c>
      <c r="AL638" s="1">
        <v>44816.546759259261</v>
      </c>
      <c r="AM638" t="s">
        <v>44</v>
      </c>
    </row>
    <row r="639" spans="1:39" x14ac:dyDescent="0.2">
      <c r="A639" t="s">
        <v>682</v>
      </c>
      <c r="B639" t="s">
        <v>40</v>
      </c>
      <c r="C639" t="s">
        <v>50</v>
      </c>
      <c r="D639" t="s">
        <v>42</v>
      </c>
      <c r="E639" t="s">
        <v>43</v>
      </c>
      <c r="F639" t="s">
        <v>44</v>
      </c>
      <c r="G639" t="s">
        <v>45</v>
      </c>
      <c r="AH639" t="s">
        <v>42</v>
      </c>
      <c r="AI639" t="str">
        <f>"66298804043366"</f>
        <v>66298804043366</v>
      </c>
      <c r="AJ639" t="str">
        <f>"H186"</f>
        <v>H186</v>
      </c>
      <c r="AK639" t="s">
        <v>46</v>
      </c>
      <c r="AL639" s="1">
        <v>44816.546759259261</v>
      </c>
      <c r="AM639" t="s">
        <v>44</v>
      </c>
    </row>
    <row r="640" spans="1:39" x14ac:dyDescent="0.2">
      <c r="A640" t="s">
        <v>683</v>
      </c>
      <c r="B640" t="s">
        <v>40</v>
      </c>
      <c r="C640" t="s">
        <v>684</v>
      </c>
      <c r="D640" t="s">
        <v>42</v>
      </c>
      <c r="E640" t="s">
        <v>43</v>
      </c>
      <c r="F640" t="s">
        <v>44</v>
      </c>
      <c r="G640" t="s">
        <v>45</v>
      </c>
      <c r="AH640" t="s">
        <v>42</v>
      </c>
      <c r="AI640" t="str">
        <f>"66298804083958"</f>
        <v>66298804083958</v>
      </c>
      <c r="AJ640" t="str">
        <f>"88"</f>
        <v>88</v>
      </c>
      <c r="AK640" t="s">
        <v>46</v>
      </c>
      <c r="AL640" s="1">
        <v>44816.546759259261</v>
      </c>
      <c r="AM640" t="s">
        <v>44</v>
      </c>
    </row>
    <row r="641" spans="1:39" x14ac:dyDescent="0.2">
      <c r="A641" t="s">
        <v>685</v>
      </c>
      <c r="B641" t="s">
        <v>40</v>
      </c>
      <c r="C641" t="s">
        <v>684</v>
      </c>
      <c r="D641" t="s">
        <v>42</v>
      </c>
      <c r="E641" t="s">
        <v>43</v>
      </c>
      <c r="F641" t="s">
        <v>44</v>
      </c>
      <c r="G641" t="s">
        <v>45</v>
      </c>
      <c r="AH641" t="s">
        <v>42</v>
      </c>
      <c r="AI641" t="str">
        <f>"ACEL-UNIV"</f>
        <v>ACEL-UNIV</v>
      </c>
      <c r="AJ641" t="str">
        <f>"ACEL-UNIV"</f>
        <v>ACEL-UNIV</v>
      </c>
      <c r="AK641" t="s">
        <v>46</v>
      </c>
      <c r="AL641" s="1">
        <v>44999.629814814813</v>
      </c>
      <c r="AM641" t="s">
        <v>44</v>
      </c>
    </row>
    <row r="642" spans="1:39" x14ac:dyDescent="0.2">
      <c r="A642" t="s">
        <v>686</v>
      </c>
      <c r="B642" t="s">
        <v>40</v>
      </c>
      <c r="C642" t="s">
        <v>684</v>
      </c>
      <c r="D642" t="s">
        <v>42</v>
      </c>
      <c r="E642" t="s">
        <v>43</v>
      </c>
      <c r="F642" t="s">
        <v>44</v>
      </c>
      <c r="G642" t="s">
        <v>45</v>
      </c>
      <c r="AH642" t="s">
        <v>42</v>
      </c>
      <c r="AI642" t="str">
        <f>"66298804126657"</f>
        <v>66298804126657</v>
      </c>
      <c r="AJ642" t="str">
        <f>"XN-12901-000JP"</f>
        <v>XN-12901-000JP</v>
      </c>
      <c r="AK642" t="s">
        <v>46</v>
      </c>
      <c r="AL642" s="1">
        <v>44816.546770833331</v>
      </c>
      <c r="AM642" t="s">
        <v>44</v>
      </c>
    </row>
    <row r="643" spans="1:39" x14ac:dyDescent="0.2">
      <c r="A643" t="s">
        <v>687</v>
      </c>
      <c r="B643" t="s">
        <v>40</v>
      </c>
      <c r="C643" t="s">
        <v>684</v>
      </c>
      <c r="D643" t="s">
        <v>42</v>
      </c>
      <c r="E643" t="s">
        <v>43</v>
      </c>
      <c r="F643" t="s">
        <v>44</v>
      </c>
      <c r="G643" t="s">
        <v>45</v>
      </c>
      <c r="AH643" t="s">
        <v>42</v>
      </c>
      <c r="AI643" t="str">
        <f>"66298804166211"</f>
        <v>66298804166211</v>
      </c>
      <c r="AJ643" t="str">
        <f>"82066"</f>
        <v>82066</v>
      </c>
      <c r="AK643" t="s">
        <v>46</v>
      </c>
      <c r="AL643" s="1">
        <v>44816.546770833331</v>
      </c>
      <c r="AM643" t="s">
        <v>44</v>
      </c>
    </row>
    <row r="644" spans="1:39" x14ac:dyDescent="0.2">
      <c r="A644" t="s">
        <v>687</v>
      </c>
      <c r="B644" t="s">
        <v>40</v>
      </c>
      <c r="C644" t="s">
        <v>684</v>
      </c>
      <c r="D644" t="s">
        <v>42</v>
      </c>
      <c r="E644" t="s">
        <v>43</v>
      </c>
      <c r="F644" t="s">
        <v>44</v>
      </c>
      <c r="G644" t="s">
        <v>45</v>
      </c>
      <c r="AH644" t="s">
        <v>42</v>
      </c>
      <c r="AI644" t="str">
        <f>"66298804209961"</f>
        <v>66298804209961</v>
      </c>
      <c r="AJ644" t="str">
        <f>"BC008"</f>
        <v>BC008</v>
      </c>
      <c r="AK644" t="s">
        <v>46</v>
      </c>
      <c r="AL644" s="1">
        <v>44816.546782407408</v>
      </c>
      <c r="AM644" t="s">
        <v>44</v>
      </c>
    </row>
    <row r="645" spans="1:39" x14ac:dyDescent="0.2">
      <c r="A645" t="s">
        <v>688</v>
      </c>
      <c r="B645" t="s">
        <v>40</v>
      </c>
      <c r="C645" t="s">
        <v>684</v>
      </c>
      <c r="D645" t="s">
        <v>42</v>
      </c>
      <c r="E645" t="s">
        <v>43</v>
      </c>
      <c r="F645" t="s">
        <v>44</v>
      </c>
      <c r="G645" t="s">
        <v>45</v>
      </c>
      <c r="AH645" t="s">
        <v>42</v>
      </c>
      <c r="AI645" t="str">
        <f>"66298804254152"</f>
        <v>66298804254152</v>
      </c>
      <c r="AJ645" t="str">
        <f>"400630"</f>
        <v>400630</v>
      </c>
      <c r="AK645" t="s">
        <v>46</v>
      </c>
      <c r="AL645" s="1">
        <v>44816.546782407408</v>
      </c>
      <c r="AM645" t="s">
        <v>44</v>
      </c>
    </row>
    <row r="646" spans="1:39" x14ac:dyDescent="0.2">
      <c r="A646" t="s">
        <v>689</v>
      </c>
      <c r="B646" t="s">
        <v>40</v>
      </c>
      <c r="C646" t="s">
        <v>684</v>
      </c>
      <c r="D646" t="s">
        <v>42</v>
      </c>
      <c r="E646" t="s">
        <v>43</v>
      </c>
      <c r="F646" t="s">
        <v>44</v>
      </c>
      <c r="G646" t="s">
        <v>45</v>
      </c>
      <c r="AH646" t="s">
        <v>42</v>
      </c>
      <c r="AI646" t="str">
        <f>"66298804392057"</f>
        <v>66298804392057</v>
      </c>
      <c r="AJ646" t="str">
        <f>"17910-K70-601GH"</f>
        <v>17910-K70-601GH</v>
      </c>
      <c r="AK646" t="s">
        <v>46</v>
      </c>
      <c r="AL646" s="1">
        <v>44816.546793981484</v>
      </c>
      <c r="AM646" t="s">
        <v>44</v>
      </c>
    </row>
    <row r="647" spans="1:39" x14ac:dyDescent="0.2">
      <c r="A647" t="s">
        <v>690</v>
      </c>
      <c r="B647" t="s">
        <v>40</v>
      </c>
      <c r="C647" t="s">
        <v>684</v>
      </c>
      <c r="D647" t="s">
        <v>42</v>
      </c>
      <c r="E647" t="s">
        <v>43</v>
      </c>
      <c r="F647" t="s">
        <v>44</v>
      </c>
      <c r="G647" t="s">
        <v>45</v>
      </c>
      <c r="AH647" t="s">
        <v>42</v>
      </c>
      <c r="AI647" t="str">
        <f>"66298804346374"</f>
        <v>66298804346374</v>
      </c>
      <c r="AJ647" t="str">
        <f>"17910-K70-601HB"</f>
        <v>17910-K70-601HB</v>
      </c>
      <c r="AK647" t="s">
        <v>46</v>
      </c>
      <c r="AL647" s="1">
        <v>44816.546793981484</v>
      </c>
      <c r="AM647" t="s">
        <v>44</v>
      </c>
    </row>
    <row r="648" spans="1:39" x14ac:dyDescent="0.2">
      <c r="A648" t="s">
        <v>691</v>
      </c>
      <c r="B648" t="s">
        <v>40</v>
      </c>
      <c r="C648" t="s">
        <v>684</v>
      </c>
      <c r="D648" t="s">
        <v>42</v>
      </c>
      <c r="E648" t="s">
        <v>43</v>
      </c>
      <c r="F648" t="s">
        <v>44</v>
      </c>
      <c r="G648" t="s">
        <v>45</v>
      </c>
      <c r="AH648" t="s">
        <v>42</v>
      </c>
      <c r="AI648" t="str">
        <f>"66298804431042"</f>
        <v>66298804431042</v>
      </c>
      <c r="AJ648" t="str">
        <f>"400645"</f>
        <v>400645</v>
      </c>
      <c r="AK648" t="s">
        <v>46</v>
      </c>
      <c r="AL648" s="1">
        <v>44816.546805555554</v>
      </c>
      <c r="AM648" t="s">
        <v>44</v>
      </c>
    </row>
    <row r="649" spans="1:39" x14ac:dyDescent="0.2">
      <c r="A649" t="s">
        <v>692</v>
      </c>
      <c r="B649" t="s">
        <v>40</v>
      </c>
      <c r="C649" t="s">
        <v>684</v>
      </c>
      <c r="D649" t="s">
        <v>42</v>
      </c>
      <c r="E649" t="s">
        <v>43</v>
      </c>
      <c r="F649" t="s">
        <v>44</v>
      </c>
      <c r="G649" t="s">
        <v>45</v>
      </c>
      <c r="AH649" t="s">
        <v>42</v>
      </c>
      <c r="AI649" t="str">
        <f>"66298804472212"</f>
        <v>66298804472212</v>
      </c>
      <c r="AJ649" t="str">
        <f>"400646"</f>
        <v>400646</v>
      </c>
      <c r="AK649" t="s">
        <v>46</v>
      </c>
      <c r="AL649" s="1">
        <v>44816.546805555554</v>
      </c>
      <c r="AM649" t="s">
        <v>44</v>
      </c>
    </row>
    <row r="650" spans="1:39" x14ac:dyDescent="0.2">
      <c r="A650" t="s">
        <v>693</v>
      </c>
      <c r="B650" t="s">
        <v>40</v>
      </c>
      <c r="C650" t="s">
        <v>684</v>
      </c>
      <c r="D650" t="s">
        <v>42</v>
      </c>
      <c r="E650" t="s">
        <v>43</v>
      </c>
      <c r="F650" t="s">
        <v>44</v>
      </c>
      <c r="G650" t="s">
        <v>45</v>
      </c>
      <c r="AH650" t="s">
        <v>42</v>
      </c>
      <c r="AI650" t="str">
        <f>"BC021"</f>
        <v>BC021</v>
      </c>
      <c r="AJ650" t="str">
        <f>"BC021"</f>
        <v>BC021</v>
      </c>
      <c r="AK650" t="s">
        <v>46</v>
      </c>
      <c r="AL650" s="1">
        <v>45086.813067129631</v>
      </c>
      <c r="AM650" t="s">
        <v>44</v>
      </c>
    </row>
    <row r="651" spans="1:39" x14ac:dyDescent="0.2">
      <c r="A651" t="s">
        <v>694</v>
      </c>
      <c r="B651" t="s">
        <v>40</v>
      </c>
      <c r="C651" t="s">
        <v>684</v>
      </c>
      <c r="D651" t="s">
        <v>42</v>
      </c>
      <c r="E651" t="s">
        <v>43</v>
      </c>
      <c r="F651" t="s">
        <v>44</v>
      </c>
      <c r="G651" t="s">
        <v>45</v>
      </c>
      <c r="AH651" t="s">
        <v>42</v>
      </c>
      <c r="AI651" t="str">
        <f>"BC015"</f>
        <v>BC015</v>
      </c>
      <c r="AJ651" t="str">
        <f>"BC015"</f>
        <v>BC015</v>
      </c>
      <c r="AK651" t="s">
        <v>46</v>
      </c>
      <c r="AL651" s="1">
        <v>44816.546793981484</v>
      </c>
      <c r="AM651" t="s">
        <v>44</v>
      </c>
    </row>
    <row r="652" spans="1:39" x14ac:dyDescent="0.2">
      <c r="A652" t="s">
        <v>695</v>
      </c>
      <c r="B652" t="s">
        <v>40</v>
      </c>
      <c r="C652" t="s">
        <v>684</v>
      </c>
      <c r="D652" t="s">
        <v>42</v>
      </c>
      <c r="E652" t="s">
        <v>43</v>
      </c>
      <c r="F652" t="s">
        <v>44</v>
      </c>
      <c r="G652" t="s">
        <v>45</v>
      </c>
      <c r="AH652" t="s">
        <v>42</v>
      </c>
      <c r="AI652" t="str">
        <f>"66298804512010"</f>
        <v>66298804512010</v>
      </c>
      <c r="AJ652" t="str">
        <f>"400631"</f>
        <v>400631</v>
      </c>
      <c r="AK652" t="s">
        <v>46</v>
      </c>
      <c r="AL652" s="1">
        <v>44816.546817129631</v>
      </c>
      <c r="AM652" t="s">
        <v>44</v>
      </c>
    </row>
    <row r="653" spans="1:39" x14ac:dyDescent="0.2">
      <c r="A653" t="s">
        <v>696</v>
      </c>
      <c r="B653" t="s">
        <v>40</v>
      </c>
      <c r="C653" t="s">
        <v>684</v>
      </c>
      <c r="D653" t="s">
        <v>42</v>
      </c>
      <c r="E653" t="s">
        <v>43</v>
      </c>
      <c r="F653" t="s">
        <v>44</v>
      </c>
      <c r="G653" t="s">
        <v>45</v>
      </c>
      <c r="AH653" t="s">
        <v>42</v>
      </c>
      <c r="AI653" t="str">
        <f>"66298804551896"</f>
        <v>66298804551896</v>
      </c>
      <c r="AJ653" t="str">
        <f>"17910-KSP-900HB"</f>
        <v>17910-KSP-900HB</v>
      </c>
      <c r="AK653" t="s">
        <v>46</v>
      </c>
      <c r="AL653" s="1">
        <v>44816.546817129631</v>
      </c>
      <c r="AM653" t="s">
        <v>44</v>
      </c>
    </row>
    <row r="654" spans="1:39" x14ac:dyDescent="0.2">
      <c r="A654" t="s">
        <v>697</v>
      </c>
      <c r="B654" t="s">
        <v>40</v>
      </c>
      <c r="C654" t="s">
        <v>684</v>
      </c>
      <c r="D654" t="s">
        <v>42</v>
      </c>
      <c r="E654" t="s">
        <v>43</v>
      </c>
      <c r="F654" t="s">
        <v>44</v>
      </c>
      <c r="G654" t="s">
        <v>45</v>
      </c>
      <c r="AH654" t="s">
        <v>42</v>
      </c>
      <c r="AI654" t="str">
        <f>"66298804592175"</f>
        <v>66298804592175</v>
      </c>
      <c r="AJ654" t="str">
        <f>"80338"</f>
        <v>80338</v>
      </c>
      <c r="AK654" t="s">
        <v>46</v>
      </c>
      <c r="AL654" s="1">
        <v>44816.546817129631</v>
      </c>
      <c r="AM654" t="s">
        <v>44</v>
      </c>
    </row>
    <row r="655" spans="1:39" x14ac:dyDescent="0.2">
      <c r="A655" t="s">
        <v>698</v>
      </c>
      <c r="B655" t="s">
        <v>40</v>
      </c>
      <c r="C655" t="s">
        <v>684</v>
      </c>
      <c r="D655" t="s">
        <v>42</v>
      </c>
      <c r="E655" t="s">
        <v>43</v>
      </c>
      <c r="F655" t="s">
        <v>44</v>
      </c>
      <c r="G655" t="s">
        <v>45</v>
      </c>
      <c r="AH655" t="s">
        <v>42</v>
      </c>
      <c r="AI655" t="str">
        <f>"66298804639819"</f>
        <v>66298804639819</v>
      </c>
      <c r="AJ655" t="str">
        <f>"171210510-0001JP"</f>
        <v>171210510-0001JP</v>
      </c>
      <c r="AK655" t="s">
        <v>46</v>
      </c>
      <c r="AL655" s="1">
        <v>44816.5468287037</v>
      </c>
      <c r="AM655" t="s">
        <v>44</v>
      </c>
    </row>
    <row r="656" spans="1:39" x14ac:dyDescent="0.2">
      <c r="A656" t="s">
        <v>698</v>
      </c>
      <c r="B656" t="s">
        <v>40</v>
      </c>
      <c r="C656" t="s">
        <v>684</v>
      </c>
      <c r="D656" t="s">
        <v>42</v>
      </c>
      <c r="E656" t="s">
        <v>43</v>
      </c>
      <c r="F656" t="s">
        <v>44</v>
      </c>
      <c r="G656" t="s">
        <v>45</v>
      </c>
      <c r="AH656" t="s">
        <v>42</v>
      </c>
      <c r="AI656" t="str">
        <f>"66298804648191"</f>
        <v>66298804648191</v>
      </c>
      <c r="AJ656" t="str">
        <f>"7701023704380"</f>
        <v>7701023704380</v>
      </c>
      <c r="AK656" t="s">
        <v>46</v>
      </c>
      <c r="AL656" s="1">
        <v>44816.5468287037</v>
      </c>
      <c r="AM656" t="s">
        <v>44</v>
      </c>
    </row>
    <row r="657" spans="1:39" x14ac:dyDescent="0.2">
      <c r="A657" t="s">
        <v>698</v>
      </c>
      <c r="B657" t="s">
        <v>40</v>
      </c>
      <c r="C657" t="s">
        <v>684</v>
      </c>
      <c r="D657" t="s">
        <v>42</v>
      </c>
      <c r="E657" t="s">
        <v>43</v>
      </c>
      <c r="F657" t="s">
        <v>44</v>
      </c>
      <c r="G657" t="s">
        <v>45</v>
      </c>
      <c r="AH657" t="s">
        <v>42</v>
      </c>
      <c r="AI657" t="str">
        <f>"66298804654264"</f>
        <v>66298804654264</v>
      </c>
      <c r="AJ657" t="str">
        <f>"BC001"</f>
        <v>BC001</v>
      </c>
      <c r="AK657" t="s">
        <v>46</v>
      </c>
      <c r="AL657" s="1">
        <v>44816.5468287037</v>
      </c>
      <c r="AM657" t="s">
        <v>44</v>
      </c>
    </row>
    <row r="658" spans="1:39" x14ac:dyDescent="0.2">
      <c r="A658" t="s">
        <v>699</v>
      </c>
      <c r="B658" t="s">
        <v>40</v>
      </c>
      <c r="C658" t="s">
        <v>684</v>
      </c>
      <c r="D658" t="s">
        <v>42</v>
      </c>
      <c r="E658" t="s">
        <v>43</v>
      </c>
      <c r="F658" t="s">
        <v>44</v>
      </c>
      <c r="G658" t="s">
        <v>45</v>
      </c>
      <c r="AH658" t="s">
        <v>42</v>
      </c>
      <c r="AI658" t="str">
        <f>"66298804725437"</f>
        <v>66298804725437</v>
      </c>
      <c r="AJ658" t="str">
        <f>"80341"</f>
        <v>80341</v>
      </c>
      <c r="AK658" t="s">
        <v>46</v>
      </c>
      <c r="AL658" s="1">
        <v>44816.546840277777</v>
      </c>
      <c r="AM658" t="s">
        <v>44</v>
      </c>
    </row>
    <row r="659" spans="1:39" x14ac:dyDescent="0.2">
      <c r="A659" t="s">
        <v>700</v>
      </c>
      <c r="B659" t="s">
        <v>40</v>
      </c>
      <c r="C659" t="s">
        <v>684</v>
      </c>
      <c r="D659" t="s">
        <v>42</v>
      </c>
      <c r="E659" t="s">
        <v>43</v>
      </c>
      <c r="F659" t="s">
        <v>44</v>
      </c>
      <c r="G659" t="s">
        <v>45</v>
      </c>
      <c r="AH659" t="s">
        <v>42</v>
      </c>
      <c r="AI659" t="str">
        <f>"66298804774501"</f>
        <v>66298804774501</v>
      </c>
      <c r="AJ659" t="str">
        <f>"17910-KRF-B41HB"</f>
        <v>17910-KRF-B41HB</v>
      </c>
      <c r="AK659" t="s">
        <v>46</v>
      </c>
      <c r="AL659" s="1">
        <v>44816.546840277777</v>
      </c>
      <c r="AM659" t="s">
        <v>44</v>
      </c>
    </row>
    <row r="660" spans="1:39" x14ac:dyDescent="0.2">
      <c r="A660" t="s">
        <v>700</v>
      </c>
      <c r="B660" t="s">
        <v>40</v>
      </c>
      <c r="C660" t="s">
        <v>684</v>
      </c>
      <c r="D660" t="s">
        <v>42</v>
      </c>
      <c r="E660" t="s">
        <v>43</v>
      </c>
      <c r="F660" t="s">
        <v>44</v>
      </c>
      <c r="G660" t="s">
        <v>45</v>
      </c>
      <c r="AH660" t="s">
        <v>42</v>
      </c>
      <c r="AI660" t="str">
        <f>"66298804781728"</f>
        <v>66298804781728</v>
      </c>
      <c r="AJ660" t="str">
        <f>"82064"</f>
        <v>82064</v>
      </c>
      <c r="AK660" t="s">
        <v>46</v>
      </c>
      <c r="AL660" s="1">
        <v>44816.546840277777</v>
      </c>
      <c r="AM660" t="s">
        <v>44</v>
      </c>
    </row>
    <row r="661" spans="1:39" x14ac:dyDescent="0.2">
      <c r="A661" t="s">
        <v>701</v>
      </c>
      <c r="B661" t="s">
        <v>40</v>
      </c>
      <c r="C661" t="s">
        <v>684</v>
      </c>
      <c r="D661" t="s">
        <v>42</v>
      </c>
      <c r="E661" t="s">
        <v>43</v>
      </c>
      <c r="F661" t="s">
        <v>44</v>
      </c>
      <c r="G661" t="s">
        <v>45</v>
      </c>
      <c r="AH661" t="s">
        <v>42</v>
      </c>
      <c r="AI661" t="str">
        <f>"66298804837282"</f>
        <v>66298804837282</v>
      </c>
      <c r="AJ661" t="str">
        <f>"400246"</f>
        <v>400246</v>
      </c>
      <c r="AK661" t="s">
        <v>46</v>
      </c>
      <c r="AL661" s="1">
        <v>44816.546851851854</v>
      </c>
      <c r="AM661" t="s">
        <v>44</v>
      </c>
    </row>
    <row r="662" spans="1:39" x14ac:dyDescent="0.2">
      <c r="A662" t="s">
        <v>702</v>
      </c>
      <c r="B662" t="s">
        <v>40</v>
      </c>
      <c r="C662" t="s">
        <v>684</v>
      </c>
      <c r="D662" t="s">
        <v>42</v>
      </c>
      <c r="E662" t="s">
        <v>43</v>
      </c>
      <c r="F662" t="s">
        <v>44</v>
      </c>
      <c r="G662" t="s">
        <v>45</v>
      </c>
      <c r="AH662" t="s">
        <v>42</v>
      </c>
      <c r="AI662" t="str">
        <f>"66298804874553"</f>
        <v>66298804874553</v>
      </c>
      <c r="AJ662" t="str">
        <f>"58300-44AA0"</f>
        <v>58300-44AA0</v>
      </c>
      <c r="AK662" t="s">
        <v>46</v>
      </c>
      <c r="AL662" s="1">
        <v>44816.546851851854</v>
      </c>
      <c r="AM662" t="s">
        <v>44</v>
      </c>
    </row>
    <row r="663" spans="1:39" x14ac:dyDescent="0.2">
      <c r="A663" t="s">
        <v>703</v>
      </c>
      <c r="B663" t="s">
        <v>40</v>
      </c>
      <c r="C663" t="s">
        <v>684</v>
      </c>
      <c r="D663" t="s">
        <v>42</v>
      </c>
      <c r="E663" t="s">
        <v>43</v>
      </c>
      <c r="F663" t="s">
        <v>44</v>
      </c>
      <c r="G663" t="s">
        <v>45</v>
      </c>
      <c r="AH663" t="s">
        <v>42</v>
      </c>
      <c r="AI663" t="str">
        <f>"66298804915148"</f>
        <v>66298804915148</v>
      </c>
      <c r="AJ663" t="str">
        <f>"BC016"</f>
        <v>BC016</v>
      </c>
      <c r="AK663" t="s">
        <v>46</v>
      </c>
      <c r="AL663" s="1">
        <v>44816.546863425923</v>
      </c>
      <c r="AM663" t="s">
        <v>44</v>
      </c>
    </row>
    <row r="664" spans="1:39" x14ac:dyDescent="0.2">
      <c r="A664" t="s">
        <v>704</v>
      </c>
      <c r="B664" t="s">
        <v>40</v>
      </c>
      <c r="C664" t="s">
        <v>684</v>
      </c>
      <c r="D664" t="s">
        <v>42</v>
      </c>
      <c r="E664" t="s">
        <v>43</v>
      </c>
      <c r="F664" t="s">
        <v>44</v>
      </c>
      <c r="G664" t="s">
        <v>45</v>
      </c>
      <c r="AH664" t="s">
        <v>42</v>
      </c>
      <c r="AI664" t="str">
        <f>"66298805200494"</f>
        <v>66298805200494</v>
      </c>
      <c r="AJ664" t="str">
        <f>"3JO-23260-00HB"</f>
        <v>3JO-23260-00HB</v>
      </c>
      <c r="AK664" t="s">
        <v>46</v>
      </c>
      <c r="AL664" s="1">
        <v>44816.546898148146</v>
      </c>
      <c r="AM664" t="s">
        <v>44</v>
      </c>
    </row>
    <row r="665" spans="1:39" x14ac:dyDescent="0.2">
      <c r="A665" t="s">
        <v>705</v>
      </c>
      <c r="B665" t="s">
        <v>40</v>
      </c>
      <c r="C665" t="s">
        <v>684</v>
      </c>
      <c r="D665" t="s">
        <v>42</v>
      </c>
      <c r="E665" t="s">
        <v>43</v>
      </c>
      <c r="F665" t="s">
        <v>44</v>
      </c>
      <c r="G665" t="s">
        <v>45</v>
      </c>
      <c r="AH665" t="s">
        <v>42</v>
      </c>
      <c r="AI665" t="str">
        <f>"66298805240704"</f>
        <v>66298805240704</v>
      </c>
      <c r="AJ665" t="str">
        <f>"90102091000"</f>
        <v>90102091000</v>
      </c>
      <c r="AK665" t="s">
        <v>46</v>
      </c>
      <c r="AL665" s="1">
        <v>44816.546898148146</v>
      </c>
      <c r="AM665" t="s">
        <v>44</v>
      </c>
    </row>
    <row r="666" spans="1:39" x14ac:dyDescent="0.2">
      <c r="A666" t="s">
        <v>706</v>
      </c>
      <c r="B666" t="s">
        <v>40</v>
      </c>
      <c r="C666" t="s">
        <v>684</v>
      </c>
      <c r="D666" t="s">
        <v>42</v>
      </c>
      <c r="E666" t="s">
        <v>43</v>
      </c>
      <c r="F666" t="s">
        <v>44</v>
      </c>
      <c r="G666" t="s">
        <v>45</v>
      </c>
      <c r="AH666" t="s">
        <v>42</v>
      </c>
      <c r="AI666" t="str">
        <f>"66298805279694"</f>
        <v>66298805279694</v>
      </c>
      <c r="AJ666" t="str">
        <f>"82607"</f>
        <v>82607</v>
      </c>
      <c r="AK666" t="s">
        <v>46</v>
      </c>
      <c r="AL666" s="1">
        <v>44816.546898148146</v>
      </c>
      <c r="AM666" t="s">
        <v>44</v>
      </c>
    </row>
    <row r="667" spans="1:39" x14ac:dyDescent="0.2">
      <c r="A667" t="s">
        <v>707</v>
      </c>
      <c r="B667" t="s">
        <v>40</v>
      </c>
      <c r="C667" t="s">
        <v>684</v>
      </c>
      <c r="D667" t="s">
        <v>42</v>
      </c>
      <c r="E667" t="s">
        <v>43</v>
      </c>
      <c r="F667" t="s">
        <v>44</v>
      </c>
      <c r="G667" t="s">
        <v>45</v>
      </c>
      <c r="AH667" t="s">
        <v>42</v>
      </c>
      <c r="AI667" t="str">
        <f>"66298805319195"</f>
        <v>66298805319195</v>
      </c>
      <c r="AJ667" t="str">
        <f>"82067"</f>
        <v>82067</v>
      </c>
      <c r="AK667" t="s">
        <v>46</v>
      </c>
      <c r="AL667" s="1">
        <v>44816.546909722223</v>
      </c>
      <c r="AM667" t="s">
        <v>44</v>
      </c>
    </row>
    <row r="668" spans="1:39" x14ac:dyDescent="0.2">
      <c r="A668" t="s">
        <v>708</v>
      </c>
      <c r="B668" t="s">
        <v>40</v>
      </c>
      <c r="C668" t="s">
        <v>684</v>
      </c>
      <c r="D668" t="s">
        <v>42</v>
      </c>
      <c r="E668" t="s">
        <v>43</v>
      </c>
      <c r="F668" t="s">
        <v>44</v>
      </c>
      <c r="G668" t="s">
        <v>45</v>
      </c>
      <c r="AH668" t="s">
        <v>42</v>
      </c>
      <c r="AI668" t="str">
        <f>"BC019"</f>
        <v>BC019</v>
      </c>
      <c r="AJ668" t="str">
        <f>"BC019"</f>
        <v>BC019</v>
      </c>
      <c r="AK668" t="s">
        <v>46</v>
      </c>
      <c r="AL668" s="1">
        <v>45093.943356481483</v>
      </c>
      <c r="AM668" t="s">
        <v>44</v>
      </c>
    </row>
    <row r="669" spans="1:39" x14ac:dyDescent="0.2">
      <c r="A669" t="s">
        <v>709</v>
      </c>
      <c r="B669" t="s">
        <v>40</v>
      </c>
      <c r="C669" t="s">
        <v>684</v>
      </c>
      <c r="D669" t="s">
        <v>42</v>
      </c>
      <c r="E669" t="s">
        <v>43</v>
      </c>
      <c r="F669" t="s">
        <v>44</v>
      </c>
      <c r="G669" t="s">
        <v>45</v>
      </c>
      <c r="AH669" t="s">
        <v>42</v>
      </c>
      <c r="AI669" t="str">
        <f>"66298805359607"</f>
        <v>66298805359607</v>
      </c>
      <c r="AJ669" t="str">
        <f>"400632"</f>
        <v>400632</v>
      </c>
      <c r="AK669" t="s">
        <v>46</v>
      </c>
      <c r="AL669" s="1">
        <v>44816.546909722223</v>
      </c>
      <c r="AM669" t="s">
        <v>44</v>
      </c>
    </row>
    <row r="670" spans="1:39" x14ac:dyDescent="0.2">
      <c r="A670" t="s">
        <v>710</v>
      </c>
      <c r="B670" t="s">
        <v>40</v>
      </c>
      <c r="C670" t="s">
        <v>684</v>
      </c>
      <c r="D670" t="s">
        <v>42</v>
      </c>
      <c r="E670" t="s">
        <v>43</v>
      </c>
      <c r="F670" t="s">
        <v>44</v>
      </c>
      <c r="G670" t="s">
        <v>45</v>
      </c>
      <c r="AH670" t="s">
        <v>42</v>
      </c>
      <c r="AI670" t="str">
        <f>"66298805400042"</f>
        <v>66298805400042</v>
      </c>
      <c r="AJ670" t="str">
        <f>"400633"</f>
        <v>400633</v>
      </c>
      <c r="AK670" t="s">
        <v>46</v>
      </c>
      <c r="AL670" s="1">
        <v>44816.5469212963</v>
      </c>
      <c r="AM670" t="s">
        <v>44</v>
      </c>
    </row>
    <row r="671" spans="1:39" x14ac:dyDescent="0.2">
      <c r="A671" t="s">
        <v>711</v>
      </c>
      <c r="B671" t="s">
        <v>40</v>
      </c>
      <c r="C671" t="s">
        <v>684</v>
      </c>
      <c r="D671" t="s">
        <v>42</v>
      </c>
      <c r="E671" t="s">
        <v>43</v>
      </c>
      <c r="F671" t="s">
        <v>44</v>
      </c>
      <c r="G671" t="s">
        <v>45</v>
      </c>
      <c r="AH671" t="s">
        <v>42</v>
      </c>
      <c r="AI671" t="str">
        <f>"BC003"</f>
        <v>BC003</v>
      </c>
      <c r="AJ671" t="str">
        <f>"BC003"</f>
        <v>BC003</v>
      </c>
      <c r="AK671" t="s">
        <v>46</v>
      </c>
      <c r="AL671" s="1">
        <v>45086.813576388886</v>
      </c>
      <c r="AM671" t="s">
        <v>44</v>
      </c>
    </row>
    <row r="672" spans="1:39" x14ac:dyDescent="0.2">
      <c r="A672" t="s">
        <v>712</v>
      </c>
      <c r="B672" t="s">
        <v>40</v>
      </c>
      <c r="C672" t="s">
        <v>684</v>
      </c>
      <c r="D672" t="s">
        <v>42</v>
      </c>
      <c r="E672" t="s">
        <v>43</v>
      </c>
      <c r="F672" t="s">
        <v>44</v>
      </c>
      <c r="G672" t="s">
        <v>45</v>
      </c>
      <c r="AH672" t="s">
        <v>42</v>
      </c>
      <c r="AI672" t="str">
        <f>"66298805438150"</f>
        <v>66298805438150</v>
      </c>
      <c r="AJ672" t="str">
        <f>"21C-F6311-00HB"</f>
        <v>21C-F6311-00HB</v>
      </c>
      <c r="AK672" t="s">
        <v>46</v>
      </c>
      <c r="AL672" s="1">
        <v>44816.5469212963</v>
      </c>
      <c r="AM672" t="s">
        <v>44</v>
      </c>
    </row>
    <row r="673" spans="1:39" x14ac:dyDescent="0.2">
      <c r="A673" t="s">
        <v>712</v>
      </c>
      <c r="B673" t="s">
        <v>40</v>
      </c>
      <c r="C673" t="s">
        <v>684</v>
      </c>
      <c r="D673" t="s">
        <v>42</v>
      </c>
      <c r="E673" t="s">
        <v>43</v>
      </c>
      <c r="F673" t="s">
        <v>44</v>
      </c>
      <c r="G673" t="s">
        <v>45</v>
      </c>
      <c r="AH673" t="s">
        <v>42</v>
      </c>
      <c r="AI673" t="str">
        <f>"66298805477505"</f>
        <v>66298805477505</v>
      </c>
      <c r="AJ673" t="str">
        <f>"21C-F6311-00"</f>
        <v>21C-F6311-00</v>
      </c>
      <c r="AK673" t="s">
        <v>46</v>
      </c>
      <c r="AL673" s="1">
        <v>44816.5469212963</v>
      </c>
      <c r="AM673" t="s">
        <v>44</v>
      </c>
    </row>
    <row r="674" spans="1:39" x14ac:dyDescent="0.2">
      <c r="A674" t="s">
        <v>713</v>
      </c>
      <c r="B674" t="s">
        <v>40</v>
      </c>
      <c r="C674" t="s">
        <v>684</v>
      </c>
      <c r="D674" t="s">
        <v>42</v>
      </c>
      <c r="E674" t="s">
        <v>43</v>
      </c>
      <c r="F674" t="s">
        <v>44</v>
      </c>
      <c r="G674" t="s">
        <v>45</v>
      </c>
      <c r="AH674" t="s">
        <v>42</v>
      </c>
      <c r="AI674" t="str">
        <f>"66298805519587"</f>
        <v>66298805519587</v>
      </c>
      <c r="AJ674" t="str">
        <f>"400634"</f>
        <v>400634</v>
      </c>
      <c r="AK674" t="s">
        <v>46</v>
      </c>
      <c r="AL674" s="1">
        <v>44816.546932870369</v>
      </c>
      <c r="AM674" t="s">
        <v>44</v>
      </c>
    </row>
    <row r="675" spans="1:39" x14ac:dyDescent="0.2">
      <c r="A675" t="s">
        <v>714</v>
      </c>
      <c r="B675" t="s">
        <v>40</v>
      </c>
      <c r="C675" t="s">
        <v>684</v>
      </c>
      <c r="D675" t="s">
        <v>42</v>
      </c>
      <c r="E675" t="s">
        <v>43</v>
      </c>
      <c r="F675" t="s">
        <v>44</v>
      </c>
      <c r="G675" t="s">
        <v>45</v>
      </c>
      <c r="AH675" t="s">
        <v>42</v>
      </c>
      <c r="AI675" t="str">
        <f>"BC020"</f>
        <v>BC020</v>
      </c>
      <c r="AJ675" t="str">
        <f>"BC020"</f>
        <v>BC020</v>
      </c>
      <c r="AK675" t="s">
        <v>46</v>
      </c>
      <c r="AL675" s="1">
        <v>45086.822731481479</v>
      </c>
      <c r="AM675" t="s">
        <v>44</v>
      </c>
    </row>
    <row r="676" spans="1:39" x14ac:dyDescent="0.2">
      <c r="A676" t="s">
        <v>715</v>
      </c>
      <c r="B676" t="s">
        <v>40</v>
      </c>
      <c r="C676" t="s">
        <v>684</v>
      </c>
      <c r="D676" t="s">
        <v>42</v>
      </c>
      <c r="E676" t="s">
        <v>43</v>
      </c>
      <c r="F676" t="s">
        <v>44</v>
      </c>
      <c r="G676" t="s">
        <v>45</v>
      </c>
      <c r="AH676" t="s">
        <v>42</v>
      </c>
      <c r="AI676" t="str">
        <f>"66298805630405"</f>
        <v>66298805630405</v>
      </c>
      <c r="AJ676" t="str">
        <f>"400636"</f>
        <v>400636</v>
      </c>
      <c r="AK676" t="s">
        <v>46</v>
      </c>
      <c r="AL676" s="1">
        <v>44816.546944444446</v>
      </c>
      <c r="AM676" t="s">
        <v>44</v>
      </c>
    </row>
    <row r="677" spans="1:39" x14ac:dyDescent="0.2">
      <c r="A677" t="s">
        <v>716</v>
      </c>
      <c r="B677" t="s">
        <v>40</v>
      </c>
      <c r="C677" t="s">
        <v>684</v>
      </c>
      <c r="D677" t="s">
        <v>42</v>
      </c>
      <c r="E677" t="s">
        <v>43</v>
      </c>
      <c r="F677" t="s">
        <v>44</v>
      </c>
      <c r="G677" t="s">
        <v>45</v>
      </c>
      <c r="AH677" t="s">
        <v>42</v>
      </c>
      <c r="AI677" t="str">
        <f>"66298805676320"</f>
        <v>66298805676320</v>
      </c>
      <c r="AJ677" t="str">
        <f>"400635"</f>
        <v>400635</v>
      </c>
      <c r="AK677" t="s">
        <v>46</v>
      </c>
      <c r="AL677" s="1">
        <v>44816.546944444446</v>
      </c>
      <c r="AM677" t="s">
        <v>44</v>
      </c>
    </row>
    <row r="678" spans="1:39" x14ac:dyDescent="0.2">
      <c r="A678" t="s">
        <v>717</v>
      </c>
      <c r="B678" t="s">
        <v>40</v>
      </c>
      <c r="C678" t="s">
        <v>684</v>
      </c>
      <c r="D678" t="s">
        <v>42</v>
      </c>
      <c r="E678" t="s">
        <v>43</v>
      </c>
      <c r="F678" t="s">
        <v>44</v>
      </c>
      <c r="G678" t="s">
        <v>45</v>
      </c>
      <c r="H678" t="s">
        <v>718</v>
      </c>
      <c r="AH678" t="s">
        <v>42</v>
      </c>
      <c r="AI678" t="str">
        <f>"66298805571772"</f>
        <v>66298805571772</v>
      </c>
      <c r="AJ678" t="str">
        <f>"58300-053G0HB"</f>
        <v>58300-053G0HB</v>
      </c>
      <c r="AK678" t="s">
        <v>46</v>
      </c>
      <c r="AL678" s="1">
        <v>44816.546932870369</v>
      </c>
      <c r="AM678" t="s">
        <v>44</v>
      </c>
    </row>
    <row r="679" spans="1:39" x14ac:dyDescent="0.2">
      <c r="A679" t="s">
        <v>717</v>
      </c>
      <c r="B679" t="s">
        <v>40</v>
      </c>
      <c r="C679" t="s">
        <v>684</v>
      </c>
      <c r="D679" t="s">
        <v>42</v>
      </c>
      <c r="E679" t="s">
        <v>43</v>
      </c>
      <c r="F679" t="s">
        <v>44</v>
      </c>
      <c r="G679" t="s">
        <v>45</v>
      </c>
      <c r="H679">
        <v>82065</v>
      </c>
      <c r="AH679" t="s">
        <v>42</v>
      </c>
      <c r="AI679" t="str">
        <f>"66298805563428"</f>
        <v>66298805563428</v>
      </c>
      <c r="AJ679" t="str">
        <f>"82065"</f>
        <v>82065</v>
      </c>
      <c r="AK679" t="s">
        <v>46</v>
      </c>
      <c r="AL679" s="1">
        <v>44816.546932870369</v>
      </c>
      <c r="AM679" t="s">
        <v>44</v>
      </c>
    </row>
    <row r="680" spans="1:39" x14ac:dyDescent="0.2">
      <c r="A680" t="s">
        <v>719</v>
      </c>
      <c r="B680" t="s">
        <v>40</v>
      </c>
      <c r="C680" t="s">
        <v>684</v>
      </c>
      <c r="D680" t="s">
        <v>42</v>
      </c>
      <c r="E680" t="s">
        <v>43</v>
      </c>
      <c r="F680" t="s">
        <v>44</v>
      </c>
      <c r="G680" t="s">
        <v>45</v>
      </c>
      <c r="H680" t="s">
        <v>720</v>
      </c>
      <c r="AH680" t="s">
        <v>42</v>
      </c>
      <c r="AI680" t="str">
        <f>"66298805717325"</f>
        <v>66298805717325</v>
      </c>
      <c r="AJ680" t="str">
        <f>"58300-45F40JP"</f>
        <v>58300-45F40JP</v>
      </c>
      <c r="AK680" t="s">
        <v>46</v>
      </c>
      <c r="AL680" s="1">
        <v>44816.546956018516</v>
      </c>
      <c r="AM680" t="s">
        <v>44</v>
      </c>
    </row>
    <row r="681" spans="1:39" x14ac:dyDescent="0.2">
      <c r="A681" t="s">
        <v>719</v>
      </c>
      <c r="B681" t="s">
        <v>40</v>
      </c>
      <c r="C681" t="s">
        <v>684</v>
      </c>
      <c r="D681" t="s">
        <v>42</v>
      </c>
      <c r="E681" t="s">
        <v>43</v>
      </c>
      <c r="F681" t="s">
        <v>44</v>
      </c>
      <c r="G681" t="s">
        <v>45</v>
      </c>
      <c r="H681" t="s">
        <v>721</v>
      </c>
      <c r="AH681" t="s">
        <v>42</v>
      </c>
      <c r="AI681" t="str">
        <f>"66298805723326"</f>
        <v>66298805723326</v>
      </c>
      <c r="AJ681" t="str">
        <f>"BC005-A"</f>
        <v>BC005-A</v>
      </c>
      <c r="AK681" t="s">
        <v>46</v>
      </c>
      <c r="AL681" s="1">
        <v>44816.546956018516</v>
      </c>
      <c r="AM681" t="s">
        <v>44</v>
      </c>
    </row>
    <row r="682" spans="1:39" x14ac:dyDescent="0.2">
      <c r="A682" t="s">
        <v>722</v>
      </c>
      <c r="B682" t="s">
        <v>40</v>
      </c>
      <c r="C682" t="s">
        <v>684</v>
      </c>
      <c r="D682" t="s">
        <v>42</v>
      </c>
      <c r="E682" t="s">
        <v>43</v>
      </c>
      <c r="F682" t="s">
        <v>44</v>
      </c>
      <c r="G682" t="s">
        <v>45</v>
      </c>
      <c r="H682" t="s">
        <v>723</v>
      </c>
      <c r="AH682" t="s">
        <v>42</v>
      </c>
      <c r="AI682" t="str">
        <f>"66298805792568"</f>
        <v>66298805792568</v>
      </c>
      <c r="AJ682" t="str">
        <f>"58300-30H00JP"</f>
        <v>58300-30H00JP</v>
      </c>
      <c r="AK682" t="s">
        <v>46</v>
      </c>
      <c r="AL682" s="1">
        <v>44816.546956018516</v>
      </c>
      <c r="AM682" t="s">
        <v>44</v>
      </c>
    </row>
    <row r="683" spans="1:39" x14ac:dyDescent="0.2">
      <c r="A683" t="s">
        <v>722</v>
      </c>
      <c r="B683" t="s">
        <v>40</v>
      </c>
      <c r="C683" t="s">
        <v>684</v>
      </c>
      <c r="D683" t="s">
        <v>42</v>
      </c>
      <c r="E683" t="s">
        <v>43</v>
      </c>
      <c r="F683" t="s">
        <v>44</v>
      </c>
      <c r="G683" t="s">
        <v>45</v>
      </c>
      <c r="H683" t="s">
        <v>724</v>
      </c>
      <c r="AH683" t="s">
        <v>42</v>
      </c>
      <c r="AI683" t="str">
        <f>"66298805784225"</f>
        <v>66298805784225</v>
      </c>
      <c r="AJ683" t="str">
        <f>"58300-30H10JP"</f>
        <v>58300-30H10JP</v>
      </c>
      <c r="AK683" t="s">
        <v>46</v>
      </c>
      <c r="AL683" s="1">
        <v>44816.546956018516</v>
      </c>
      <c r="AM683" t="s">
        <v>44</v>
      </c>
    </row>
    <row r="684" spans="1:39" x14ac:dyDescent="0.2">
      <c r="A684" t="s">
        <v>725</v>
      </c>
      <c r="B684" t="s">
        <v>40</v>
      </c>
      <c r="C684" t="s">
        <v>684</v>
      </c>
      <c r="D684" t="s">
        <v>42</v>
      </c>
      <c r="E684" t="s">
        <v>43</v>
      </c>
      <c r="F684" t="s">
        <v>44</v>
      </c>
      <c r="G684" t="s">
        <v>45</v>
      </c>
      <c r="AH684" t="s">
        <v>42</v>
      </c>
      <c r="AI684" t="str">
        <f>"66298805846115"</f>
        <v>66298805846115</v>
      </c>
      <c r="AJ684" t="str">
        <f>"1852"</f>
        <v>1852</v>
      </c>
      <c r="AK684" t="s">
        <v>46</v>
      </c>
      <c r="AL684" s="1">
        <v>44816.546967592592</v>
      </c>
      <c r="AM684" t="s">
        <v>44</v>
      </c>
    </row>
    <row r="685" spans="1:39" x14ac:dyDescent="0.2">
      <c r="A685" t="s">
        <v>726</v>
      </c>
      <c r="B685" t="s">
        <v>40</v>
      </c>
      <c r="C685" t="s">
        <v>684</v>
      </c>
      <c r="D685" t="s">
        <v>42</v>
      </c>
      <c r="E685" t="s">
        <v>43</v>
      </c>
      <c r="F685" t="s">
        <v>44</v>
      </c>
      <c r="G685" t="s">
        <v>45</v>
      </c>
      <c r="AH685" t="s">
        <v>42</v>
      </c>
      <c r="AI685" t="str">
        <f>"BC004"</f>
        <v>BC004</v>
      </c>
      <c r="AJ685" t="str">
        <f>"BC004"</f>
        <v>BC004</v>
      </c>
      <c r="AK685" t="s">
        <v>46</v>
      </c>
      <c r="AL685" s="1">
        <v>45086.826909722222</v>
      </c>
      <c r="AM685" t="s">
        <v>44</v>
      </c>
    </row>
    <row r="686" spans="1:39" x14ac:dyDescent="0.2">
      <c r="A686" t="s">
        <v>727</v>
      </c>
      <c r="B686" t="s">
        <v>40</v>
      </c>
      <c r="C686" t="s">
        <v>684</v>
      </c>
      <c r="D686" t="s">
        <v>42</v>
      </c>
      <c r="E686" t="s">
        <v>43</v>
      </c>
      <c r="F686" t="s">
        <v>44</v>
      </c>
      <c r="G686" t="s">
        <v>45</v>
      </c>
      <c r="AH686" t="s">
        <v>42</v>
      </c>
      <c r="AI686" t="str">
        <f>"66298805885591"</f>
        <v>66298805885591</v>
      </c>
      <c r="AJ686" t="str">
        <f>"BC011"</f>
        <v>BC011</v>
      </c>
      <c r="AK686" t="s">
        <v>46</v>
      </c>
      <c r="AL686" s="1">
        <v>44816.546967592592</v>
      </c>
      <c r="AM686" t="s">
        <v>44</v>
      </c>
    </row>
    <row r="687" spans="1:39" x14ac:dyDescent="0.2">
      <c r="A687" t="s">
        <v>728</v>
      </c>
      <c r="B687" t="s">
        <v>40</v>
      </c>
      <c r="C687" t="s">
        <v>684</v>
      </c>
      <c r="D687" t="s">
        <v>42</v>
      </c>
      <c r="E687" t="s">
        <v>43</v>
      </c>
      <c r="F687" t="s">
        <v>44</v>
      </c>
      <c r="G687" t="s">
        <v>45</v>
      </c>
      <c r="AH687" t="s">
        <v>42</v>
      </c>
      <c r="AI687" t="str">
        <f>"66298805925196"</f>
        <v>66298805925196</v>
      </c>
      <c r="AJ687" t="str">
        <f>"58300-25H11-000H"</f>
        <v>58300-25H11-000H</v>
      </c>
      <c r="AK687" t="s">
        <v>46</v>
      </c>
      <c r="AL687" s="1">
        <v>44816.546979166669</v>
      </c>
      <c r="AM687" t="s">
        <v>44</v>
      </c>
    </row>
    <row r="688" spans="1:39" x14ac:dyDescent="0.2">
      <c r="A688" t="s">
        <v>729</v>
      </c>
      <c r="B688" t="s">
        <v>40</v>
      </c>
      <c r="C688" t="s">
        <v>684</v>
      </c>
      <c r="D688" t="s">
        <v>42</v>
      </c>
      <c r="E688" t="s">
        <v>43</v>
      </c>
      <c r="F688" t="s">
        <v>44</v>
      </c>
      <c r="G688" t="s">
        <v>45</v>
      </c>
      <c r="AH688" t="s">
        <v>42</v>
      </c>
      <c r="AI688" t="str">
        <f>"66298805969539"</f>
        <v>66298805969539</v>
      </c>
      <c r="AJ688" t="str">
        <f>"58300-25H21-000H"</f>
        <v>58300-25H21-000H</v>
      </c>
      <c r="AK688" t="s">
        <v>46</v>
      </c>
      <c r="AL688" s="1">
        <v>44816.546979166669</v>
      </c>
      <c r="AM688" t="s">
        <v>44</v>
      </c>
    </row>
    <row r="689" spans="1:39" x14ac:dyDescent="0.2">
      <c r="A689" t="s">
        <v>730</v>
      </c>
      <c r="B689" t="s">
        <v>40</v>
      </c>
      <c r="C689" t="s">
        <v>684</v>
      </c>
      <c r="D689" t="s">
        <v>42</v>
      </c>
      <c r="E689" t="s">
        <v>43</v>
      </c>
      <c r="F689" t="s">
        <v>44</v>
      </c>
      <c r="G689" t="s">
        <v>45</v>
      </c>
      <c r="AH689" t="s">
        <v>42</v>
      </c>
      <c r="AI689" t="str">
        <f>"58300H2C000H000"</f>
        <v>58300H2C000H000</v>
      </c>
      <c r="AJ689" t="str">
        <f>"58300H2C000H000"</f>
        <v>58300H2C000H000</v>
      </c>
      <c r="AK689" t="s">
        <v>46</v>
      </c>
      <c r="AL689" s="1">
        <v>44875.76734953704</v>
      </c>
      <c r="AM689" t="s">
        <v>44</v>
      </c>
    </row>
    <row r="690" spans="1:39" x14ac:dyDescent="0.2">
      <c r="A690" t="s">
        <v>731</v>
      </c>
      <c r="B690" t="s">
        <v>40</v>
      </c>
      <c r="C690" t="s">
        <v>684</v>
      </c>
      <c r="D690" t="s">
        <v>42</v>
      </c>
      <c r="E690" t="s">
        <v>43</v>
      </c>
      <c r="F690" t="s">
        <v>44</v>
      </c>
      <c r="G690" t="s">
        <v>45</v>
      </c>
      <c r="AH690" t="s">
        <v>42</v>
      </c>
      <c r="AI690" t="str">
        <f>"66298806014110"</f>
        <v>66298806014110</v>
      </c>
      <c r="AJ690" t="str">
        <f>"54012-0266HB"</f>
        <v>54012-0266HB</v>
      </c>
      <c r="AK690" t="s">
        <v>46</v>
      </c>
      <c r="AL690" s="1">
        <v>44816.546990740739</v>
      </c>
      <c r="AM690" t="s">
        <v>44</v>
      </c>
    </row>
    <row r="691" spans="1:39" x14ac:dyDescent="0.2">
      <c r="A691" t="s">
        <v>732</v>
      </c>
      <c r="B691" t="s">
        <v>40</v>
      </c>
      <c r="C691" t="s">
        <v>684</v>
      </c>
      <c r="D691" t="s">
        <v>42</v>
      </c>
      <c r="E691" t="s">
        <v>43</v>
      </c>
      <c r="F691" t="s">
        <v>44</v>
      </c>
      <c r="G691" t="s">
        <v>45</v>
      </c>
      <c r="AH691" t="s">
        <v>42</v>
      </c>
      <c r="AI691" t="str">
        <f>"66298806051589"</f>
        <v>66298806051589</v>
      </c>
      <c r="AJ691" t="str">
        <f>"400247"</f>
        <v>400247</v>
      </c>
      <c r="AK691" t="s">
        <v>46</v>
      </c>
      <c r="AL691" s="1">
        <v>44816.546990740739</v>
      </c>
      <c r="AM691" t="s">
        <v>44</v>
      </c>
    </row>
    <row r="692" spans="1:39" x14ac:dyDescent="0.2">
      <c r="A692" t="s">
        <v>733</v>
      </c>
      <c r="B692" t="s">
        <v>40</v>
      </c>
      <c r="C692" t="s">
        <v>684</v>
      </c>
      <c r="D692" t="s">
        <v>42</v>
      </c>
      <c r="E692" t="s">
        <v>43</v>
      </c>
      <c r="F692" t="s">
        <v>44</v>
      </c>
      <c r="G692" t="s">
        <v>45</v>
      </c>
      <c r="AH692" t="s">
        <v>42</v>
      </c>
      <c r="AI692" t="str">
        <f>"66298806093927"</f>
        <v>66298806093927</v>
      </c>
      <c r="AJ692" t="str">
        <f>"B04-F6301-00HB"</f>
        <v>B04-F6301-00HB</v>
      </c>
      <c r="AK692" t="s">
        <v>46</v>
      </c>
      <c r="AL692" s="1">
        <v>44816.546990740739</v>
      </c>
      <c r="AM692" t="s">
        <v>44</v>
      </c>
    </row>
    <row r="693" spans="1:39" x14ac:dyDescent="0.2">
      <c r="A693" t="s">
        <v>734</v>
      </c>
      <c r="B693" t="s">
        <v>40</v>
      </c>
      <c r="C693" t="s">
        <v>684</v>
      </c>
      <c r="D693" t="s">
        <v>42</v>
      </c>
      <c r="E693" t="s">
        <v>43</v>
      </c>
      <c r="F693" t="s">
        <v>44</v>
      </c>
      <c r="G693" t="s">
        <v>45</v>
      </c>
      <c r="AH693" t="s">
        <v>42</v>
      </c>
      <c r="AI693" t="str">
        <f>"66298806132676"</f>
        <v>66298806132676</v>
      </c>
      <c r="AJ693" t="str">
        <f>"54012-0577HB"</f>
        <v>54012-0577HB</v>
      </c>
      <c r="AK693" t="s">
        <v>46</v>
      </c>
      <c r="AL693" s="1">
        <v>44816.547002314815</v>
      </c>
      <c r="AM693" t="s">
        <v>44</v>
      </c>
    </row>
    <row r="694" spans="1:39" x14ac:dyDescent="0.2">
      <c r="A694" t="s">
        <v>735</v>
      </c>
      <c r="B694" t="s">
        <v>40</v>
      </c>
      <c r="C694" t="s">
        <v>684</v>
      </c>
      <c r="D694" t="s">
        <v>42</v>
      </c>
      <c r="E694" t="s">
        <v>43</v>
      </c>
      <c r="F694" t="s">
        <v>44</v>
      </c>
      <c r="G694" t="s">
        <v>45</v>
      </c>
      <c r="AH694" t="s">
        <v>42</v>
      </c>
      <c r="AI694" t="str">
        <f>"66298806169986"</f>
        <v>66298806169986</v>
      </c>
      <c r="AJ694" t="str">
        <f>"17920-MCG-000BR"</f>
        <v>17920-MCG-000BR</v>
      </c>
      <c r="AK694" t="s">
        <v>46</v>
      </c>
      <c r="AL694" s="1">
        <v>44816.547002314815</v>
      </c>
      <c r="AM694" t="s">
        <v>44</v>
      </c>
    </row>
    <row r="695" spans="1:39" x14ac:dyDescent="0.2">
      <c r="A695" t="s">
        <v>736</v>
      </c>
      <c r="B695" t="s">
        <v>40</v>
      </c>
      <c r="C695" t="s">
        <v>684</v>
      </c>
      <c r="D695" t="s">
        <v>42</v>
      </c>
      <c r="E695" t="s">
        <v>43</v>
      </c>
      <c r="F695" t="s">
        <v>44</v>
      </c>
      <c r="G695" t="s">
        <v>45</v>
      </c>
      <c r="AH695" t="s">
        <v>42</v>
      </c>
      <c r="AI695" t="str">
        <f>"66298806212650"</f>
        <v>66298806212650</v>
      </c>
      <c r="AJ695" t="str">
        <f>"17910-KSM-900HB"</f>
        <v>17910-KSM-900HB</v>
      </c>
      <c r="AK695" t="s">
        <v>46</v>
      </c>
      <c r="AL695" s="1">
        <v>44816.547013888892</v>
      </c>
      <c r="AM695" t="s">
        <v>44</v>
      </c>
    </row>
    <row r="696" spans="1:39" x14ac:dyDescent="0.2">
      <c r="A696" t="s">
        <v>737</v>
      </c>
      <c r="B696" t="s">
        <v>40</v>
      </c>
      <c r="C696" t="s">
        <v>684</v>
      </c>
      <c r="D696" t="s">
        <v>42</v>
      </c>
      <c r="E696" t="s">
        <v>43</v>
      </c>
      <c r="F696" t="s">
        <v>44</v>
      </c>
      <c r="G696" t="s">
        <v>45</v>
      </c>
      <c r="AH696" t="s">
        <v>42</v>
      </c>
      <c r="AI696" t="str">
        <f>"BC012"</f>
        <v>BC012</v>
      </c>
      <c r="AJ696" t="str">
        <f>"BC012"</f>
        <v>BC012</v>
      </c>
      <c r="AK696" t="s">
        <v>46</v>
      </c>
      <c r="AL696" s="1">
        <v>45086.831712962965</v>
      </c>
      <c r="AM696" t="s">
        <v>44</v>
      </c>
    </row>
    <row r="697" spans="1:39" x14ac:dyDescent="0.2">
      <c r="A697" t="s">
        <v>738</v>
      </c>
      <c r="B697" t="s">
        <v>40</v>
      </c>
      <c r="C697" t="s">
        <v>684</v>
      </c>
      <c r="D697" t="s">
        <v>42</v>
      </c>
      <c r="E697" t="s">
        <v>43</v>
      </c>
      <c r="F697" t="s">
        <v>44</v>
      </c>
      <c r="G697" t="s">
        <v>45</v>
      </c>
      <c r="AH697" t="s">
        <v>42</v>
      </c>
      <c r="AI697" t="str">
        <f>"BC022"</f>
        <v>BC022</v>
      </c>
      <c r="AJ697" t="str">
        <f>"BC022"</f>
        <v>BC022</v>
      </c>
      <c r="AK697" t="s">
        <v>46</v>
      </c>
      <c r="AL697" s="1">
        <v>45086.828761574077</v>
      </c>
      <c r="AM697" t="s">
        <v>44</v>
      </c>
    </row>
    <row r="698" spans="1:39" x14ac:dyDescent="0.2">
      <c r="A698" t="s">
        <v>739</v>
      </c>
      <c r="B698" t="s">
        <v>40</v>
      </c>
      <c r="C698" t="s">
        <v>684</v>
      </c>
      <c r="D698" t="s">
        <v>42</v>
      </c>
      <c r="E698" t="s">
        <v>43</v>
      </c>
      <c r="F698" t="s">
        <v>44</v>
      </c>
      <c r="G698" t="s">
        <v>45</v>
      </c>
      <c r="AH698" t="s">
        <v>42</v>
      </c>
      <c r="AI698" t="str">
        <f>"66298806258314"</f>
        <v>66298806258314</v>
      </c>
      <c r="AJ698" t="str">
        <f>"JD-1612-00HB"</f>
        <v>JD-1612-00HB</v>
      </c>
      <c r="AK698" t="s">
        <v>46</v>
      </c>
      <c r="AL698" s="1">
        <v>44816.547013888892</v>
      </c>
      <c r="AM698" t="s">
        <v>44</v>
      </c>
    </row>
    <row r="699" spans="1:39" x14ac:dyDescent="0.2">
      <c r="A699" t="s">
        <v>740</v>
      </c>
      <c r="B699" t="s">
        <v>40</v>
      </c>
      <c r="C699" t="s">
        <v>684</v>
      </c>
      <c r="D699" t="s">
        <v>42</v>
      </c>
      <c r="E699" t="s">
        <v>43</v>
      </c>
      <c r="F699" t="s">
        <v>44</v>
      </c>
      <c r="G699" t="s">
        <v>45</v>
      </c>
      <c r="AH699" t="s">
        <v>42</v>
      </c>
      <c r="AI699" t="str">
        <f>"BC023"</f>
        <v>BC023</v>
      </c>
      <c r="AJ699" t="str">
        <f>"BC023"</f>
        <v>BC023</v>
      </c>
      <c r="AK699" t="s">
        <v>46</v>
      </c>
      <c r="AL699" s="1">
        <v>45086.833194444444</v>
      </c>
      <c r="AM699" t="s">
        <v>44</v>
      </c>
    </row>
    <row r="700" spans="1:39" x14ac:dyDescent="0.2">
      <c r="A700" t="s">
        <v>741</v>
      </c>
      <c r="B700" t="s">
        <v>40</v>
      </c>
      <c r="C700" t="s">
        <v>684</v>
      </c>
      <c r="D700" t="s">
        <v>42</v>
      </c>
      <c r="E700" t="s">
        <v>43</v>
      </c>
      <c r="F700" t="s">
        <v>44</v>
      </c>
      <c r="G700" t="s">
        <v>45</v>
      </c>
      <c r="AH700" t="s">
        <v>42</v>
      </c>
      <c r="AI700" t="str">
        <f>"66298806598148"</f>
        <v>66298806598148</v>
      </c>
      <c r="AJ700" t="str">
        <f>"400637"</f>
        <v>400637</v>
      </c>
      <c r="AK700" t="s">
        <v>46</v>
      </c>
      <c r="AL700" s="1">
        <v>44816.547048611108</v>
      </c>
      <c r="AM700" t="s">
        <v>44</v>
      </c>
    </row>
    <row r="701" spans="1:39" x14ac:dyDescent="0.2">
      <c r="A701" t="s">
        <v>742</v>
      </c>
      <c r="B701" t="s">
        <v>40</v>
      </c>
      <c r="C701" t="s">
        <v>684</v>
      </c>
      <c r="D701" t="s">
        <v>42</v>
      </c>
      <c r="E701" t="s">
        <v>43</v>
      </c>
      <c r="F701" t="s">
        <v>44</v>
      </c>
      <c r="G701" t="s">
        <v>45</v>
      </c>
      <c r="AH701" t="s">
        <v>42</v>
      </c>
      <c r="AI701" t="str">
        <f>"66298806300653"</f>
        <v>66298806300653</v>
      </c>
      <c r="AJ701" t="str">
        <f>"JF-1612-02"</f>
        <v>JF-1612-02</v>
      </c>
      <c r="AK701" t="s">
        <v>46</v>
      </c>
      <c r="AL701" s="1">
        <v>44816.547025462962</v>
      </c>
      <c r="AM701" t="s">
        <v>44</v>
      </c>
    </row>
    <row r="702" spans="1:39" x14ac:dyDescent="0.2">
      <c r="A702" t="s">
        <v>743</v>
      </c>
      <c r="B702" t="s">
        <v>40</v>
      </c>
      <c r="C702" t="s">
        <v>684</v>
      </c>
      <c r="D702" t="s">
        <v>42</v>
      </c>
      <c r="E702" t="s">
        <v>43</v>
      </c>
      <c r="F702" t="s">
        <v>44</v>
      </c>
      <c r="G702" t="s">
        <v>45</v>
      </c>
      <c r="AH702" t="s">
        <v>42</v>
      </c>
      <c r="AI702" t="str">
        <f>"66298806651594"</f>
        <v>66298806651594</v>
      </c>
      <c r="AJ702" t="str">
        <f>"DJ-1910-14HB"</f>
        <v>DJ-1910-14HB</v>
      </c>
      <c r="AK702" t="s">
        <v>46</v>
      </c>
      <c r="AL702" s="1">
        <v>44816.547060185185</v>
      </c>
      <c r="AM702" t="s">
        <v>44</v>
      </c>
    </row>
    <row r="703" spans="1:39" x14ac:dyDescent="0.2">
      <c r="A703" t="s">
        <v>743</v>
      </c>
      <c r="B703" t="s">
        <v>40</v>
      </c>
      <c r="C703" t="s">
        <v>684</v>
      </c>
      <c r="D703" t="s">
        <v>42</v>
      </c>
      <c r="E703" t="s">
        <v>43</v>
      </c>
      <c r="F703" t="s">
        <v>44</v>
      </c>
      <c r="G703" t="s">
        <v>45</v>
      </c>
      <c r="AH703" t="s">
        <v>42</v>
      </c>
      <c r="AI703" t="str">
        <f>"66298806659074"</f>
        <v>66298806659074</v>
      </c>
      <c r="AJ703" t="str">
        <f>"DJ-1910-08HB"</f>
        <v>DJ-1910-08HB</v>
      </c>
      <c r="AK703" t="s">
        <v>46</v>
      </c>
      <c r="AL703" s="1">
        <v>44816.547060185185</v>
      </c>
      <c r="AM703" t="s">
        <v>44</v>
      </c>
    </row>
    <row r="704" spans="1:39" x14ac:dyDescent="0.2">
      <c r="A704" t="s">
        <v>744</v>
      </c>
      <c r="B704" t="s">
        <v>40</v>
      </c>
      <c r="C704" t="s">
        <v>684</v>
      </c>
      <c r="D704" t="s">
        <v>42</v>
      </c>
      <c r="E704" t="s">
        <v>43</v>
      </c>
      <c r="F704" t="s">
        <v>44</v>
      </c>
      <c r="G704" t="s">
        <v>45</v>
      </c>
      <c r="AH704" t="s">
        <v>42</v>
      </c>
      <c r="AI704" t="str">
        <f>"66298806750793"</f>
        <v>66298806750793</v>
      </c>
      <c r="AJ704" t="str">
        <f>"400638"</f>
        <v>400638</v>
      </c>
      <c r="AK704" t="s">
        <v>46</v>
      </c>
      <c r="AL704" s="1">
        <v>44816.547071759262</v>
      </c>
      <c r="AM704" t="s">
        <v>44</v>
      </c>
    </row>
    <row r="705" spans="1:39" x14ac:dyDescent="0.2">
      <c r="A705" t="s">
        <v>745</v>
      </c>
      <c r="B705" t="s">
        <v>40</v>
      </c>
      <c r="C705" t="s">
        <v>684</v>
      </c>
      <c r="D705" t="s">
        <v>42</v>
      </c>
      <c r="E705" t="s">
        <v>43</v>
      </c>
      <c r="F705" t="s">
        <v>44</v>
      </c>
      <c r="G705" t="s">
        <v>45</v>
      </c>
      <c r="AH705" t="s">
        <v>42</v>
      </c>
      <c r="AI705" t="str">
        <f>"12992"</f>
        <v>12992</v>
      </c>
      <c r="AJ705" t="str">
        <f>"12992"</f>
        <v>12992</v>
      </c>
      <c r="AK705" t="s">
        <v>46</v>
      </c>
      <c r="AL705" s="1">
        <v>45069.895219907405</v>
      </c>
      <c r="AM705" t="s">
        <v>44</v>
      </c>
    </row>
    <row r="706" spans="1:39" x14ac:dyDescent="0.2">
      <c r="A706" t="s">
        <v>746</v>
      </c>
      <c r="B706" t="s">
        <v>40</v>
      </c>
      <c r="C706" t="s">
        <v>684</v>
      </c>
      <c r="D706" t="s">
        <v>42</v>
      </c>
      <c r="E706" t="s">
        <v>43</v>
      </c>
      <c r="F706" t="s">
        <v>44</v>
      </c>
      <c r="G706" t="s">
        <v>45</v>
      </c>
      <c r="AH706" t="s">
        <v>42</v>
      </c>
      <c r="AI706" t="str">
        <f>"66298806712867"</f>
        <v>66298806712867</v>
      </c>
      <c r="AJ706" t="str">
        <f>"JL-1612-01HB"</f>
        <v>JL-1612-01HB</v>
      </c>
      <c r="AK706" t="s">
        <v>46</v>
      </c>
      <c r="AL706" s="1">
        <v>44816.547071759262</v>
      </c>
      <c r="AM706" t="s">
        <v>44</v>
      </c>
    </row>
    <row r="707" spans="1:39" x14ac:dyDescent="0.2">
      <c r="A707" t="s">
        <v>747</v>
      </c>
      <c r="B707" t="s">
        <v>40</v>
      </c>
      <c r="C707" t="s">
        <v>684</v>
      </c>
      <c r="D707" t="s">
        <v>42</v>
      </c>
      <c r="E707" t="s">
        <v>43</v>
      </c>
      <c r="F707" t="s">
        <v>44</v>
      </c>
      <c r="G707" t="s">
        <v>45</v>
      </c>
      <c r="AH707" t="s">
        <v>42</v>
      </c>
      <c r="AI707" t="str">
        <f>"66298806791618"</f>
        <v>66298806791618</v>
      </c>
      <c r="AJ707" t="str">
        <f>"DJ-1910-61"</f>
        <v>DJ-1910-61</v>
      </c>
      <c r="AK707" t="s">
        <v>46</v>
      </c>
      <c r="AL707" s="1">
        <v>44816.547071759262</v>
      </c>
      <c r="AM707" t="s">
        <v>44</v>
      </c>
    </row>
    <row r="708" spans="1:39" x14ac:dyDescent="0.2">
      <c r="A708" t="s">
        <v>748</v>
      </c>
      <c r="B708" t="s">
        <v>40</v>
      </c>
      <c r="C708" t="s">
        <v>684</v>
      </c>
      <c r="D708" t="s">
        <v>42</v>
      </c>
      <c r="E708" t="s">
        <v>43</v>
      </c>
      <c r="F708" t="s">
        <v>44</v>
      </c>
      <c r="G708" t="s">
        <v>45</v>
      </c>
      <c r="AH708" t="s">
        <v>42</v>
      </c>
      <c r="AI708" t="str">
        <f>"66298806874168"</f>
        <v>66298806874168</v>
      </c>
      <c r="AJ708" t="str">
        <f>"400245"</f>
        <v>400245</v>
      </c>
      <c r="AK708" t="s">
        <v>46</v>
      </c>
      <c r="AL708" s="1">
        <v>44816.547083333331</v>
      </c>
      <c r="AM708" t="s">
        <v>44</v>
      </c>
    </row>
    <row r="709" spans="1:39" x14ac:dyDescent="0.2">
      <c r="A709" t="s">
        <v>749</v>
      </c>
      <c r="B709" t="s">
        <v>40</v>
      </c>
      <c r="C709" t="s">
        <v>684</v>
      </c>
      <c r="D709" t="s">
        <v>42</v>
      </c>
      <c r="E709" t="s">
        <v>43</v>
      </c>
      <c r="F709" t="s">
        <v>44</v>
      </c>
      <c r="G709" t="s">
        <v>45</v>
      </c>
      <c r="AH709" t="s">
        <v>42</v>
      </c>
      <c r="AI709" t="str">
        <f>"66298806836421"</f>
        <v>66298806836421</v>
      </c>
      <c r="AJ709" t="str">
        <f>"BC006"</f>
        <v>BC006</v>
      </c>
      <c r="AK709" t="s">
        <v>46</v>
      </c>
      <c r="AL709" s="1">
        <v>44816.547083333331</v>
      </c>
      <c r="AM709" t="s">
        <v>44</v>
      </c>
    </row>
    <row r="710" spans="1:39" x14ac:dyDescent="0.2">
      <c r="A710" t="s">
        <v>750</v>
      </c>
      <c r="B710" t="s">
        <v>40</v>
      </c>
      <c r="C710" t="s">
        <v>684</v>
      </c>
      <c r="D710" t="s">
        <v>42</v>
      </c>
      <c r="E710" t="s">
        <v>43</v>
      </c>
      <c r="F710" t="s">
        <v>44</v>
      </c>
      <c r="G710" t="s">
        <v>45</v>
      </c>
      <c r="AH710" t="s">
        <v>42</v>
      </c>
      <c r="AI710" t="str">
        <f>"66298806912688"</f>
        <v>66298806912688</v>
      </c>
      <c r="AJ710" t="str">
        <f>"80390"</f>
        <v>80390</v>
      </c>
      <c r="AK710" t="s">
        <v>46</v>
      </c>
      <c r="AL710" s="1">
        <v>44816.547094907408</v>
      </c>
      <c r="AM710" t="s">
        <v>44</v>
      </c>
    </row>
    <row r="711" spans="1:39" x14ac:dyDescent="0.2">
      <c r="A711" t="s">
        <v>751</v>
      </c>
      <c r="B711" t="s">
        <v>40</v>
      </c>
      <c r="C711" t="s">
        <v>684</v>
      </c>
      <c r="D711" t="s">
        <v>42</v>
      </c>
      <c r="E711" t="s">
        <v>43</v>
      </c>
      <c r="F711" t="s">
        <v>44</v>
      </c>
      <c r="G711" t="s">
        <v>45</v>
      </c>
      <c r="AH711" t="s">
        <v>42</v>
      </c>
      <c r="AI711" t="str">
        <f>"66298806953549"</f>
        <v>66298806953549</v>
      </c>
      <c r="AJ711" t="str">
        <f>"17910-LDF7-EL0HB"</f>
        <v>17910-LDF7-EL0HB</v>
      </c>
      <c r="AK711" t="s">
        <v>46</v>
      </c>
      <c r="AL711" s="1">
        <v>44816.547094907408</v>
      </c>
      <c r="AM711" t="s">
        <v>44</v>
      </c>
    </row>
    <row r="712" spans="1:39" x14ac:dyDescent="0.2">
      <c r="A712" t="s">
        <v>751</v>
      </c>
      <c r="B712" t="s">
        <v>40</v>
      </c>
      <c r="C712" t="s">
        <v>684</v>
      </c>
      <c r="D712" t="s">
        <v>42</v>
      </c>
      <c r="E712" t="s">
        <v>43</v>
      </c>
      <c r="F712" t="s">
        <v>44</v>
      </c>
      <c r="G712" t="s">
        <v>45</v>
      </c>
      <c r="AH712" t="s">
        <v>42</v>
      </c>
      <c r="AI712" t="str">
        <f>"BC002"</f>
        <v>BC002</v>
      </c>
      <c r="AJ712" t="str">
        <f>"BC002"</f>
        <v>BC002</v>
      </c>
      <c r="AK712" t="s">
        <v>46</v>
      </c>
      <c r="AL712" s="1">
        <v>45086.834166666667</v>
      </c>
      <c r="AM712" t="s">
        <v>44</v>
      </c>
    </row>
    <row r="713" spans="1:39" x14ac:dyDescent="0.2">
      <c r="A713" t="s">
        <v>752</v>
      </c>
      <c r="B713" t="s">
        <v>40</v>
      </c>
      <c r="C713" t="s">
        <v>684</v>
      </c>
      <c r="D713" t="s">
        <v>42</v>
      </c>
      <c r="E713" t="s">
        <v>43</v>
      </c>
      <c r="F713" t="s">
        <v>44</v>
      </c>
      <c r="G713" t="s">
        <v>45</v>
      </c>
      <c r="AH713" t="s">
        <v>42</v>
      </c>
      <c r="AI713" t="str">
        <f>"66298806998428"</f>
        <v>66298806998428</v>
      </c>
      <c r="AJ713" t="str">
        <f>"17910-KVC-900HB"</f>
        <v>17910-KVC-900HB</v>
      </c>
      <c r="AK713" t="s">
        <v>46</v>
      </c>
      <c r="AL713" s="1">
        <v>44816.547094907408</v>
      </c>
      <c r="AM713" t="s">
        <v>44</v>
      </c>
    </row>
    <row r="714" spans="1:39" x14ac:dyDescent="0.2">
      <c r="A714" t="s">
        <v>752</v>
      </c>
      <c r="B714" t="s">
        <v>40</v>
      </c>
      <c r="C714" t="s">
        <v>684</v>
      </c>
      <c r="D714" t="s">
        <v>42</v>
      </c>
      <c r="E714" t="s">
        <v>43</v>
      </c>
      <c r="F714" t="s">
        <v>44</v>
      </c>
      <c r="G714" t="s">
        <v>45</v>
      </c>
      <c r="AH714" t="s">
        <v>42</v>
      </c>
      <c r="AI714" t="str">
        <f>"66298807004878"</f>
        <v>66298807004878</v>
      </c>
      <c r="AJ714" t="str">
        <f>"82068"</f>
        <v>82068</v>
      </c>
      <c r="AK714" t="s">
        <v>46</v>
      </c>
      <c r="AL714" s="1">
        <v>44816.547106481485</v>
      </c>
      <c r="AM714" t="s">
        <v>44</v>
      </c>
    </row>
    <row r="715" spans="1:39" x14ac:dyDescent="0.2">
      <c r="A715" t="s">
        <v>753</v>
      </c>
      <c r="B715" t="s">
        <v>40</v>
      </c>
      <c r="C715" t="s">
        <v>684</v>
      </c>
      <c r="D715" t="s">
        <v>42</v>
      </c>
      <c r="E715" t="s">
        <v>43</v>
      </c>
      <c r="F715" t="s">
        <v>44</v>
      </c>
      <c r="G715" t="s">
        <v>45</v>
      </c>
      <c r="AH715" t="s">
        <v>42</v>
      </c>
      <c r="AI715" t="str">
        <f>"66298807059383"</f>
        <v>66298807059383</v>
      </c>
      <c r="AJ715" t="str">
        <f>"BC017"</f>
        <v>BC017</v>
      </c>
      <c r="AK715" t="s">
        <v>46</v>
      </c>
      <c r="AL715" s="1">
        <v>44816.547106481485</v>
      </c>
      <c r="AM715" t="s">
        <v>44</v>
      </c>
    </row>
    <row r="716" spans="1:39" x14ac:dyDescent="0.2">
      <c r="A716" t="s">
        <v>754</v>
      </c>
      <c r="B716" t="s">
        <v>40</v>
      </c>
      <c r="C716" t="s">
        <v>684</v>
      </c>
      <c r="D716" t="s">
        <v>42</v>
      </c>
      <c r="E716" t="s">
        <v>43</v>
      </c>
      <c r="F716" t="s">
        <v>44</v>
      </c>
      <c r="G716" t="s">
        <v>45</v>
      </c>
      <c r="AH716" t="s">
        <v>42</v>
      </c>
      <c r="AI716" t="str">
        <f>"66298807098845"</f>
        <v>66298807098845</v>
      </c>
      <c r="AJ716" t="str">
        <f>"BC013"</f>
        <v>BC013</v>
      </c>
      <c r="AK716" t="s">
        <v>46</v>
      </c>
      <c r="AL716" s="1">
        <v>44816.547106481485</v>
      </c>
      <c r="AM716" t="s">
        <v>44</v>
      </c>
    </row>
    <row r="717" spans="1:39" x14ac:dyDescent="0.2">
      <c r="A717" t="s">
        <v>755</v>
      </c>
      <c r="B717" t="s">
        <v>40</v>
      </c>
      <c r="C717" t="s">
        <v>684</v>
      </c>
      <c r="D717" t="s">
        <v>42</v>
      </c>
      <c r="E717" t="s">
        <v>43</v>
      </c>
      <c r="F717" t="s">
        <v>44</v>
      </c>
      <c r="G717" t="s">
        <v>45</v>
      </c>
      <c r="AH717" t="s">
        <v>42</v>
      </c>
      <c r="AI717" t="str">
        <f>"66298807141309"</f>
        <v>66298807141309</v>
      </c>
      <c r="AJ717" t="str">
        <f>"C004-ACE-UNIV"</f>
        <v>C004-ACE-UNIV</v>
      </c>
      <c r="AK717" t="s">
        <v>46</v>
      </c>
      <c r="AL717" s="1">
        <v>44816.547118055554</v>
      </c>
      <c r="AM717" t="s">
        <v>44</v>
      </c>
    </row>
    <row r="718" spans="1:39" x14ac:dyDescent="0.2">
      <c r="A718" t="s">
        <v>756</v>
      </c>
      <c r="B718" t="s">
        <v>40</v>
      </c>
      <c r="C718" t="s">
        <v>684</v>
      </c>
      <c r="D718" t="s">
        <v>42</v>
      </c>
      <c r="E718" t="s">
        <v>43</v>
      </c>
      <c r="F718" t="s">
        <v>44</v>
      </c>
      <c r="G718" t="s">
        <v>45</v>
      </c>
      <c r="AH718" t="s">
        <v>42</v>
      </c>
      <c r="AI718" t="str">
        <f>"66298807180718"</f>
        <v>66298807180718</v>
      </c>
      <c r="AJ718" t="str">
        <f>"58300-33GH1-000"</f>
        <v>58300-33GH1-000</v>
      </c>
      <c r="AK718" t="s">
        <v>46</v>
      </c>
      <c r="AL718" s="1">
        <v>44816.547118055554</v>
      </c>
      <c r="AM718" t="s">
        <v>44</v>
      </c>
    </row>
    <row r="719" spans="1:39" x14ac:dyDescent="0.2">
      <c r="A719" t="s">
        <v>757</v>
      </c>
      <c r="B719" t="s">
        <v>40</v>
      </c>
      <c r="C719" t="s">
        <v>684</v>
      </c>
      <c r="D719" t="s">
        <v>42</v>
      </c>
      <c r="E719" t="s">
        <v>43</v>
      </c>
      <c r="F719" t="s">
        <v>44</v>
      </c>
      <c r="G719" t="s">
        <v>45</v>
      </c>
      <c r="AH719" t="s">
        <v>42</v>
      </c>
      <c r="AI719" t="str">
        <f>"17910-K43-901HB"</f>
        <v>17910-K43-901HB</v>
      </c>
      <c r="AJ719" t="str">
        <f>"17910-K43-901HB"</f>
        <v>17910-K43-901HB</v>
      </c>
      <c r="AK719" t="s">
        <v>46</v>
      </c>
      <c r="AL719" s="1">
        <v>44900.838923611111</v>
      </c>
      <c r="AM719" t="s">
        <v>44</v>
      </c>
    </row>
    <row r="720" spans="1:39" x14ac:dyDescent="0.2">
      <c r="A720" t="s">
        <v>758</v>
      </c>
      <c r="B720" t="s">
        <v>40</v>
      </c>
      <c r="C720" t="s">
        <v>684</v>
      </c>
      <c r="D720" t="s">
        <v>42</v>
      </c>
      <c r="E720" t="s">
        <v>43</v>
      </c>
      <c r="F720" t="s">
        <v>44</v>
      </c>
      <c r="G720" t="s">
        <v>45</v>
      </c>
      <c r="AH720" t="s">
        <v>42</v>
      </c>
      <c r="AI720" t="str">
        <f>"66298807225504"</f>
        <v>66298807225504</v>
      </c>
      <c r="AJ720" t="str">
        <f>"400640"</f>
        <v>400640</v>
      </c>
      <c r="AK720" t="s">
        <v>46</v>
      </c>
      <c r="AL720" s="1">
        <v>44816.547129629631</v>
      </c>
      <c r="AM720" t="s">
        <v>44</v>
      </c>
    </row>
    <row r="721" spans="1:39" x14ac:dyDescent="0.2">
      <c r="A721" t="s">
        <v>759</v>
      </c>
      <c r="B721" t="s">
        <v>40</v>
      </c>
      <c r="C721" t="s">
        <v>684</v>
      </c>
      <c r="D721" t="s">
        <v>42</v>
      </c>
      <c r="E721" t="s">
        <v>43</v>
      </c>
      <c r="F721" t="s">
        <v>44</v>
      </c>
      <c r="G721" t="s">
        <v>45</v>
      </c>
      <c r="AH721" t="s">
        <v>42</v>
      </c>
      <c r="AI721" t="str">
        <f>"66298807310700"</f>
        <v>66298807310700</v>
      </c>
      <c r="AJ721" t="str">
        <f>"400641"</f>
        <v>400641</v>
      </c>
      <c r="AK721" t="s">
        <v>46</v>
      </c>
      <c r="AL721" s="1">
        <v>44816.5471412037</v>
      </c>
      <c r="AM721" t="s">
        <v>44</v>
      </c>
    </row>
    <row r="722" spans="1:39" x14ac:dyDescent="0.2">
      <c r="A722" t="s">
        <v>760</v>
      </c>
      <c r="B722" t="s">
        <v>40</v>
      </c>
      <c r="C722" t="s">
        <v>684</v>
      </c>
      <c r="D722" t="s">
        <v>42</v>
      </c>
      <c r="E722" t="s">
        <v>43</v>
      </c>
      <c r="F722" t="s">
        <v>44</v>
      </c>
      <c r="G722" t="s">
        <v>45</v>
      </c>
      <c r="AH722" t="s">
        <v>42</v>
      </c>
      <c r="AI722" t="str">
        <f>"66298807267611"</f>
        <v>66298807267611</v>
      </c>
      <c r="AJ722" t="str">
        <f>"17910-KRH-A00HB"</f>
        <v>17910-KRH-A00HB</v>
      </c>
      <c r="AK722" t="s">
        <v>46</v>
      </c>
      <c r="AL722" s="1">
        <v>44816.547129629631</v>
      </c>
      <c r="AM722" t="s">
        <v>44</v>
      </c>
    </row>
    <row r="723" spans="1:39" x14ac:dyDescent="0.2">
      <c r="A723" t="s">
        <v>760</v>
      </c>
      <c r="B723" t="s">
        <v>40</v>
      </c>
      <c r="C723" t="s">
        <v>684</v>
      </c>
      <c r="D723" t="s">
        <v>42</v>
      </c>
      <c r="E723" t="s">
        <v>43</v>
      </c>
      <c r="F723" t="s">
        <v>44</v>
      </c>
      <c r="G723" t="s">
        <v>45</v>
      </c>
      <c r="AH723" t="s">
        <v>42</v>
      </c>
      <c r="AI723" t="str">
        <f>"BC026"</f>
        <v>BC026</v>
      </c>
      <c r="AJ723" t="str">
        <f>"BC026"</f>
        <v>BC026</v>
      </c>
      <c r="AK723" t="s">
        <v>46</v>
      </c>
      <c r="AL723" s="1">
        <v>45086.836875000001</v>
      </c>
      <c r="AM723" t="s">
        <v>44</v>
      </c>
    </row>
    <row r="724" spans="1:39" x14ac:dyDescent="0.2">
      <c r="A724" t="s">
        <v>761</v>
      </c>
      <c r="B724" t="s">
        <v>40</v>
      </c>
      <c r="C724" t="s">
        <v>684</v>
      </c>
      <c r="D724" t="s">
        <v>42</v>
      </c>
      <c r="E724" t="s">
        <v>43</v>
      </c>
      <c r="F724" t="s">
        <v>44</v>
      </c>
      <c r="G724" t="s">
        <v>45</v>
      </c>
      <c r="AH724" t="s">
        <v>42</v>
      </c>
      <c r="AI724" t="str">
        <f>"66298807352477"</f>
        <v>66298807352477</v>
      </c>
      <c r="AJ724" t="str">
        <f>"400644"</f>
        <v>400644</v>
      </c>
      <c r="AK724" t="s">
        <v>46</v>
      </c>
      <c r="AL724" s="1">
        <v>44816.5471412037</v>
      </c>
      <c r="AM724" t="s">
        <v>44</v>
      </c>
    </row>
    <row r="725" spans="1:39" x14ac:dyDescent="0.2">
      <c r="A725" t="s">
        <v>762</v>
      </c>
      <c r="B725" t="s">
        <v>40</v>
      </c>
      <c r="C725" t="s">
        <v>684</v>
      </c>
      <c r="D725" t="s">
        <v>42</v>
      </c>
      <c r="E725" t="s">
        <v>43</v>
      </c>
      <c r="F725" t="s">
        <v>44</v>
      </c>
      <c r="G725" t="s">
        <v>45</v>
      </c>
      <c r="AH725" t="s">
        <v>42</v>
      </c>
      <c r="AI725" t="str">
        <f>"66298807435652"</f>
        <v>66298807435652</v>
      </c>
      <c r="AJ725" t="str">
        <f>"400642"</f>
        <v>400642</v>
      </c>
      <c r="AK725" t="s">
        <v>46</v>
      </c>
      <c r="AL725" s="1">
        <v>44816.547152777777</v>
      </c>
      <c r="AM725" t="s">
        <v>44</v>
      </c>
    </row>
    <row r="726" spans="1:39" x14ac:dyDescent="0.2">
      <c r="A726" t="s">
        <v>763</v>
      </c>
      <c r="B726" t="s">
        <v>40</v>
      </c>
      <c r="C726" t="s">
        <v>684</v>
      </c>
      <c r="D726" t="s">
        <v>42</v>
      </c>
      <c r="E726" t="s">
        <v>43</v>
      </c>
      <c r="F726" t="s">
        <v>44</v>
      </c>
      <c r="G726" t="s">
        <v>45</v>
      </c>
      <c r="AH726" t="s">
        <v>42</v>
      </c>
      <c r="AI726" t="str">
        <f>"66298807393953"</f>
        <v>66298807393953</v>
      </c>
      <c r="AJ726" t="str">
        <f>"17910-KPE-900HB"</f>
        <v>17910-KPE-900HB</v>
      </c>
      <c r="AK726" t="s">
        <v>46</v>
      </c>
      <c r="AL726" s="1">
        <v>44816.5471412037</v>
      </c>
      <c r="AM726" t="s">
        <v>44</v>
      </c>
    </row>
    <row r="727" spans="1:39" x14ac:dyDescent="0.2">
      <c r="A727" t="s">
        <v>764</v>
      </c>
      <c r="B727" t="s">
        <v>40</v>
      </c>
      <c r="C727" t="s">
        <v>684</v>
      </c>
      <c r="D727" t="s">
        <v>42</v>
      </c>
      <c r="E727" t="s">
        <v>43</v>
      </c>
      <c r="F727" t="s">
        <v>44</v>
      </c>
      <c r="G727" t="s">
        <v>45</v>
      </c>
      <c r="AH727" t="s">
        <v>42</v>
      </c>
      <c r="AI727" t="str">
        <f>"66298807553427"</f>
        <v>66298807553427</v>
      </c>
      <c r="AJ727" t="str">
        <f>"400643"</f>
        <v>400643</v>
      </c>
      <c r="AK727" t="s">
        <v>46</v>
      </c>
      <c r="AL727" s="1">
        <v>44816.547164351854</v>
      </c>
      <c r="AM727" t="s">
        <v>44</v>
      </c>
    </row>
    <row r="728" spans="1:39" x14ac:dyDescent="0.2">
      <c r="A728" t="s">
        <v>765</v>
      </c>
      <c r="B728" t="s">
        <v>40</v>
      </c>
      <c r="C728" t="s">
        <v>684</v>
      </c>
      <c r="D728" t="s">
        <v>42</v>
      </c>
      <c r="E728" t="s">
        <v>43</v>
      </c>
      <c r="F728" t="s">
        <v>44</v>
      </c>
      <c r="G728" t="s">
        <v>45</v>
      </c>
      <c r="AH728" t="s">
        <v>42</v>
      </c>
      <c r="AI728" t="str">
        <f>"66298807473034"</f>
        <v>66298807473034</v>
      </c>
      <c r="AJ728" t="str">
        <f>"000153"</f>
        <v>000153</v>
      </c>
      <c r="AK728" t="s">
        <v>46</v>
      </c>
      <c r="AL728" s="1">
        <v>44816.547152777777</v>
      </c>
      <c r="AM728" t="s">
        <v>44</v>
      </c>
    </row>
    <row r="729" spans="1:39" x14ac:dyDescent="0.2">
      <c r="A729" t="s">
        <v>765</v>
      </c>
      <c r="B729" t="s">
        <v>40</v>
      </c>
      <c r="C729" t="s">
        <v>684</v>
      </c>
      <c r="D729" t="s">
        <v>42</v>
      </c>
      <c r="E729" t="s">
        <v>43</v>
      </c>
      <c r="F729" t="s">
        <v>44</v>
      </c>
      <c r="G729" t="s">
        <v>45</v>
      </c>
      <c r="AH729" t="s">
        <v>42</v>
      </c>
      <c r="AI729" t="str">
        <f>"66298807514345"</f>
        <v>66298807514345</v>
      </c>
      <c r="AJ729" t="str">
        <f>"17920-KPE-900HB"</f>
        <v>17920-KPE-900HB</v>
      </c>
      <c r="AK729" t="s">
        <v>46</v>
      </c>
      <c r="AL729" s="1">
        <v>44816.547164351854</v>
      </c>
      <c r="AM729" t="s">
        <v>44</v>
      </c>
    </row>
    <row r="730" spans="1:39" x14ac:dyDescent="0.2">
      <c r="A730" t="s">
        <v>766</v>
      </c>
      <c r="B730" t="s">
        <v>40</v>
      </c>
      <c r="C730" t="s">
        <v>684</v>
      </c>
      <c r="D730" t="s">
        <v>42</v>
      </c>
      <c r="E730" t="s">
        <v>43</v>
      </c>
      <c r="F730" t="s">
        <v>44</v>
      </c>
      <c r="G730" t="s">
        <v>45</v>
      </c>
      <c r="AH730" t="s">
        <v>42</v>
      </c>
      <c r="AI730" t="str">
        <f>"66298807590262"</f>
        <v>66298807590262</v>
      </c>
      <c r="AJ730" t="str">
        <f>"8958-A"</f>
        <v>8958-A</v>
      </c>
      <c r="AK730" t="s">
        <v>46</v>
      </c>
      <c r="AL730" s="1">
        <v>44816.547164351854</v>
      </c>
      <c r="AM730" t="s">
        <v>44</v>
      </c>
    </row>
    <row r="731" spans="1:39" x14ac:dyDescent="0.2">
      <c r="A731" t="s">
        <v>767</v>
      </c>
      <c r="B731" t="s">
        <v>40</v>
      </c>
      <c r="C731" t="s">
        <v>684</v>
      </c>
      <c r="D731" t="s">
        <v>42</v>
      </c>
      <c r="E731" t="s">
        <v>43</v>
      </c>
      <c r="F731" t="s">
        <v>44</v>
      </c>
      <c r="G731" t="s">
        <v>45</v>
      </c>
      <c r="AH731" t="s">
        <v>42</v>
      </c>
      <c r="AI731" t="str">
        <f>"66298807627062"</f>
        <v>66298807627062</v>
      </c>
      <c r="AJ731" t="str">
        <f>"8958-B"</f>
        <v>8958-B</v>
      </c>
      <c r="AK731" t="s">
        <v>46</v>
      </c>
      <c r="AL731" s="1">
        <v>44816.547175925924</v>
      </c>
      <c r="AM731" t="s">
        <v>44</v>
      </c>
    </row>
    <row r="732" spans="1:39" x14ac:dyDescent="0.2">
      <c r="A732" t="s">
        <v>768</v>
      </c>
      <c r="B732" t="s">
        <v>40</v>
      </c>
      <c r="C732" t="s">
        <v>684</v>
      </c>
      <c r="D732" t="s">
        <v>42</v>
      </c>
      <c r="E732" t="s">
        <v>43</v>
      </c>
      <c r="F732" t="s">
        <v>44</v>
      </c>
      <c r="G732" t="s">
        <v>45</v>
      </c>
      <c r="AH732" t="s">
        <v>42</v>
      </c>
      <c r="AI732" t="str">
        <f>"17910-KWT-700HB"</f>
        <v>17910-KWT-700HB</v>
      </c>
      <c r="AJ732" t="str">
        <f>"17910-KWT-700HB"</f>
        <v>17910-KWT-700HB</v>
      </c>
      <c r="AK732" t="s">
        <v>46</v>
      </c>
      <c r="AL732" s="1">
        <v>44905.566307870373</v>
      </c>
      <c r="AM732" t="s">
        <v>44</v>
      </c>
    </row>
    <row r="733" spans="1:39" x14ac:dyDescent="0.2">
      <c r="A733" t="s">
        <v>769</v>
      </c>
      <c r="B733" t="s">
        <v>40</v>
      </c>
      <c r="C733" t="s">
        <v>684</v>
      </c>
      <c r="D733" t="s">
        <v>42</v>
      </c>
      <c r="E733" t="s">
        <v>43</v>
      </c>
      <c r="F733" t="s">
        <v>44</v>
      </c>
      <c r="G733" t="s">
        <v>45</v>
      </c>
      <c r="AH733" t="s">
        <v>42</v>
      </c>
      <c r="AI733" t="str">
        <f>"66298807670572"</f>
        <v>66298807670572</v>
      </c>
      <c r="AJ733" t="str">
        <f>"80342"</f>
        <v>80342</v>
      </c>
      <c r="AK733" t="s">
        <v>46</v>
      </c>
      <c r="AL733" s="1">
        <v>44816.547175925924</v>
      </c>
      <c r="AM733" t="s">
        <v>44</v>
      </c>
    </row>
    <row r="734" spans="1:39" x14ac:dyDescent="0.2">
      <c r="A734" t="s">
        <v>770</v>
      </c>
      <c r="B734" t="s">
        <v>40</v>
      </c>
      <c r="C734" t="s">
        <v>684</v>
      </c>
      <c r="D734" t="s">
        <v>42</v>
      </c>
      <c r="E734" t="s">
        <v>43</v>
      </c>
      <c r="F734" t="s">
        <v>44</v>
      </c>
      <c r="G734" t="s">
        <v>45</v>
      </c>
      <c r="AH734" t="s">
        <v>42</v>
      </c>
      <c r="AI734" t="str">
        <f>"66298807717522"</f>
        <v>66298807717522</v>
      </c>
      <c r="AJ734" t="str">
        <f>"80343"</f>
        <v>80343</v>
      </c>
      <c r="AK734" t="s">
        <v>46</v>
      </c>
      <c r="AL734" s="1">
        <v>44816.5471875</v>
      </c>
      <c r="AM734" t="s">
        <v>44</v>
      </c>
    </row>
    <row r="735" spans="1:39" x14ac:dyDescent="0.2">
      <c r="A735" t="s">
        <v>770</v>
      </c>
      <c r="B735" t="s">
        <v>40</v>
      </c>
      <c r="C735" t="s">
        <v>684</v>
      </c>
      <c r="D735" t="s">
        <v>42</v>
      </c>
      <c r="E735" t="s">
        <v>43</v>
      </c>
      <c r="F735" t="s">
        <v>44</v>
      </c>
      <c r="G735" t="s">
        <v>45</v>
      </c>
      <c r="AH735" t="s">
        <v>42</v>
      </c>
      <c r="AI735" t="str">
        <f>"66298807723005"</f>
        <v>66298807723005</v>
      </c>
      <c r="AJ735" t="str">
        <f>"5HH-F6311-01HB"</f>
        <v>5HH-F6311-01HB</v>
      </c>
      <c r="AK735" t="s">
        <v>46</v>
      </c>
      <c r="AL735" s="1">
        <v>44816.5471875</v>
      </c>
      <c r="AM735" t="s">
        <v>44</v>
      </c>
    </row>
    <row r="736" spans="1:39" x14ac:dyDescent="0.2">
      <c r="A736" t="s">
        <v>770</v>
      </c>
      <c r="B736" t="s">
        <v>40</v>
      </c>
      <c r="C736" t="s">
        <v>684</v>
      </c>
      <c r="D736" t="s">
        <v>42</v>
      </c>
      <c r="E736" t="s">
        <v>43</v>
      </c>
      <c r="F736" t="s">
        <v>44</v>
      </c>
      <c r="G736" t="s">
        <v>45</v>
      </c>
      <c r="AH736" t="s">
        <v>42</v>
      </c>
      <c r="AI736" t="str">
        <f>"66298807728745"</f>
        <v>66298807728745</v>
      </c>
      <c r="AJ736" t="str">
        <f>"4P2-F6311-01HB"</f>
        <v>4P2-F6311-01HB</v>
      </c>
      <c r="AK736" t="s">
        <v>46</v>
      </c>
      <c r="AL736" s="1">
        <v>44816.5471875</v>
      </c>
      <c r="AM736" t="s">
        <v>44</v>
      </c>
    </row>
    <row r="737" spans="1:39" x14ac:dyDescent="0.2">
      <c r="A737" t="s">
        <v>771</v>
      </c>
      <c r="B737" t="s">
        <v>40</v>
      </c>
      <c r="C737" t="s">
        <v>684</v>
      </c>
      <c r="D737" t="s">
        <v>42</v>
      </c>
      <c r="E737" t="s">
        <v>43</v>
      </c>
      <c r="F737" t="s">
        <v>44</v>
      </c>
      <c r="G737" t="s">
        <v>45</v>
      </c>
      <c r="AH737" t="s">
        <v>42</v>
      </c>
      <c r="AI737" t="str">
        <f>"BC009"</f>
        <v>BC009</v>
      </c>
      <c r="AJ737" t="str">
        <f>"BC009"</f>
        <v>BC009</v>
      </c>
      <c r="AK737" t="s">
        <v>46</v>
      </c>
      <c r="AL737" s="1">
        <v>45086.845381944448</v>
      </c>
      <c r="AM737" t="s">
        <v>44</v>
      </c>
    </row>
    <row r="738" spans="1:39" x14ac:dyDescent="0.2">
      <c r="A738" t="s">
        <v>772</v>
      </c>
      <c r="B738" t="s">
        <v>40</v>
      </c>
      <c r="C738" t="s">
        <v>684</v>
      </c>
      <c r="D738" t="s">
        <v>42</v>
      </c>
      <c r="E738" t="s">
        <v>43</v>
      </c>
      <c r="F738" t="s">
        <v>44</v>
      </c>
      <c r="G738" t="s">
        <v>45</v>
      </c>
      <c r="AH738" t="s">
        <v>42</v>
      </c>
      <c r="AI738" t="str">
        <f>"66298807796275"</f>
        <v>66298807796275</v>
      </c>
      <c r="AJ738" t="str">
        <f>"5KA-F6311-00"</f>
        <v>5KA-F6311-00</v>
      </c>
      <c r="AK738" t="s">
        <v>46</v>
      </c>
      <c r="AL738" s="1">
        <v>44816.5471875</v>
      </c>
      <c r="AM738" t="s">
        <v>44</v>
      </c>
    </row>
    <row r="739" spans="1:39" x14ac:dyDescent="0.2">
      <c r="A739" t="s">
        <v>773</v>
      </c>
      <c r="B739" t="s">
        <v>40</v>
      </c>
      <c r="C739" t="s">
        <v>684</v>
      </c>
      <c r="D739" t="s">
        <v>42</v>
      </c>
      <c r="E739" t="s">
        <v>43</v>
      </c>
      <c r="F739" t="s">
        <v>44</v>
      </c>
      <c r="G739" t="s">
        <v>45</v>
      </c>
      <c r="AH739" t="s">
        <v>42</v>
      </c>
      <c r="AI739" t="str">
        <f>"66298807838780"</f>
        <v>66298807838780</v>
      </c>
      <c r="AJ739" t="str">
        <f>"24P-F6311-00HB"</f>
        <v>24P-F6311-00HB</v>
      </c>
      <c r="AK739" t="s">
        <v>46</v>
      </c>
      <c r="AL739" s="1">
        <v>44816.547199074077</v>
      </c>
      <c r="AM739" t="s">
        <v>44</v>
      </c>
    </row>
    <row r="740" spans="1:39" x14ac:dyDescent="0.2">
      <c r="A740" t="s">
        <v>774</v>
      </c>
      <c r="B740" t="s">
        <v>40</v>
      </c>
      <c r="C740" t="s">
        <v>684</v>
      </c>
      <c r="D740" t="s">
        <v>42</v>
      </c>
      <c r="E740" t="s">
        <v>43</v>
      </c>
      <c r="F740" t="s">
        <v>44</v>
      </c>
      <c r="G740" t="s">
        <v>45</v>
      </c>
      <c r="AH740" t="s">
        <v>42</v>
      </c>
      <c r="AI740" t="str">
        <f>"66298807881362"</f>
        <v>66298807881362</v>
      </c>
      <c r="AJ740" t="str">
        <f>"24P-F6312-01HB"</f>
        <v>24P-F6312-01HB</v>
      </c>
      <c r="AK740" t="s">
        <v>46</v>
      </c>
      <c r="AL740" s="1">
        <v>44816.547199074077</v>
      </c>
      <c r="AM740" t="s">
        <v>44</v>
      </c>
    </row>
    <row r="741" spans="1:39" x14ac:dyDescent="0.2">
      <c r="A741" t="s">
        <v>775</v>
      </c>
      <c r="B741" t="s">
        <v>40</v>
      </c>
      <c r="C741" t="s">
        <v>684</v>
      </c>
      <c r="D741" t="s">
        <v>42</v>
      </c>
      <c r="E741" t="s">
        <v>43</v>
      </c>
      <c r="F741" t="s">
        <v>44</v>
      </c>
      <c r="G741" t="s">
        <v>45</v>
      </c>
      <c r="AH741" t="s">
        <v>42</v>
      </c>
      <c r="AI741" t="str">
        <f>"66298807922692"</f>
        <v>66298807922692</v>
      </c>
      <c r="AJ741" t="str">
        <f>"1CK-F6311-00"</f>
        <v>1CK-F6311-00</v>
      </c>
      <c r="AK741" t="s">
        <v>46</v>
      </c>
      <c r="AL741" s="1">
        <v>44816.547210648147</v>
      </c>
      <c r="AM741" t="s">
        <v>44</v>
      </c>
    </row>
    <row r="742" spans="1:39" x14ac:dyDescent="0.2">
      <c r="A742" t="s">
        <v>776</v>
      </c>
      <c r="B742" t="s">
        <v>40</v>
      </c>
      <c r="C742" t="s">
        <v>684</v>
      </c>
      <c r="D742" t="s">
        <v>42</v>
      </c>
      <c r="E742" t="s">
        <v>43</v>
      </c>
      <c r="F742" t="s">
        <v>44</v>
      </c>
      <c r="G742" t="s">
        <v>45</v>
      </c>
      <c r="AH742" t="s">
        <v>42</v>
      </c>
      <c r="AI742" t="str">
        <f>"66298807960846"</f>
        <v>66298807960846</v>
      </c>
      <c r="AJ742" t="str">
        <f>"1CK-F6312-00"</f>
        <v>1CK-F6312-00</v>
      </c>
      <c r="AK742" t="s">
        <v>46</v>
      </c>
      <c r="AL742" s="1">
        <v>44816.547210648147</v>
      </c>
      <c r="AM742" t="s">
        <v>44</v>
      </c>
    </row>
    <row r="743" spans="1:39" x14ac:dyDescent="0.2">
      <c r="A743" t="s">
        <v>777</v>
      </c>
      <c r="B743" t="s">
        <v>40</v>
      </c>
      <c r="C743" t="s">
        <v>684</v>
      </c>
      <c r="D743" t="s">
        <v>42</v>
      </c>
      <c r="E743" t="s">
        <v>43</v>
      </c>
      <c r="F743" t="s">
        <v>44</v>
      </c>
      <c r="G743" t="s">
        <v>45</v>
      </c>
      <c r="AH743" t="s">
        <v>42</v>
      </c>
      <c r="AI743" t="str">
        <f>"66298808005641"</f>
        <v>66298808005641</v>
      </c>
      <c r="AJ743" t="str">
        <f>"17950-KSP-900HB"</f>
        <v>17950-KSP-900HB</v>
      </c>
      <c r="AK743" t="s">
        <v>46</v>
      </c>
      <c r="AL743" s="1">
        <v>44816.547222222223</v>
      </c>
      <c r="AM743" t="s">
        <v>44</v>
      </c>
    </row>
    <row r="744" spans="1:39" x14ac:dyDescent="0.2">
      <c r="A744" t="s">
        <v>778</v>
      </c>
      <c r="B744" t="s">
        <v>40</v>
      </c>
      <c r="C744" t="s">
        <v>684</v>
      </c>
      <c r="D744" t="s">
        <v>42</v>
      </c>
      <c r="E744" t="s">
        <v>43</v>
      </c>
      <c r="F744" t="s">
        <v>44</v>
      </c>
      <c r="G744" t="s">
        <v>45</v>
      </c>
      <c r="AH744" t="s">
        <v>42</v>
      </c>
      <c r="AI744" t="str">
        <f>"58410-45F00"</f>
        <v>58410-45F00</v>
      </c>
      <c r="AJ744" t="str">
        <f>"58410-45F00"</f>
        <v>58410-45F00</v>
      </c>
      <c r="AK744" t="s">
        <v>46</v>
      </c>
      <c r="AL744" s="1">
        <v>44816.547222222223</v>
      </c>
      <c r="AM744" t="s">
        <v>44</v>
      </c>
    </row>
    <row r="745" spans="1:39" x14ac:dyDescent="0.2">
      <c r="A745" t="s">
        <v>779</v>
      </c>
      <c r="B745" t="s">
        <v>40</v>
      </c>
      <c r="C745" t="s">
        <v>684</v>
      </c>
      <c r="D745" t="s">
        <v>42</v>
      </c>
      <c r="E745" t="s">
        <v>43</v>
      </c>
      <c r="F745" t="s">
        <v>44</v>
      </c>
      <c r="G745" t="s">
        <v>45</v>
      </c>
      <c r="AH745" t="s">
        <v>42</v>
      </c>
      <c r="AI745" t="str">
        <f>"21C-F6331-01HB"</f>
        <v>21C-F6331-01HB</v>
      </c>
      <c r="AJ745" t="str">
        <f>"21C-F6331-01HB"</f>
        <v>21C-F6331-01HB</v>
      </c>
      <c r="AK745" t="s">
        <v>46</v>
      </c>
      <c r="AL745" s="1">
        <v>45086.851574074077</v>
      </c>
      <c r="AM745" t="s">
        <v>44</v>
      </c>
    </row>
    <row r="746" spans="1:39" x14ac:dyDescent="0.2">
      <c r="A746" t="s">
        <v>780</v>
      </c>
      <c r="B746" t="s">
        <v>40</v>
      </c>
      <c r="C746" t="s">
        <v>684</v>
      </c>
      <c r="D746" t="s">
        <v>42</v>
      </c>
      <c r="E746" t="s">
        <v>43</v>
      </c>
      <c r="F746" t="s">
        <v>44</v>
      </c>
      <c r="G746" t="s">
        <v>45</v>
      </c>
      <c r="AH746" t="s">
        <v>42</v>
      </c>
      <c r="AI746" t="str">
        <f>"66298808091843"</f>
        <v>66298808091843</v>
      </c>
      <c r="AJ746" t="str">
        <f>"400590"</f>
        <v>400590</v>
      </c>
      <c r="AK746" t="s">
        <v>46</v>
      </c>
      <c r="AL746" s="1">
        <v>44816.547222222223</v>
      </c>
      <c r="AM746" t="s">
        <v>44</v>
      </c>
    </row>
    <row r="747" spans="1:39" x14ac:dyDescent="0.2">
      <c r="A747" t="s">
        <v>781</v>
      </c>
      <c r="B747" t="s">
        <v>40</v>
      </c>
      <c r="C747" t="s">
        <v>684</v>
      </c>
      <c r="D747" t="s">
        <v>42</v>
      </c>
      <c r="E747" t="s">
        <v>43</v>
      </c>
      <c r="F747" t="s">
        <v>44</v>
      </c>
      <c r="G747" t="s">
        <v>45</v>
      </c>
      <c r="AH747" t="s">
        <v>42</v>
      </c>
      <c r="AI747" t="str">
        <f>"66298808134864"</f>
        <v>66298808134864</v>
      </c>
      <c r="AJ747" t="str">
        <f>"B10030103"</f>
        <v>B10030103</v>
      </c>
      <c r="AK747" t="s">
        <v>46</v>
      </c>
      <c r="AL747" s="1">
        <v>44816.547233796293</v>
      </c>
      <c r="AM747" t="s">
        <v>44</v>
      </c>
    </row>
    <row r="748" spans="1:39" x14ac:dyDescent="0.2">
      <c r="A748" t="s">
        <v>782</v>
      </c>
      <c r="B748" t="s">
        <v>40</v>
      </c>
      <c r="C748" t="s">
        <v>684</v>
      </c>
      <c r="D748" t="s">
        <v>42</v>
      </c>
      <c r="E748" t="s">
        <v>43</v>
      </c>
      <c r="F748" t="s">
        <v>44</v>
      </c>
      <c r="G748" t="s">
        <v>45</v>
      </c>
      <c r="AH748" t="s">
        <v>42</v>
      </c>
      <c r="AI748" t="str">
        <f>"5YY-F6331-00HB"</f>
        <v>5YY-F6331-00HB</v>
      </c>
      <c r="AJ748" t="str">
        <f>"5YY-F6331-00HB"</f>
        <v>5YY-F6331-00HB</v>
      </c>
      <c r="AK748" t="s">
        <v>46</v>
      </c>
      <c r="AL748" s="1">
        <v>44816.547233796293</v>
      </c>
      <c r="AM748" t="s">
        <v>44</v>
      </c>
    </row>
    <row r="749" spans="1:39" x14ac:dyDescent="0.2">
      <c r="A749" t="s">
        <v>783</v>
      </c>
      <c r="B749" t="s">
        <v>40</v>
      </c>
      <c r="C749" t="s">
        <v>684</v>
      </c>
      <c r="D749" t="s">
        <v>42</v>
      </c>
      <c r="E749" t="s">
        <v>43</v>
      </c>
      <c r="F749" t="s">
        <v>44</v>
      </c>
      <c r="G749" t="s">
        <v>45</v>
      </c>
      <c r="AH749" t="s">
        <v>42</v>
      </c>
      <c r="AI749" t="str">
        <f>"49CC19"</f>
        <v>49CC19</v>
      </c>
      <c r="AJ749" t="str">
        <f>"49CC19"</f>
        <v>49CC19</v>
      </c>
      <c r="AK749" t="s">
        <v>46</v>
      </c>
      <c r="AL749" s="1">
        <v>45086.864259259259</v>
      </c>
      <c r="AM749" t="s">
        <v>44</v>
      </c>
    </row>
    <row r="750" spans="1:39" x14ac:dyDescent="0.2">
      <c r="A750" t="s">
        <v>784</v>
      </c>
      <c r="B750" t="s">
        <v>40</v>
      </c>
      <c r="C750" t="s">
        <v>684</v>
      </c>
      <c r="D750" t="s">
        <v>42</v>
      </c>
      <c r="E750" t="s">
        <v>43</v>
      </c>
      <c r="F750" t="s">
        <v>44</v>
      </c>
      <c r="G750" t="s">
        <v>45</v>
      </c>
      <c r="AH750" t="s">
        <v>42</v>
      </c>
      <c r="AI750" t="str">
        <f>"BL001"</f>
        <v>BL001</v>
      </c>
      <c r="AJ750" t="str">
        <f>"BL001"</f>
        <v>BL001</v>
      </c>
      <c r="AK750" t="s">
        <v>46</v>
      </c>
      <c r="AL750" s="1">
        <v>45086.869733796295</v>
      </c>
      <c r="AM750" t="s">
        <v>44</v>
      </c>
    </row>
    <row r="751" spans="1:39" x14ac:dyDescent="0.2">
      <c r="A751" t="s">
        <v>785</v>
      </c>
      <c r="B751" t="s">
        <v>40</v>
      </c>
      <c r="C751" t="s">
        <v>684</v>
      </c>
      <c r="D751" t="s">
        <v>42</v>
      </c>
      <c r="E751" t="s">
        <v>43</v>
      </c>
      <c r="F751" t="s">
        <v>44</v>
      </c>
      <c r="G751" t="s">
        <v>45</v>
      </c>
      <c r="AH751" t="s">
        <v>42</v>
      </c>
      <c r="AI751" t="str">
        <f>"80994"</f>
        <v>80994</v>
      </c>
      <c r="AJ751" t="str">
        <f>"80994"</f>
        <v>80994</v>
      </c>
      <c r="AK751" t="s">
        <v>46</v>
      </c>
      <c r="AL751" s="1">
        <v>45063.856516203705</v>
      </c>
      <c r="AM751" t="s">
        <v>44</v>
      </c>
    </row>
    <row r="752" spans="1:39" x14ac:dyDescent="0.2">
      <c r="A752" t="s">
        <v>786</v>
      </c>
      <c r="B752" t="s">
        <v>40</v>
      </c>
      <c r="C752" t="s">
        <v>684</v>
      </c>
      <c r="D752" t="s">
        <v>42</v>
      </c>
      <c r="E752" t="s">
        <v>43</v>
      </c>
      <c r="F752" t="s">
        <v>44</v>
      </c>
      <c r="G752" t="s">
        <v>45</v>
      </c>
      <c r="AH752" t="s">
        <v>42</v>
      </c>
      <c r="AI752" t="str">
        <f>"136"</f>
        <v>136</v>
      </c>
      <c r="AJ752" t="str">
        <f>"136"</f>
        <v>136</v>
      </c>
      <c r="AK752" t="s">
        <v>46</v>
      </c>
      <c r="AL752" s="1">
        <v>44935.670590277776</v>
      </c>
      <c r="AM752" t="s">
        <v>44</v>
      </c>
    </row>
    <row r="753" spans="1:39" x14ac:dyDescent="0.2">
      <c r="A753" t="s">
        <v>787</v>
      </c>
      <c r="B753" t="s">
        <v>40</v>
      </c>
      <c r="C753" t="s">
        <v>684</v>
      </c>
      <c r="D753" t="s">
        <v>42</v>
      </c>
      <c r="E753" t="s">
        <v>43</v>
      </c>
      <c r="F753" t="s">
        <v>44</v>
      </c>
      <c r="G753" t="s">
        <v>45</v>
      </c>
      <c r="AH753" t="s">
        <v>42</v>
      </c>
      <c r="AI753" t="str">
        <f>"BD008"</f>
        <v>BD008</v>
      </c>
      <c r="AJ753" t="str">
        <f>"BD008"</f>
        <v>BD008</v>
      </c>
      <c r="AK753" t="s">
        <v>46</v>
      </c>
      <c r="AL753" s="1">
        <v>45086.872442129628</v>
      </c>
      <c r="AM753" t="s">
        <v>44</v>
      </c>
    </row>
    <row r="754" spans="1:39" x14ac:dyDescent="0.2">
      <c r="A754" t="s">
        <v>788</v>
      </c>
      <c r="B754" t="s">
        <v>40</v>
      </c>
      <c r="C754" t="s">
        <v>684</v>
      </c>
      <c r="D754" t="s">
        <v>42</v>
      </c>
      <c r="E754" t="s">
        <v>43</v>
      </c>
      <c r="F754" t="s">
        <v>44</v>
      </c>
      <c r="G754" t="s">
        <v>45</v>
      </c>
      <c r="AH754" t="s">
        <v>42</v>
      </c>
      <c r="AI754" t="str">
        <f>"44830-KSP-900HB"</f>
        <v>44830-KSP-900HB</v>
      </c>
      <c r="AJ754" t="str">
        <f>"44830-KSP-900HB"</f>
        <v>44830-KSP-900HB</v>
      </c>
      <c r="AK754" t="s">
        <v>46</v>
      </c>
      <c r="AL754" s="1">
        <v>44816.54724537037</v>
      </c>
      <c r="AM754" t="s">
        <v>44</v>
      </c>
    </row>
    <row r="755" spans="1:39" x14ac:dyDescent="0.2">
      <c r="A755" t="s">
        <v>789</v>
      </c>
      <c r="B755" t="s">
        <v>40</v>
      </c>
      <c r="C755" t="s">
        <v>684</v>
      </c>
      <c r="D755" t="s">
        <v>42</v>
      </c>
      <c r="E755" t="s">
        <v>43</v>
      </c>
      <c r="F755" t="s">
        <v>44</v>
      </c>
      <c r="G755" t="s">
        <v>45</v>
      </c>
      <c r="AH755" t="s">
        <v>42</v>
      </c>
      <c r="AI755" t="str">
        <f>"66298808279880"</f>
        <v>66298808279880</v>
      </c>
      <c r="AJ755" t="str">
        <f>"000157"</f>
        <v>000157</v>
      </c>
      <c r="AK755" t="s">
        <v>46</v>
      </c>
      <c r="AL755" s="1">
        <v>44816.54724537037</v>
      </c>
      <c r="AM755" t="s">
        <v>44</v>
      </c>
    </row>
    <row r="756" spans="1:39" x14ac:dyDescent="0.2">
      <c r="A756" t="s">
        <v>790</v>
      </c>
      <c r="B756" t="s">
        <v>40</v>
      </c>
      <c r="C756" t="s">
        <v>684</v>
      </c>
      <c r="D756" t="s">
        <v>42</v>
      </c>
      <c r="E756" t="s">
        <v>43</v>
      </c>
      <c r="F756" t="s">
        <v>44</v>
      </c>
      <c r="G756" t="s">
        <v>45</v>
      </c>
      <c r="AH756" t="s">
        <v>42</v>
      </c>
      <c r="AI756" t="str">
        <f>"66298808324135"</f>
        <v>66298808324135</v>
      </c>
      <c r="AJ756" t="str">
        <f>"80354"</f>
        <v>80354</v>
      </c>
      <c r="AK756" t="s">
        <v>46</v>
      </c>
      <c r="AL756" s="1">
        <v>44816.547256944446</v>
      </c>
      <c r="AM756" t="s">
        <v>44</v>
      </c>
    </row>
    <row r="757" spans="1:39" x14ac:dyDescent="0.2">
      <c r="A757" t="s">
        <v>791</v>
      </c>
      <c r="B757" t="s">
        <v>40</v>
      </c>
      <c r="C757" t="s">
        <v>684</v>
      </c>
      <c r="D757" t="s">
        <v>42</v>
      </c>
      <c r="E757" t="s">
        <v>43</v>
      </c>
      <c r="F757" t="s">
        <v>44</v>
      </c>
      <c r="G757" t="s">
        <v>45</v>
      </c>
      <c r="AH757" t="s">
        <v>42</v>
      </c>
      <c r="AI757" t="str">
        <f>"BD006"</f>
        <v>BD006</v>
      </c>
      <c r="AJ757" t="str">
        <f>"BD006"</f>
        <v>BD006</v>
      </c>
      <c r="AK757" t="s">
        <v>46</v>
      </c>
      <c r="AL757" s="1">
        <v>45086.875740740739</v>
      </c>
      <c r="AM757" t="s">
        <v>44</v>
      </c>
    </row>
    <row r="758" spans="1:39" x14ac:dyDescent="0.2">
      <c r="A758" t="s">
        <v>792</v>
      </c>
      <c r="B758" t="s">
        <v>40</v>
      </c>
      <c r="C758" t="s">
        <v>684</v>
      </c>
      <c r="D758" t="s">
        <v>42</v>
      </c>
      <c r="E758" t="s">
        <v>43</v>
      </c>
      <c r="F758" t="s">
        <v>44</v>
      </c>
      <c r="G758" t="s">
        <v>45</v>
      </c>
      <c r="AH758" t="s">
        <v>42</v>
      </c>
      <c r="AI758" t="str">
        <f>"BD003"</f>
        <v>BD003</v>
      </c>
      <c r="AJ758" t="str">
        <f>"BD003"</f>
        <v>BD003</v>
      </c>
      <c r="AK758" t="s">
        <v>46</v>
      </c>
      <c r="AL758" s="1">
        <v>44816.547256944446</v>
      </c>
      <c r="AM758" t="s">
        <v>44</v>
      </c>
    </row>
    <row r="759" spans="1:39" x14ac:dyDescent="0.2">
      <c r="A759" t="s">
        <v>793</v>
      </c>
      <c r="B759" t="s">
        <v>40</v>
      </c>
      <c r="C759" t="s">
        <v>684</v>
      </c>
      <c r="D759" t="s">
        <v>42</v>
      </c>
      <c r="E759" t="s">
        <v>43</v>
      </c>
      <c r="F759" t="s">
        <v>44</v>
      </c>
      <c r="G759" t="s">
        <v>45</v>
      </c>
      <c r="AH759" t="s">
        <v>42</v>
      </c>
      <c r="AI759" t="str">
        <f>"66298808412254"</f>
        <v>66298808412254</v>
      </c>
      <c r="AJ759" t="str">
        <f>"000159"</f>
        <v>000159</v>
      </c>
      <c r="AK759" t="s">
        <v>46</v>
      </c>
      <c r="AL759" s="1">
        <v>44816.547268518516</v>
      </c>
      <c r="AM759" t="s">
        <v>44</v>
      </c>
    </row>
    <row r="760" spans="1:39" x14ac:dyDescent="0.2">
      <c r="A760" t="s">
        <v>794</v>
      </c>
      <c r="B760" t="s">
        <v>40</v>
      </c>
      <c r="C760" t="s">
        <v>684</v>
      </c>
      <c r="D760" t="s">
        <v>42</v>
      </c>
      <c r="E760" t="s">
        <v>43</v>
      </c>
      <c r="F760" t="s">
        <v>44</v>
      </c>
      <c r="G760" t="s">
        <v>45</v>
      </c>
      <c r="AH760" t="s">
        <v>42</v>
      </c>
      <c r="AI760" t="str">
        <f>"66298808454307"</f>
        <v>66298808454307</v>
      </c>
      <c r="AJ760" t="str">
        <f>"82077"</f>
        <v>82077</v>
      </c>
      <c r="AK760" t="s">
        <v>46</v>
      </c>
      <c r="AL760" s="1">
        <v>44816.547268518516</v>
      </c>
      <c r="AM760" t="s">
        <v>44</v>
      </c>
    </row>
    <row r="761" spans="1:39" x14ac:dyDescent="0.2">
      <c r="A761" t="s">
        <v>795</v>
      </c>
      <c r="B761" t="s">
        <v>40</v>
      </c>
      <c r="C761" t="s">
        <v>684</v>
      </c>
      <c r="D761" t="s">
        <v>42</v>
      </c>
      <c r="E761" t="s">
        <v>43</v>
      </c>
      <c r="F761" t="s">
        <v>44</v>
      </c>
      <c r="G761" t="s">
        <v>45</v>
      </c>
      <c r="AH761" t="s">
        <v>42</v>
      </c>
      <c r="AI761" t="str">
        <f>"66298808495160"</f>
        <v>66298808495160</v>
      </c>
      <c r="AJ761" t="str">
        <f>"44830-KRF-B40HB"</f>
        <v>44830-KRF-B40HB</v>
      </c>
      <c r="AK761" t="s">
        <v>46</v>
      </c>
      <c r="AL761" s="1">
        <v>44816.547268518516</v>
      </c>
      <c r="AM761" t="s">
        <v>44</v>
      </c>
    </row>
    <row r="762" spans="1:39" x14ac:dyDescent="0.2">
      <c r="A762" t="s">
        <v>796</v>
      </c>
      <c r="B762" t="s">
        <v>40</v>
      </c>
      <c r="C762" t="s">
        <v>684</v>
      </c>
      <c r="D762" t="s">
        <v>42</v>
      </c>
      <c r="E762" t="s">
        <v>43</v>
      </c>
      <c r="F762" t="s">
        <v>44</v>
      </c>
      <c r="G762" t="s">
        <v>45</v>
      </c>
      <c r="AH762" t="s">
        <v>42</v>
      </c>
      <c r="AI762" t="str">
        <f>"66298808538798"</f>
        <v>66298808538798</v>
      </c>
      <c r="AJ762" t="str">
        <f>"82075"</f>
        <v>82075</v>
      </c>
      <c r="AK762" t="s">
        <v>46</v>
      </c>
      <c r="AL762" s="1">
        <v>44816.547280092593</v>
      </c>
      <c r="AM762" t="s">
        <v>44</v>
      </c>
    </row>
    <row r="763" spans="1:39" x14ac:dyDescent="0.2">
      <c r="A763" t="s">
        <v>797</v>
      </c>
      <c r="B763" t="s">
        <v>40</v>
      </c>
      <c r="C763" t="s">
        <v>684</v>
      </c>
      <c r="D763" t="s">
        <v>42</v>
      </c>
      <c r="E763" t="s">
        <v>43</v>
      </c>
      <c r="F763" t="s">
        <v>44</v>
      </c>
      <c r="G763" t="s">
        <v>45</v>
      </c>
      <c r="AH763" t="s">
        <v>42</v>
      </c>
      <c r="AI763" t="str">
        <f>"66298808580288"</f>
        <v>66298808580288</v>
      </c>
      <c r="AJ763" t="str">
        <f>"34910-44A20HB"</f>
        <v>34910-44A20HB</v>
      </c>
      <c r="AK763" t="s">
        <v>46</v>
      </c>
      <c r="AL763" s="1">
        <v>44816.547280092593</v>
      </c>
      <c r="AM763" t="s">
        <v>44</v>
      </c>
    </row>
    <row r="764" spans="1:39" x14ac:dyDescent="0.2">
      <c r="A764" t="s">
        <v>798</v>
      </c>
      <c r="B764" t="s">
        <v>40</v>
      </c>
      <c r="C764" t="s">
        <v>684</v>
      </c>
      <c r="D764" t="s">
        <v>42</v>
      </c>
      <c r="E764" t="s">
        <v>43</v>
      </c>
      <c r="F764" t="s">
        <v>44</v>
      </c>
      <c r="G764" t="s">
        <v>45</v>
      </c>
      <c r="AH764" t="s">
        <v>42</v>
      </c>
      <c r="AI764" t="str">
        <f>"BD009"</f>
        <v>BD009</v>
      </c>
      <c r="AJ764" t="str">
        <f>"BD009"</f>
        <v>BD009</v>
      </c>
      <c r="AK764" t="s">
        <v>46</v>
      </c>
      <c r="AL764" s="1">
        <v>45086.8827662037</v>
      </c>
      <c r="AM764" t="s">
        <v>44</v>
      </c>
    </row>
    <row r="765" spans="1:39" x14ac:dyDescent="0.2">
      <c r="A765" t="s">
        <v>799</v>
      </c>
      <c r="B765" t="s">
        <v>40</v>
      </c>
      <c r="C765" t="s">
        <v>684</v>
      </c>
      <c r="D765" t="s">
        <v>42</v>
      </c>
      <c r="E765" t="s">
        <v>43</v>
      </c>
      <c r="F765" t="s">
        <v>44</v>
      </c>
      <c r="G765" t="s">
        <v>45</v>
      </c>
      <c r="AH765" t="s">
        <v>42</v>
      </c>
      <c r="AI765" t="str">
        <f>"66298808620968"</f>
        <v>66298808620968</v>
      </c>
      <c r="AJ765" t="str">
        <f>"82081"</f>
        <v>82081</v>
      </c>
      <c r="AK765" t="s">
        <v>46</v>
      </c>
      <c r="AL765" s="1">
        <v>44816.547291666669</v>
      </c>
      <c r="AM765" t="s">
        <v>44</v>
      </c>
    </row>
    <row r="766" spans="1:39" x14ac:dyDescent="0.2">
      <c r="A766" t="s">
        <v>800</v>
      </c>
      <c r="B766" t="s">
        <v>40</v>
      </c>
      <c r="C766" t="s">
        <v>684</v>
      </c>
      <c r="D766" t="s">
        <v>42</v>
      </c>
      <c r="E766" t="s">
        <v>43</v>
      </c>
      <c r="F766" t="s">
        <v>44</v>
      </c>
      <c r="G766" t="s">
        <v>45</v>
      </c>
      <c r="AH766" t="s">
        <v>42</v>
      </c>
      <c r="AI766" t="str">
        <f>"66298808665086"</f>
        <v>66298808665086</v>
      </c>
      <c r="AJ766" t="str">
        <f>"400623"</f>
        <v>400623</v>
      </c>
      <c r="AK766" t="s">
        <v>46</v>
      </c>
      <c r="AL766" s="1">
        <v>44816.547291666669</v>
      </c>
      <c r="AM766" t="s">
        <v>44</v>
      </c>
    </row>
    <row r="767" spans="1:39" x14ac:dyDescent="0.2">
      <c r="A767" t="s">
        <v>801</v>
      </c>
      <c r="B767" t="s">
        <v>40</v>
      </c>
      <c r="C767" t="s">
        <v>684</v>
      </c>
      <c r="D767" t="s">
        <v>42</v>
      </c>
      <c r="E767" t="s">
        <v>43</v>
      </c>
      <c r="F767" t="s">
        <v>44</v>
      </c>
      <c r="G767" t="s">
        <v>45</v>
      </c>
      <c r="AH767" t="s">
        <v>42</v>
      </c>
      <c r="AI767" t="str">
        <f>"BD001"</f>
        <v>BD001</v>
      </c>
      <c r="AJ767" t="str">
        <f>"BD001"</f>
        <v>BD001</v>
      </c>
      <c r="AK767" t="s">
        <v>46</v>
      </c>
      <c r="AL767" s="1">
        <v>44816.547303240739</v>
      </c>
      <c r="AM767" t="s">
        <v>44</v>
      </c>
    </row>
    <row r="768" spans="1:39" x14ac:dyDescent="0.2">
      <c r="A768" t="s">
        <v>802</v>
      </c>
      <c r="B768" t="s">
        <v>40</v>
      </c>
      <c r="C768" t="s">
        <v>684</v>
      </c>
      <c r="D768" t="s">
        <v>42</v>
      </c>
      <c r="E768" t="s">
        <v>43</v>
      </c>
      <c r="F768" t="s">
        <v>44</v>
      </c>
      <c r="G768" t="s">
        <v>45</v>
      </c>
      <c r="AH768" t="s">
        <v>42</v>
      </c>
      <c r="AI768" t="str">
        <f>"66298808752727"</f>
        <v>66298808752727</v>
      </c>
      <c r="AJ768" t="str">
        <f>"54001-1118"</f>
        <v>54001-1118</v>
      </c>
      <c r="AK768" t="s">
        <v>46</v>
      </c>
      <c r="AL768" s="1">
        <v>44816.547303240739</v>
      </c>
      <c r="AM768" t="s">
        <v>44</v>
      </c>
    </row>
    <row r="769" spans="1:39" x14ac:dyDescent="0.2">
      <c r="A769" t="s">
        <v>803</v>
      </c>
      <c r="B769" t="s">
        <v>40</v>
      </c>
      <c r="C769" t="s">
        <v>684</v>
      </c>
      <c r="D769" t="s">
        <v>42</v>
      </c>
      <c r="E769" t="s">
        <v>43</v>
      </c>
      <c r="F769" t="s">
        <v>44</v>
      </c>
      <c r="G769" t="s">
        <v>45</v>
      </c>
      <c r="AH769" t="s">
        <v>42</v>
      </c>
      <c r="AI769" t="str">
        <f>"66298808793545"</f>
        <v>66298808793545</v>
      </c>
      <c r="AJ769" t="str">
        <f>"34910-45F01"</f>
        <v>34910-45F01</v>
      </c>
      <c r="AK769" t="s">
        <v>46</v>
      </c>
      <c r="AL769" s="1">
        <v>44816.547303240739</v>
      </c>
      <c r="AM769" t="s">
        <v>44</v>
      </c>
    </row>
    <row r="770" spans="1:39" x14ac:dyDescent="0.2">
      <c r="A770" t="s">
        <v>804</v>
      </c>
      <c r="B770" t="s">
        <v>40</v>
      </c>
      <c r="C770" t="s">
        <v>684</v>
      </c>
      <c r="D770" t="s">
        <v>42</v>
      </c>
      <c r="E770" t="s">
        <v>43</v>
      </c>
      <c r="F770" t="s">
        <v>44</v>
      </c>
      <c r="G770" t="s">
        <v>45</v>
      </c>
      <c r="AH770" t="s">
        <v>42</v>
      </c>
      <c r="AI770" t="str">
        <f>"34910-C26441W-00"</f>
        <v>34910-C26441W-00</v>
      </c>
      <c r="AJ770" t="str">
        <f>"34910-C26441W-00"</f>
        <v>34910-C26441W-00</v>
      </c>
      <c r="AK770" t="s">
        <v>46</v>
      </c>
      <c r="AL770" s="1">
        <v>45086.885671296295</v>
      </c>
      <c r="AM770" t="s">
        <v>44</v>
      </c>
    </row>
    <row r="771" spans="1:39" x14ac:dyDescent="0.2">
      <c r="A771" t="s">
        <v>805</v>
      </c>
      <c r="B771" t="s">
        <v>40</v>
      </c>
      <c r="C771" t="s">
        <v>684</v>
      </c>
      <c r="D771" t="s">
        <v>42</v>
      </c>
      <c r="E771" t="s">
        <v>43</v>
      </c>
      <c r="F771" t="s">
        <v>44</v>
      </c>
      <c r="G771" t="s">
        <v>45</v>
      </c>
      <c r="AH771" t="s">
        <v>42</v>
      </c>
      <c r="AI771" t="str">
        <f>"BD004"</f>
        <v>BD004</v>
      </c>
      <c r="AJ771" t="str">
        <f>"BD004"</f>
        <v>BD004</v>
      </c>
      <c r="AK771" t="s">
        <v>46</v>
      </c>
      <c r="AL771" s="1">
        <v>45086.889224537037</v>
      </c>
      <c r="AM771" t="s">
        <v>44</v>
      </c>
    </row>
    <row r="772" spans="1:39" x14ac:dyDescent="0.2">
      <c r="A772" t="s">
        <v>806</v>
      </c>
      <c r="B772" t="s">
        <v>40</v>
      </c>
      <c r="C772" t="s">
        <v>684</v>
      </c>
      <c r="D772" t="s">
        <v>42</v>
      </c>
      <c r="E772" t="s">
        <v>43</v>
      </c>
      <c r="F772" t="s">
        <v>44</v>
      </c>
      <c r="G772" t="s">
        <v>45</v>
      </c>
      <c r="AH772" t="s">
        <v>42</v>
      </c>
      <c r="AI772" t="str">
        <f>"34910-25H00-000H"</f>
        <v>34910-25H00-000H</v>
      </c>
      <c r="AJ772" t="str">
        <f>"34910-25H00-000H"</f>
        <v>34910-25H00-000H</v>
      </c>
      <c r="AK772" t="s">
        <v>46</v>
      </c>
      <c r="AL772" s="1">
        <v>45086.890324074076</v>
      </c>
      <c r="AM772" t="s">
        <v>44</v>
      </c>
    </row>
    <row r="773" spans="1:39" x14ac:dyDescent="0.2">
      <c r="A773" t="s">
        <v>807</v>
      </c>
      <c r="B773" t="s">
        <v>40</v>
      </c>
      <c r="C773" t="s">
        <v>684</v>
      </c>
      <c r="D773" t="s">
        <v>42</v>
      </c>
      <c r="E773" t="s">
        <v>43</v>
      </c>
      <c r="F773" t="s">
        <v>44</v>
      </c>
      <c r="G773" t="s">
        <v>45</v>
      </c>
      <c r="AH773" t="s">
        <v>42</v>
      </c>
      <c r="AI773" t="str">
        <f>"66298808842711"</f>
        <v>66298808842711</v>
      </c>
      <c r="AJ773" t="str">
        <f>"7701023704090"</f>
        <v>7701023704090</v>
      </c>
      <c r="AK773" t="s">
        <v>46</v>
      </c>
      <c r="AL773" s="1">
        <v>44816.547314814816</v>
      </c>
      <c r="AM773" t="s">
        <v>44</v>
      </c>
    </row>
    <row r="774" spans="1:39" x14ac:dyDescent="0.2">
      <c r="A774" t="s">
        <v>808</v>
      </c>
      <c r="B774" t="s">
        <v>40</v>
      </c>
      <c r="C774" t="s">
        <v>684</v>
      </c>
      <c r="D774" t="s">
        <v>42</v>
      </c>
      <c r="E774" t="s">
        <v>43</v>
      </c>
      <c r="F774" t="s">
        <v>44</v>
      </c>
      <c r="G774" t="s">
        <v>45</v>
      </c>
      <c r="AH774" t="s">
        <v>42</v>
      </c>
      <c r="AI774" t="str">
        <f>"66298808888295"</f>
        <v>66298808888295</v>
      </c>
      <c r="AJ774" t="str">
        <f>"400624"</f>
        <v>400624</v>
      </c>
      <c r="AK774" t="s">
        <v>46</v>
      </c>
      <c r="AL774" s="1">
        <v>44816.547314814816</v>
      </c>
      <c r="AM774" t="s">
        <v>44</v>
      </c>
    </row>
    <row r="775" spans="1:39" x14ac:dyDescent="0.2">
      <c r="A775" t="s">
        <v>809</v>
      </c>
      <c r="B775" t="s">
        <v>40</v>
      </c>
      <c r="C775" t="s">
        <v>684</v>
      </c>
      <c r="D775" t="s">
        <v>42</v>
      </c>
      <c r="E775" t="s">
        <v>43</v>
      </c>
      <c r="F775" t="s">
        <v>44</v>
      </c>
      <c r="G775" t="s">
        <v>45</v>
      </c>
      <c r="AH775" t="s">
        <v>42</v>
      </c>
      <c r="AI775" t="str">
        <f>"66298808926394"</f>
        <v>66298808926394</v>
      </c>
      <c r="AJ775" t="str">
        <f>"80350"</f>
        <v>80350</v>
      </c>
      <c r="AK775" t="s">
        <v>46</v>
      </c>
      <c r="AL775" s="1">
        <v>44816.547326388885</v>
      </c>
      <c r="AM775" t="s">
        <v>44</v>
      </c>
    </row>
    <row r="776" spans="1:39" x14ac:dyDescent="0.2">
      <c r="A776" t="s">
        <v>810</v>
      </c>
      <c r="B776" t="s">
        <v>40</v>
      </c>
      <c r="C776" t="s">
        <v>684</v>
      </c>
      <c r="D776" t="s">
        <v>42</v>
      </c>
      <c r="E776" t="s">
        <v>43</v>
      </c>
      <c r="F776" t="s">
        <v>44</v>
      </c>
      <c r="G776" t="s">
        <v>45</v>
      </c>
      <c r="AH776" t="s">
        <v>42</v>
      </c>
      <c r="AI776" t="str">
        <f>"44830-KSM-900HB"</f>
        <v>44830-KSM-900HB</v>
      </c>
      <c r="AJ776" t="str">
        <f>"44830-KSM-900HB"</f>
        <v>44830-KSM-900HB</v>
      </c>
      <c r="AK776" t="s">
        <v>46</v>
      </c>
      <c r="AL776" s="1">
        <v>44816.547326388885</v>
      </c>
      <c r="AM776" t="s">
        <v>44</v>
      </c>
    </row>
    <row r="777" spans="1:39" x14ac:dyDescent="0.2">
      <c r="A777" t="s">
        <v>811</v>
      </c>
      <c r="B777" t="s">
        <v>40</v>
      </c>
      <c r="C777" t="s">
        <v>684</v>
      </c>
      <c r="D777" t="s">
        <v>42</v>
      </c>
      <c r="E777" t="s">
        <v>43</v>
      </c>
      <c r="F777" t="s">
        <v>44</v>
      </c>
      <c r="G777" t="s">
        <v>45</v>
      </c>
      <c r="AH777" t="s">
        <v>42</v>
      </c>
      <c r="AI777" t="str">
        <f>"66298809007972"</f>
        <v>66298809007972</v>
      </c>
      <c r="AJ777" t="str">
        <f>"82317"</f>
        <v>82317</v>
      </c>
      <c r="AK777" t="s">
        <v>46</v>
      </c>
      <c r="AL777" s="1">
        <v>44816.547337962962</v>
      </c>
      <c r="AM777" t="s">
        <v>44</v>
      </c>
    </row>
    <row r="778" spans="1:39" x14ac:dyDescent="0.2">
      <c r="A778" t="s">
        <v>812</v>
      </c>
      <c r="B778" t="s">
        <v>40</v>
      </c>
      <c r="C778" t="s">
        <v>684</v>
      </c>
      <c r="D778" t="s">
        <v>42</v>
      </c>
      <c r="E778" t="s">
        <v>43</v>
      </c>
      <c r="F778" t="s">
        <v>44</v>
      </c>
      <c r="G778" t="s">
        <v>45</v>
      </c>
      <c r="AH778" t="s">
        <v>42</v>
      </c>
      <c r="AI778" t="str">
        <f>"66298809051411"</f>
        <v>66298809051411</v>
      </c>
      <c r="AJ778" t="str">
        <f>"44830-KVC-900HB"</f>
        <v>44830-KVC-900HB</v>
      </c>
      <c r="AK778" t="s">
        <v>46</v>
      </c>
      <c r="AL778" s="1">
        <v>44816.547337962962</v>
      </c>
      <c r="AM778" t="s">
        <v>44</v>
      </c>
    </row>
    <row r="779" spans="1:39" x14ac:dyDescent="0.2">
      <c r="A779" t="s">
        <v>813</v>
      </c>
      <c r="B779" t="s">
        <v>40</v>
      </c>
      <c r="C779" t="s">
        <v>684</v>
      </c>
      <c r="D779" t="s">
        <v>42</v>
      </c>
      <c r="E779" t="s">
        <v>43</v>
      </c>
      <c r="F779" t="s">
        <v>44</v>
      </c>
      <c r="G779" t="s">
        <v>45</v>
      </c>
      <c r="AH779" t="s">
        <v>42</v>
      </c>
      <c r="AI779" t="str">
        <f>"2273"</f>
        <v>2273</v>
      </c>
      <c r="AJ779" t="str">
        <f>"2273"</f>
        <v>2273</v>
      </c>
      <c r="AK779" t="s">
        <v>46</v>
      </c>
      <c r="AL779" s="1">
        <v>45036.716874999998</v>
      </c>
      <c r="AM779" t="s">
        <v>44</v>
      </c>
    </row>
    <row r="780" spans="1:39" x14ac:dyDescent="0.2">
      <c r="A780" t="s">
        <v>814</v>
      </c>
      <c r="B780" t="s">
        <v>40</v>
      </c>
      <c r="C780" t="s">
        <v>684</v>
      </c>
      <c r="D780" t="s">
        <v>42</v>
      </c>
      <c r="E780" t="s">
        <v>43</v>
      </c>
      <c r="F780" t="s">
        <v>44</v>
      </c>
      <c r="G780" t="s">
        <v>45</v>
      </c>
      <c r="AH780" t="s">
        <v>42</v>
      </c>
      <c r="AI780" t="str">
        <f>"66298809094816"</f>
        <v>66298809094816</v>
      </c>
      <c r="AJ780" t="str">
        <f>"400625"</f>
        <v>400625</v>
      </c>
      <c r="AK780" t="s">
        <v>46</v>
      </c>
      <c r="AL780" s="1">
        <v>44816.547337962962</v>
      </c>
      <c r="AM780" t="s">
        <v>44</v>
      </c>
    </row>
    <row r="781" spans="1:39" x14ac:dyDescent="0.2">
      <c r="A781" t="s">
        <v>815</v>
      </c>
      <c r="B781" t="s">
        <v>40</v>
      </c>
      <c r="C781" t="s">
        <v>684</v>
      </c>
      <c r="D781" t="s">
        <v>42</v>
      </c>
      <c r="E781" t="s">
        <v>43</v>
      </c>
      <c r="F781" t="s">
        <v>44</v>
      </c>
      <c r="G781" t="s">
        <v>45</v>
      </c>
      <c r="AH781" t="s">
        <v>42</v>
      </c>
      <c r="AI781" t="str">
        <f>"66298809132255"</f>
        <v>66298809132255</v>
      </c>
      <c r="AJ781" t="str">
        <f>"5RM-H3550-00HB"</f>
        <v>5RM-H3550-00HB</v>
      </c>
      <c r="AK781" t="s">
        <v>46</v>
      </c>
      <c r="AL781" s="1">
        <v>44816.547349537039</v>
      </c>
      <c r="AM781" t="s">
        <v>44</v>
      </c>
    </row>
    <row r="782" spans="1:39" x14ac:dyDescent="0.2">
      <c r="A782" t="s">
        <v>815</v>
      </c>
      <c r="B782" t="s">
        <v>40</v>
      </c>
      <c r="C782" t="s">
        <v>684</v>
      </c>
      <c r="D782" t="s">
        <v>42</v>
      </c>
      <c r="E782" t="s">
        <v>43</v>
      </c>
      <c r="F782" t="s">
        <v>44</v>
      </c>
      <c r="G782" t="s">
        <v>45</v>
      </c>
      <c r="AH782" t="s">
        <v>42</v>
      </c>
      <c r="AI782" t="str">
        <f>"5RM-M3550-00HB"</f>
        <v>5RM-M3550-00HB</v>
      </c>
      <c r="AJ782" t="str">
        <f>"5RM-M3550-00HB"</f>
        <v>5RM-M3550-00HB</v>
      </c>
      <c r="AK782" t="s">
        <v>46</v>
      </c>
      <c r="AL782" s="1">
        <v>45086.895486111112</v>
      </c>
      <c r="AM782" t="s">
        <v>44</v>
      </c>
    </row>
    <row r="783" spans="1:39" x14ac:dyDescent="0.2">
      <c r="A783" t="s">
        <v>815</v>
      </c>
      <c r="B783" t="s">
        <v>40</v>
      </c>
      <c r="C783" t="s">
        <v>684</v>
      </c>
      <c r="D783" t="s">
        <v>42</v>
      </c>
      <c r="E783" t="s">
        <v>43</v>
      </c>
      <c r="F783" t="s">
        <v>44</v>
      </c>
      <c r="G783" t="s">
        <v>45</v>
      </c>
      <c r="AH783" t="s">
        <v>42</v>
      </c>
      <c r="AI783" t="str">
        <f>"BD010"</f>
        <v>BD010</v>
      </c>
      <c r="AJ783" t="str">
        <f>"BD010"</f>
        <v>BD010</v>
      </c>
      <c r="AK783" t="s">
        <v>46</v>
      </c>
      <c r="AL783" s="1">
        <v>45086.896886574075</v>
      </c>
      <c r="AM783" t="s">
        <v>44</v>
      </c>
    </row>
    <row r="784" spans="1:39" x14ac:dyDescent="0.2">
      <c r="A784" t="s">
        <v>816</v>
      </c>
      <c r="B784" t="s">
        <v>40</v>
      </c>
      <c r="C784" t="s">
        <v>684</v>
      </c>
      <c r="D784" t="s">
        <v>42</v>
      </c>
      <c r="E784" t="s">
        <v>43</v>
      </c>
      <c r="F784" t="s">
        <v>44</v>
      </c>
      <c r="G784" t="s">
        <v>45</v>
      </c>
      <c r="AH784" t="s">
        <v>42</v>
      </c>
      <c r="AI784" t="str">
        <f>"66298809213045"</f>
        <v>66298809213045</v>
      </c>
      <c r="AJ784" t="str">
        <f>"5YY-H3550-00HB"</f>
        <v>5YY-H3550-00HB</v>
      </c>
      <c r="AK784" t="s">
        <v>46</v>
      </c>
      <c r="AL784" s="1">
        <v>44816.547361111108</v>
      </c>
      <c r="AM784" t="s">
        <v>44</v>
      </c>
    </row>
    <row r="785" spans="1:39" x14ac:dyDescent="0.2">
      <c r="A785" t="s">
        <v>816</v>
      </c>
      <c r="B785" t="s">
        <v>40</v>
      </c>
      <c r="C785" t="s">
        <v>684</v>
      </c>
      <c r="D785" t="s">
        <v>42</v>
      </c>
      <c r="E785" t="s">
        <v>43</v>
      </c>
      <c r="F785" t="s">
        <v>44</v>
      </c>
      <c r="G785" t="s">
        <v>45</v>
      </c>
      <c r="AH785" t="s">
        <v>42</v>
      </c>
      <c r="AI785" t="str">
        <f>"66298809219510"</f>
        <v>66298809219510</v>
      </c>
      <c r="AJ785" t="str">
        <f>"5VL-H3550-12HB"</f>
        <v>5VL-H3550-12HB</v>
      </c>
      <c r="AK785" t="s">
        <v>46</v>
      </c>
      <c r="AL785" s="1">
        <v>44816.547361111108</v>
      </c>
      <c r="AM785" t="s">
        <v>44</v>
      </c>
    </row>
    <row r="786" spans="1:39" x14ac:dyDescent="0.2">
      <c r="A786" t="s">
        <v>817</v>
      </c>
      <c r="B786" t="s">
        <v>40</v>
      </c>
      <c r="C786" t="s">
        <v>684</v>
      </c>
      <c r="D786" t="s">
        <v>42</v>
      </c>
      <c r="E786" t="s">
        <v>43</v>
      </c>
      <c r="F786" t="s">
        <v>44</v>
      </c>
      <c r="G786" t="s">
        <v>45</v>
      </c>
      <c r="AH786" t="s">
        <v>42</v>
      </c>
      <c r="AI786" t="str">
        <f>"66298809171408"</f>
        <v>66298809171408</v>
      </c>
      <c r="AJ786" t="str">
        <f>"80355"</f>
        <v>80355</v>
      </c>
      <c r="AK786" t="s">
        <v>46</v>
      </c>
      <c r="AL786" s="1">
        <v>44816.547349537039</v>
      </c>
      <c r="AM786" t="s">
        <v>44</v>
      </c>
    </row>
    <row r="787" spans="1:39" x14ac:dyDescent="0.2">
      <c r="A787" t="s">
        <v>818</v>
      </c>
      <c r="B787" t="s">
        <v>40</v>
      </c>
      <c r="C787" t="s">
        <v>684</v>
      </c>
      <c r="D787" t="s">
        <v>42</v>
      </c>
      <c r="E787" t="s">
        <v>43</v>
      </c>
      <c r="F787" t="s">
        <v>44</v>
      </c>
      <c r="G787" t="s">
        <v>45</v>
      </c>
      <c r="AH787" t="s">
        <v>42</v>
      </c>
      <c r="AI787" t="str">
        <f>"66298809280711"</f>
        <v>66298809280711</v>
      </c>
      <c r="AJ787" t="str">
        <f>"400626"</f>
        <v>400626</v>
      </c>
      <c r="AK787" t="s">
        <v>46</v>
      </c>
      <c r="AL787" s="1">
        <v>44816.547361111108</v>
      </c>
      <c r="AM787" t="s">
        <v>44</v>
      </c>
    </row>
    <row r="788" spans="1:39" x14ac:dyDescent="0.2">
      <c r="A788" t="s">
        <v>819</v>
      </c>
      <c r="B788" t="s">
        <v>40</v>
      </c>
      <c r="C788" t="s">
        <v>684</v>
      </c>
      <c r="D788" t="s">
        <v>42</v>
      </c>
      <c r="E788" t="s">
        <v>43</v>
      </c>
      <c r="F788" t="s">
        <v>44</v>
      </c>
      <c r="G788" t="s">
        <v>45</v>
      </c>
      <c r="AH788" t="s">
        <v>42</v>
      </c>
      <c r="AI788" t="str">
        <f>"66298809327437"</f>
        <v>66298809327437</v>
      </c>
      <c r="AJ788" t="str">
        <f>"28291-KR6-000JP"</f>
        <v>28291-KR6-000JP</v>
      </c>
      <c r="AK788" t="s">
        <v>46</v>
      </c>
      <c r="AL788" s="1">
        <v>44816.547372685185</v>
      </c>
      <c r="AM788" t="s">
        <v>44</v>
      </c>
    </row>
    <row r="789" spans="1:39" x14ac:dyDescent="0.2">
      <c r="A789" t="s">
        <v>820</v>
      </c>
      <c r="B789" t="s">
        <v>40</v>
      </c>
      <c r="C789" t="s">
        <v>684</v>
      </c>
      <c r="D789" t="s">
        <v>42</v>
      </c>
      <c r="E789" t="s">
        <v>43</v>
      </c>
      <c r="F789" t="s">
        <v>44</v>
      </c>
      <c r="G789" t="s">
        <v>45</v>
      </c>
      <c r="AH789" t="s">
        <v>42</v>
      </c>
      <c r="AI789" t="str">
        <f>"EMB-UNIV"</f>
        <v>EMB-UNIV</v>
      </c>
      <c r="AJ789" t="str">
        <f>"EMB-UNIV"</f>
        <v>EMB-UNIV</v>
      </c>
      <c r="AK789" t="s">
        <v>46</v>
      </c>
      <c r="AL789" s="1">
        <v>45001.576412037037</v>
      </c>
      <c r="AM789" t="s">
        <v>44</v>
      </c>
    </row>
    <row r="790" spans="1:39" x14ac:dyDescent="0.2">
      <c r="A790" t="s">
        <v>821</v>
      </c>
      <c r="B790" t="s">
        <v>40</v>
      </c>
      <c r="C790" t="s">
        <v>684</v>
      </c>
      <c r="D790" t="s">
        <v>42</v>
      </c>
      <c r="E790" t="s">
        <v>43</v>
      </c>
      <c r="F790" t="s">
        <v>44</v>
      </c>
      <c r="G790" t="s">
        <v>45</v>
      </c>
      <c r="AH790" t="s">
        <v>42</v>
      </c>
      <c r="AI790" t="str">
        <f>"66298809372747"</f>
        <v>66298809372747</v>
      </c>
      <c r="AJ790" t="str">
        <f>"400595"</f>
        <v>400595</v>
      </c>
      <c r="AK790" t="s">
        <v>46</v>
      </c>
      <c r="AL790" s="1">
        <v>44816.547372685185</v>
      </c>
      <c r="AM790" t="s">
        <v>44</v>
      </c>
    </row>
    <row r="791" spans="1:39" x14ac:dyDescent="0.2">
      <c r="A791" t="s">
        <v>822</v>
      </c>
      <c r="B791" t="s">
        <v>40</v>
      </c>
      <c r="C791" t="s">
        <v>684</v>
      </c>
      <c r="D791" t="s">
        <v>42</v>
      </c>
      <c r="E791" t="s">
        <v>43</v>
      </c>
      <c r="F791" t="s">
        <v>44</v>
      </c>
      <c r="G791" t="s">
        <v>45</v>
      </c>
      <c r="AH791" t="s">
        <v>42</v>
      </c>
      <c r="AI791" t="str">
        <f>"66298809416233"</f>
        <v>66298809416233</v>
      </c>
      <c r="AJ791" t="str">
        <f>"400596"</f>
        <v>400596</v>
      </c>
      <c r="AK791" t="s">
        <v>46</v>
      </c>
      <c r="AL791" s="1">
        <v>44816.547384259262</v>
      </c>
      <c r="AM791" t="s">
        <v>44</v>
      </c>
    </row>
    <row r="792" spans="1:39" x14ac:dyDescent="0.2">
      <c r="A792" t="s">
        <v>823</v>
      </c>
      <c r="B792" t="s">
        <v>40</v>
      </c>
      <c r="C792" t="s">
        <v>684</v>
      </c>
      <c r="D792" t="s">
        <v>42</v>
      </c>
      <c r="E792" t="s">
        <v>43</v>
      </c>
      <c r="F792" t="s">
        <v>44</v>
      </c>
      <c r="G792" t="s">
        <v>45</v>
      </c>
      <c r="AH792" t="s">
        <v>42</v>
      </c>
      <c r="AI792" t="str">
        <f>"66298809457079"</f>
        <v>66298809457079</v>
      </c>
      <c r="AJ792" t="str">
        <f>"400597"</f>
        <v>400597</v>
      </c>
      <c r="AK792" t="s">
        <v>46</v>
      </c>
      <c r="AL792" s="1">
        <v>44816.547384259262</v>
      </c>
      <c r="AM792" t="s">
        <v>44</v>
      </c>
    </row>
    <row r="793" spans="1:39" x14ac:dyDescent="0.2">
      <c r="A793" t="s">
        <v>824</v>
      </c>
      <c r="B793" t="s">
        <v>40</v>
      </c>
      <c r="C793" t="s">
        <v>684</v>
      </c>
      <c r="D793" t="s">
        <v>42</v>
      </c>
      <c r="E793" t="s">
        <v>43</v>
      </c>
      <c r="F793" t="s">
        <v>44</v>
      </c>
      <c r="G793" t="s">
        <v>45</v>
      </c>
      <c r="AH793" t="s">
        <v>42</v>
      </c>
      <c r="AI793" t="str">
        <f>"3081"</f>
        <v>3081</v>
      </c>
      <c r="AJ793" t="str">
        <f>"3081"</f>
        <v>3081</v>
      </c>
      <c r="AK793" t="s">
        <v>46</v>
      </c>
      <c r="AL793" s="1">
        <v>44900.659386574072</v>
      </c>
      <c r="AM793" t="s">
        <v>44</v>
      </c>
    </row>
    <row r="794" spans="1:39" x14ac:dyDescent="0.2">
      <c r="A794" t="s">
        <v>824</v>
      </c>
      <c r="B794" t="s">
        <v>40</v>
      </c>
      <c r="C794" t="s">
        <v>684</v>
      </c>
      <c r="D794" t="s">
        <v>42</v>
      </c>
      <c r="E794" t="s">
        <v>43</v>
      </c>
      <c r="F794" t="s">
        <v>44</v>
      </c>
      <c r="G794" t="s">
        <v>45</v>
      </c>
      <c r="AH794" t="s">
        <v>42</v>
      </c>
      <c r="AI794" t="str">
        <f>"BB009"</f>
        <v>BB009</v>
      </c>
      <c r="AJ794" t="str">
        <f>"BB009"</f>
        <v>BB009</v>
      </c>
      <c r="AK794" t="s">
        <v>46</v>
      </c>
      <c r="AL794" s="1">
        <v>44946.86347222222</v>
      </c>
      <c r="AM794" t="s">
        <v>44</v>
      </c>
    </row>
    <row r="795" spans="1:39" x14ac:dyDescent="0.2">
      <c r="A795" t="s">
        <v>825</v>
      </c>
      <c r="B795" t="s">
        <v>40</v>
      </c>
      <c r="C795" t="s">
        <v>684</v>
      </c>
      <c r="D795" t="s">
        <v>42</v>
      </c>
      <c r="E795" t="s">
        <v>43</v>
      </c>
      <c r="F795" t="s">
        <v>44</v>
      </c>
      <c r="G795" t="s">
        <v>45</v>
      </c>
      <c r="AH795" t="s">
        <v>42</v>
      </c>
      <c r="AI795" t="str">
        <f>"22870-KSP-B00HB"</f>
        <v>22870-KSP-B00HB</v>
      </c>
      <c r="AJ795" t="str">
        <f>"22870-KSP-B00HB"</f>
        <v>22870-KSP-B00HB</v>
      </c>
      <c r="AK795" t="s">
        <v>46</v>
      </c>
      <c r="AL795" s="1">
        <v>44900.862604166665</v>
      </c>
      <c r="AM795" t="s">
        <v>44</v>
      </c>
    </row>
    <row r="796" spans="1:39" x14ac:dyDescent="0.2">
      <c r="A796" t="s">
        <v>825</v>
      </c>
      <c r="B796" t="s">
        <v>40</v>
      </c>
      <c r="C796" t="s">
        <v>684</v>
      </c>
      <c r="D796" t="s">
        <v>42</v>
      </c>
      <c r="E796" t="s">
        <v>43</v>
      </c>
      <c r="F796" t="s">
        <v>44</v>
      </c>
      <c r="G796" t="s">
        <v>45</v>
      </c>
      <c r="AH796" t="s">
        <v>42</v>
      </c>
      <c r="AI796" t="str">
        <f>"22870-KSP-900HB"</f>
        <v>22870-KSP-900HB</v>
      </c>
      <c r="AJ796" t="str">
        <f>"22870-KSP-900HB"</f>
        <v>22870-KSP-900HB</v>
      </c>
      <c r="AK796" t="s">
        <v>46</v>
      </c>
      <c r="AL796" s="1">
        <v>44905.568136574075</v>
      </c>
      <c r="AM796" t="s">
        <v>44</v>
      </c>
    </row>
    <row r="797" spans="1:39" x14ac:dyDescent="0.2">
      <c r="A797" t="s">
        <v>826</v>
      </c>
      <c r="B797" t="s">
        <v>40</v>
      </c>
      <c r="C797" t="s">
        <v>684</v>
      </c>
      <c r="D797" t="s">
        <v>42</v>
      </c>
      <c r="E797" t="s">
        <v>43</v>
      </c>
      <c r="F797" t="s">
        <v>44</v>
      </c>
      <c r="G797" t="s">
        <v>45</v>
      </c>
      <c r="AH797" t="s">
        <v>42</v>
      </c>
      <c r="AI797" t="str">
        <f>"66298809507929"</f>
        <v>66298809507929</v>
      </c>
      <c r="AJ797" t="str">
        <f>"400235"</f>
        <v>400235</v>
      </c>
      <c r="AK797" t="s">
        <v>46</v>
      </c>
      <c r="AL797" s="1">
        <v>44816.547395833331</v>
      </c>
      <c r="AM797" t="s">
        <v>44</v>
      </c>
    </row>
    <row r="798" spans="1:39" x14ac:dyDescent="0.2">
      <c r="A798" t="s">
        <v>827</v>
      </c>
      <c r="B798" t="s">
        <v>40</v>
      </c>
      <c r="C798" t="s">
        <v>684</v>
      </c>
      <c r="D798" t="s">
        <v>42</v>
      </c>
      <c r="E798" t="s">
        <v>43</v>
      </c>
      <c r="F798" t="s">
        <v>44</v>
      </c>
      <c r="G798" t="s">
        <v>45</v>
      </c>
      <c r="AH798" t="s">
        <v>42</v>
      </c>
      <c r="AI798" t="str">
        <f>"66298809547686"</f>
        <v>66298809547686</v>
      </c>
      <c r="AJ798" t="str">
        <f>"22870-KVE-900HB"</f>
        <v>22870-KVE-900HB</v>
      </c>
      <c r="AK798" t="s">
        <v>46</v>
      </c>
      <c r="AL798" s="1">
        <v>44816.547395833331</v>
      </c>
      <c r="AM798" t="s">
        <v>44</v>
      </c>
    </row>
    <row r="799" spans="1:39" x14ac:dyDescent="0.2">
      <c r="A799" t="s">
        <v>828</v>
      </c>
      <c r="B799" t="s">
        <v>40</v>
      </c>
      <c r="C799" t="s">
        <v>684</v>
      </c>
      <c r="D799" t="s">
        <v>42</v>
      </c>
      <c r="E799" t="s">
        <v>43</v>
      </c>
      <c r="F799" t="s">
        <v>44</v>
      </c>
      <c r="G799" t="s">
        <v>45</v>
      </c>
      <c r="AH799" t="s">
        <v>42</v>
      </c>
      <c r="AI799" t="str">
        <f>"66298809587110"</f>
        <v>66298809587110</v>
      </c>
      <c r="AJ799" t="str">
        <f>"80345"</f>
        <v>80345</v>
      </c>
      <c r="AK799" t="s">
        <v>46</v>
      </c>
      <c r="AL799" s="1">
        <v>44816.547395833331</v>
      </c>
      <c r="AM799" t="s">
        <v>44</v>
      </c>
    </row>
    <row r="800" spans="1:39" x14ac:dyDescent="0.2">
      <c r="A800" t="s">
        <v>829</v>
      </c>
      <c r="B800" t="s">
        <v>40</v>
      </c>
      <c r="C800" t="s">
        <v>830</v>
      </c>
      <c r="D800" t="s">
        <v>42</v>
      </c>
      <c r="E800" t="s">
        <v>43</v>
      </c>
      <c r="F800" t="s">
        <v>44</v>
      </c>
      <c r="G800" t="s">
        <v>45</v>
      </c>
      <c r="AH800" t="s">
        <v>42</v>
      </c>
      <c r="AI800" t="str">
        <f>"58200H2J060H000"</f>
        <v>58200H2J060H000</v>
      </c>
      <c r="AJ800" t="str">
        <f>"58200H2J060H000"</f>
        <v>58200H2J060H000</v>
      </c>
      <c r="AK800" t="s">
        <v>46</v>
      </c>
      <c r="AL800" s="1">
        <v>45021.884143518517</v>
      </c>
      <c r="AM800" t="s">
        <v>44</v>
      </c>
    </row>
    <row r="801" spans="1:39" x14ac:dyDescent="0.2">
      <c r="A801" t="s">
        <v>831</v>
      </c>
      <c r="B801" t="s">
        <v>40</v>
      </c>
      <c r="C801" t="s">
        <v>684</v>
      </c>
      <c r="D801" t="s">
        <v>42</v>
      </c>
      <c r="E801" t="s">
        <v>43</v>
      </c>
      <c r="F801" t="s">
        <v>44</v>
      </c>
      <c r="G801" t="s">
        <v>45</v>
      </c>
      <c r="AH801" t="s">
        <v>42</v>
      </c>
      <c r="AI801" t="str">
        <f>"BB012"</f>
        <v>BB012</v>
      </c>
      <c r="AJ801" t="str">
        <f>"BB012"</f>
        <v>BB012</v>
      </c>
      <c r="AK801" t="s">
        <v>46</v>
      </c>
      <c r="AL801" s="1">
        <v>45086.900393518517</v>
      </c>
      <c r="AM801" t="s">
        <v>44</v>
      </c>
    </row>
    <row r="802" spans="1:39" x14ac:dyDescent="0.2">
      <c r="A802" t="s">
        <v>832</v>
      </c>
      <c r="B802" t="s">
        <v>40</v>
      </c>
      <c r="C802" t="s">
        <v>684</v>
      </c>
      <c r="D802" t="s">
        <v>42</v>
      </c>
      <c r="E802" t="s">
        <v>43</v>
      </c>
      <c r="F802" t="s">
        <v>44</v>
      </c>
      <c r="G802" t="s">
        <v>45</v>
      </c>
      <c r="AH802" t="s">
        <v>42</v>
      </c>
      <c r="AI802" t="str">
        <f>"66298809627798"</f>
        <v>66298809627798</v>
      </c>
      <c r="AJ802" t="str">
        <f>"400600"</f>
        <v>400600</v>
      </c>
      <c r="AK802" t="s">
        <v>46</v>
      </c>
      <c r="AL802" s="1">
        <v>44816.547407407408</v>
      </c>
      <c r="AM802" t="s">
        <v>44</v>
      </c>
    </row>
    <row r="803" spans="1:39" x14ac:dyDescent="0.2">
      <c r="A803" t="s">
        <v>833</v>
      </c>
      <c r="B803" t="s">
        <v>40</v>
      </c>
      <c r="C803" t="s">
        <v>684</v>
      </c>
      <c r="D803" t="s">
        <v>42</v>
      </c>
      <c r="E803" t="s">
        <v>43</v>
      </c>
      <c r="F803" t="s">
        <v>44</v>
      </c>
      <c r="G803" t="s">
        <v>45</v>
      </c>
      <c r="AH803" t="s">
        <v>42</v>
      </c>
      <c r="AI803" t="str">
        <f>"66298809734447"</f>
        <v>66298809734447</v>
      </c>
      <c r="AJ803" t="str">
        <f>"400594"</f>
        <v>400594</v>
      </c>
      <c r="AK803" t="s">
        <v>46</v>
      </c>
      <c r="AL803" s="1">
        <v>44816.547418981485</v>
      </c>
      <c r="AM803" t="s">
        <v>44</v>
      </c>
    </row>
    <row r="804" spans="1:39" x14ac:dyDescent="0.2">
      <c r="A804" t="s">
        <v>834</v>
      </c>
      <c r="B804" t="s">
        <v>40</v>
      </c>
      <c r="C804" t="s">
        <v>684</v>
      </c>
      <c r="D804" t="s">
        <v>42</v>
      </c>
      <c r="E804" t="s">
        <v>43</v>
      </c>
      <c r="F804" t="s">
        <v>44</v>
      </c>
      <c r="G804" t="s">
        <v>45</v>
      </c>
      <c r="AH804" t="s">
        <v>42</v>
      </c>
      <c r="AI804" t="str">
        <f>"66298809675367"</f>
        <v>66298809675367</v>
      </c>
      <c r="AJ804" t="str">
        <f>"21C-F6335-00HB"</f>
        <v>21C-F6335-00HB</v>
      </c>
      <c r="AK804" t="s">
        <v>46</v>
      </c>
      <c r="AL804" s="1">
        <v>44816.547407407408</v>
      </c>
      <c r="AM804" t="s">
        <v>44</v>
      </c>
    </row>
    <row r="805" spans="1:39" x14ac:dyDescent="0.2">
      <c r="A805" t="s">
        <v>834</v>
      </c>
      <c r="B805" t="s">
        <v>40</v>
      </c>
      <c r="C805" t="s">
        <v>684</v>
      </c>
      <c r="D805" t="s">
        <v>42</v>
      </c>
      <c r="E805" t="s">
        <v>43</v>
      </c>
      <c r="F805" t="s">
        <v>44</v>
      </c>
      <c r="G805" t="s">
        <v>45</v>
      </c>
      <c r="AH805" t="s">
        <v>42</v>
      </c>
      <c r="AI805" t="str">
        <f>"66298809680747"</f>
        <v>66298809680747</v>
      </c>
      <c r="AJ805" t="str">
        <f>"82344"</f>
        <v>82344</v>
      </c>
      <c r="AK805" t="s">
        <v>46</v>
      </c>
      <c r="AL805" s="1">
        <v>44816.547407407408</v>
      </c>
      <c r="AM805" t="s">
        <v>44</v>
      </c>
    </row>
    <row r="806" spans="1:39" x14ac:dyDescent="0.2">
      <c r="A806" t="s">
        <v>834</v>
      </c>
      <c r="B806" t="s">
        <v>40</v>
      </c>
      <c r="C806" t="s">
        <v>684</v>
      </c>
      <c r="D806" t="s">
        <v>42</v>
      </c>
      <c r="E806" t="s">
        <v>43</v>
      </c>
      <c r="F806" t="s">
        <v>44</v>
      </c>
      <c r="G806" t="s">
        <v>45</v>
      </c>
      <c r="AH806" t="s">
        <v>42</v>
      </c>
      <c r="AI806" t="str">
        <f>"BB002"</f>
        <v>BB002</v>
      </c>
      <c r="AJ806" t="str">
        <f>"BB002"</f>
        <v>BB002</v>
      </c>
      <c r="AK806" t="s">
        <v>46</v>
      </c>
      <c r="AL806" s="1">
        <v>45086.901273148149</v>
      </c>
      <c r="AM806" t="s">
        <v>44</v>
      </c>
    </row>
    <row r="807" spans="1:39" x14ac:dyDescent="0.2">
      <c r="A807" t="s">
        <v>835</v>
      </c>
      <c r="B807" t="s">
        <v>40</v>
      </c>
      <c r="C807" t="s">
        <v>684</v>
      </c>
      <c r="D807" t="s">
        <v>42</v>
      </c>
      <c r="E807" t="s">
        <v>43</v>
      </c>
      <c r="F807" t="s">
        <v>44</v>
      </c>
      <c r="G807" t="s">
        <v>45</v>
      </c>
      <c r="AH807" t="s">
        <v>42</v>
      </c>
      <c r="AI807" t="str">
        <f>"66298809777736"</f>
        <v>66298809777736</v>
      </c>
      <c r="AJ807" t="str">
        <f>"400602"</f>
        <v>400602</v>
      </c>
      <c r="AK807" t="s">
        <v>46</v>
      </c>
      <c r="AL807" s="1">
        <v>44816.547418981485</v>
      </c>
      <c r="AM807" t="s">
        <v>44</v>
      </c>
    </row>
    <row r="808" spans="1:39" x14ac:dyDescent="0.2">
      <c r="A808" t="s">
        <v>836</v>
      </c>
      <c r="B808" t="s">
        <v>40</v>
      </c>
      <c r="C808" t="s">
        <v>684</v>
      </c>
      <c r="D808" t="s">
        <v>42</v>
      </c>
      <c r="E808" t="s">
        <v>43</v>
      </c>
      <c r="F808" t="s">
        <v>44</v>
      </c>
      <c r="G808" t="s">
        <v>45</v>
      </c>
      <c r="AH808" t="s">
        <v>42</v>
      </c>
      <c r="AI808" t="str">
        <f>"BB013"</f>
        <v>BB013</v>
      </c>
      <c r="AJ808" t="str">
        <f>"BB013"</f>
        <v>BB013</v>
      </c>
      <c r="AK808" t="s">
        <v>46</v>
      </c>
      <c r="AL808" s="1">
        <v>45086.902106481481</v>
      </c>
      <c r="AM808" t="s">
        <v>44</v>
      </c>
    </row>
    <row r="809" spans="1:39" x14ac:dyDescent="0.2">
      <c r="A809" t="s">
        <v>837</v>
      </c>
      <c r="B809" t="s">
        <v>40</v>
      </c>
      <c r="C809" t="s">
        <v>684</v>
      </c>
      <c r="D809" t="s">
        <v>42</v>
      </c>
      <c r="E809" t="s">
        <v>43</v>
      </c>
      <c r="F809" t="s">
        <v>44</v>
      </c>
      <c r="G809" t="s">
        <v>45</v>
      </c>
      <c r="AH809" t="s">
        <v>42</v>
      </c>
      <c r="AI809" t="str">
        <f>"66298809884183"</f>
        <v>66298809884183</v>
      </c>
      <c r="AJ809" t="str">
        <f>"400603"</f>
        <v>400603</v>
      </c>
      <c r="AK809" t="s">
        <v>46</v>
      </c>
      <c r="AL809" s="1">
        <v>44816.547430555554</v>
      </c>
      <c r="AM809" t="s">
        <v>44</v>
      </c>
    </row>
    <row r="810" spans="1:39" x14ac:dyDescent="0.2">
      <c r="A810" t="s">
        <v>838</v>
      </c>
      <c r="B810" t="s">
        <v>40</v>
      </c>
      <c r="C810" t="s">
        <v>684</v>
      </c>
      <c r="D810" t="s">
        <v>42</v>
      </c>
      <c r="E810" t="s">
        <v>43</v>
      </c>
      <c r="F810" t="s">
        <v>44</v>
      </c>
      <c r="G810" t="s">
        <v>45</v>
      </c>
      <c r="AH810" t="s">
        <v>42</v>
      </c>
      <c r="AI810" t="str">
        <f>"82069"</f>
        <v>82069</v>
      </c>
      <c r="AJ810" t="str">
        <f>"82069"</f>
        <v>82069</v>
      </c>
      <c r="AK810" t="s">
        <v>46</v>
      </c>
      <c r="AL810" s="1">
        <v>44816.547430555554</v>
      </c>
      <c r="AM810" t="s">
        <v>44</v>
      </c>
    </row>
    <row r="811" spans="1:39" x14ac:dyDescent="0.2">
      <c r="A811" t="s">
        <v>838</v>
      </c>
      <c r="B811" t="s">
        <v>40</v>
      </c>
      <c r="C811" t="s">
        <v>684</v>
      </c>
      <c r="D811" t="s">
        <v>42</v>
      </c>
      <c r="E811" t="s">
        <v>43</v>
      </c>
      <c r="F811" t="s">
        <v>44</v>
      </c>
      <c r="G811" t="s">
        <v>45</v>
      </c>
      <c r="AH811" t="s">
        <v>42</v>
      </c>
      <c r="AI811" t="str">
        <f>"BB004"</f>
        <v>BB004</v>
      </c>
      <c r="AJ811" t="str">
        <f>"BB004"</f>
        <v>BB004</v>
      </c>
      <c r="AK811" t="s">
        <v>46</v>
      </c>
      <c r="AL811" s="1">
        <v>44816.547430555554</v>
      </c>
      <c r="AM811" t="s">
        <v>44</v>
      </c>
    </row>
    <row r="812" spans="1:39" x14ac:dyDescent="0.2">
      <c r="A812" t="s">
        <v>839</v>
      </c>
      <c r="B812" t="s">
        <v>40</v>
      </c>
      <c r="C812" t="s">
        <v>684</v>
      </c>
      <c r="D812" t="s">
        <v>42</v>
      </c>
      <c r="E812" t="s">
        <v>43</v>
      </c>
      <c r="F812" t="s">
        <v>44</v>
      </c>
      <c r="G812" t="s">
        <v>45</v>
      </c>
      <c r="AH812" t="s">
        <v>42</v>
      </c>
      <c r="AI812" t="str">
        <f>"58200-05392"</f>
        <v>58200-05392</v>
      </c>
      <c r="AJ812" t="str">
        <f>"58200-05392"</f>
        <v>58200-05392</v>
      </c>
      <c r="AK812" t="s">
        <v>46</v>
      </c>
      <c r="AL812" s="1">
        <v>44816.547442129631</v>
      </c>
      <c r="AM812" t="s">
        <v>44</v>
      </c>
    </row>
    <row r="813" spans="1:39" x14ac:dyDescent="0.2">
      <c r="A813" t="s">
        <v>840</v>
      </c>
      <c r="B813" t="s">
        <v>40</v>
      </c>
      <c r="C813" t="s">
        <v>684</v>
      </c>
      <c r="D813" t="s">
        <v>42</v>
      </c>
      <c r="E813" t="s">
        <v>43</v>
      </c>
      <c r="F813" t="s">
        <v>44</v>
      </c>
      <c r="G813" t="s">
        <v>45</v>
      </c>
      <c r="AH813" t="s">
        <v>42</v>
      </c>
      <c r="AI813" t="str">
        <f>"66298809968674"</f>
        <v>66298809968674</v>
      </c>
      <c r="AJ813" t="str">
        <f>"58200-45F40"</f>
        <v>58200-45F40</v>
      </c>
      <c r="AK813" t="s">
        <v>46</v>
      </c>
      <c r="AL813" s="1">
        <v>44816.547442129631</v>
      </c>
      <c r="AM813" t="s">
        <v>44</v>
      </c>
    </row>
    <row r="814" spans="1:39" x14ac:dyDescent="0.2">
      <c r="A814" t="s">
        <v>840</v>
      </c>
      <c r="B814" t="s">
        <v>40</v>
      </c>
      <c r="C814" t="s">
        <v>684</v>
      </c>
      <c r="D814" t="s">
        <v>42</v>
      </c>
      <c r="E814" t="s">
        <v>43</v>
      </c>
      <c r="F814" t="s">
        <v>44</v>
      </c>
      <c r="G814" t="s">
        <v>45</v>
      </c>
      <c r="AH814" t="s">
        <v>42</v>
      </c>
      <c r="AI814" t="str">
        <f>"66298809974690"</f>
        <v>66298809974690</v>
      </c>
      <c r="AJ814" t="str">
        <f>"BC005"</f>
        <v>BC005</v>
      </c>
      <c r="AK814" t="s">
        <v>46</v>
      </c>
      <c r="AL814" s="1">
        <v>44816.547442129631</v>
      </c>
      <c r="AM814" t="s">
        <v>44</v>
      </c>
    </row>
    <row r="815" spans="1:39" x14ac:dyDescent="0.2">
      <c r="A815" t="s">
        <v>841</v>
      </c>
      <c r="B815" t="s">
        <v>40</v>
      </c>
      <c r="C815" t="s">
        <v>684</v>
      </c>
      <c r="D815" t="s">
        <v>42</v>
      </c>
      <c r="E815" t="s">
        <v>43</v>
      </c>
      <c r="F815" t="s">
        <v>44</v>
      </c>
      <c r="G815" t="s">
        <v>45</v>
      </c>
      <c r="AH815" t="s">
        <v>42</v>
      </c>
      <c r="AI815" t="str">
        <f>"58200-30H10-000HB"</f>
        <v>58200-30H10-000HB</v>
      </c>
      <c r="AJ815" t="str">
        <f>"58200-30H10-000HB"</f>
        <v>58200-30H10-000HB</v>
      </c>
      <c r="AK815" t="s">
        <v>46</v>
      </c>
      <c r="AL815" s="1">
        <v>45086.904363425929</v>
      </c>
      <c r="AM815" t="s">
        <v>44</v>
      </c>
    </row>
    <row r="816" spans="1:39" x14ac:dyDescent="0.2">
      <c r="A816" t="s">
        <v>842</v>
      </c>
      <c r="B816" t="s">
        <v>40</v>
      </c>
      <c r="C816" t="s">
        <v>684</v>
      </c>
      <c r="D816" t="s">
        <v>42</v>
      </c>
      <c r="E816" t="s">
        <v>43</v>
      </c>
      <c r="F816" t="s">
        <v>44</v>
      </c>
      <c r="G816" t="s">
        <v>45</v>
      </c>
      <c r="AH816" t="s">
        <v>42</v>
      </c>
      <c r="AI816" t="str">
        <f>"66298810031353"</f>
        <v>66298810031353</v>
      </c>
      <c r="AJ816" t="str">
        <f>"58200-30H10JP"</f>
        <v>58200-30H10JP</v>
      </c>
      <c r="AK816" t="s">
        <v>46</v>
      </c>
      <c r="AL816" s="1">
        <v>44816.547453703701</v>
      </c>
      <c r="AM816" t="s">
        <v>44</v>
      </c>
    </row>
    <row r="817" spans="1:39" x14ac:dyDescent="0.2">
      <c r="A817" t="s">
        <v>843</v>
      </c>
      <c r="B817" t="s">
        <v>40</v>
      </c>
      <c r="C817" t="s">
        <v>684</v>
      </c>
      <c r="D817" t="s">
        <v>42</v>
      </c>
      <c r="E817" t="s">
        <v>43</v>
      </c>
      <c r="F817" t="s">
        <v>44</v>
      </c>
      <c r="G817" t="s">
        <v>45</v>
      </c>
      <c r="AH817" t="s">
        <v>42</v>
      </c>
      <c r="AI817" t="str">
        <f>"BB003"</f>
        <v>BB003</v>
      </c>
      <c r="AJ817" t="str">
        <f>"BB003"</f>
        <v>BB003</v>
      </c>
      <c r="AK817" t="s">
        <v>46</v>
      </c>
      <c r="AL817" s="1">
        <v>45086.904826388891</v>
      </c>
      <c r="AM817" t="s">
        <v>44</v>
      </c>
    </row>
    <row r="818" spans="1:39" x14ac:dyDescent="0.2">
      <c r="A818" t="s">
        <v>844</v>
      </c>
      <c r="B818" t="s">
        <v>40</v>
      </c>
      <c r="C818" t="s">
        <v>684</v>
      </c>
      <c r="D818" t="s">
        <v>42</v>
      </c>
      <c r="E818" t="s">
        <v>43</v>
      </c>
      <c r="F818" t="s">
        <v>44</v>
      </c>
      <c r="G818" t="s">
        <v>45</v>
      </c>
      <c r="AH818" t="s">
        <v>42</v>
      </c>
      <c r="AI818" t="str">
        <f>"66298810070750"</f>
        <v>66298810070750</v>
      </c>
      <c r="AJ818" t="str">
        <f>"C089"</f>
        <v>C089</v>
      </c>
      <c r="AK818" t="s">
        <v>46</v>
      </c>
      <c r="AL818" s="1">
        <v>44816.547453703701</v>
      </c>
      <c r="AM818" t="s">
        <v>44</v>
      </c>
    </row>
    <row r="819" spans="1:39" x14ac:dyDescent="0.2">
      <c r="A819" t="s">
        <v>845</v>
      </c>
      <c r="B819" t="s">
        <v>40</v>
      </c>
      <c r="C819" t="s">
        <v>684</v>
      </c>
      <c r="D819" t="s">
        <v>42</v>
      </c>
      <c r="E819" t="s">
        <v>43</v>
      </c>
      <c r="F819" t="s">
        <v>44</v>
      </c>
      <c r="G819" t="s">
        <v>45</v>
      </c>
      <c r="AH819" t="s">
        <v>42</v>
      </c>
      <c r="AI819" t="str">
        <f>"66298810113633"</f>
        <v>66298810113633</v>
      </c>
      <c r="AJ819" t="str">
        <f>"400606"</f>
        <v>400606</v>
      </c>
      <c r="AK819" t="s">
        <v>46</v>
      </c>
      <c r="AL819" s="1">
        <v>44816.547465277778</v>
      </c>
      <c r="AM819" t="s">
        <v>44</v>
      </c>
    </row>
    <row r="820" spans="1:39" x14ac:dyDescent="0.2">
      <c r="A820" t="s">
        <v>846</v>
      </c>
      <c r="B820" t="s">
        <v>40</v>
      </c>
      <c r="C820" t="s">
        <v>684</v>
      </c>
      <c r="D820" t="s">
        <v>42</v>
      </c>
      <c r="E820" t="s">
        <v>43</v>
      </c>
      <c r="F820" t="s">
        <v>44</v>
      </c>
      <c r="G820" t="s">
        <v>45</v>
      </c>
      <c r="AH820" t="s">
        <v>42</v>
      </c>
      <c r="AI820" t="str">
        <f>"66298810152167"</f>
        <v>66298810152167</v>
      </c>
      <c r="AJ820" t="str">
        <f>"320240397-0001JP"</f>
        <v>320240397-0001JP</v>
      </c>
      <c r="AK820" t="s">
        <v>46</v>
      </c>
      <c r="AL820" s="1">
        <v>44816.547465277778</v>
      </c>
      <c r="AM820" t="s">
        <v>44</v>
      </c>
    </row>
    <row r="821" spans="1:39" x14ac:dyDescent="0.2">
      <c r="A821" t="s">
        <v>847</v>
      </c>
      <c r="B821" t="s">
        <v>40</v>
      </c>
      <c r="C821" t="s">
        <v>684</v>
      </c>
      <c r="D821" t="s">
        <v>42</v>
      </c>
      <c r="E821" t="s">
        <v>43</v>
      </c>
      <c r="F821" t="s">
        <v>44</v>
      </c>
      <c r="G821" t="s">
        <v>45</v>
      </c>
      <c r="AH821" t="s">
        <v>42</v>
      </c>
      <c r="AI821" t="str">
        <f>"66298810191196"</f>
        <v>66298810191196</v>
      </c>
      <c r="AJ821" t="str">
        <f>"7701023704571"</f>
        <v>7701023704571</v>
      </c>
      <c r="AK821" t="s">
        <v>46</v>
      </c>
      <c r="AL821" s="1">
        <v>44816.547465277778</v>
      </c>
      <c r="AM821" t="s">
        <v>44</v>
      </c>
    </row>
    <row r="822" spans="1:39" x14ac:dyDescent="0.2">
      <c r="A822" t="s">
        <v>848</v>
      </c>
      <c r="B822" t="s">
        <v>40</v>
      </c>
      <c r="C822" t="s">
        <v>684</v>
      </c>
      <c r="D822" t="s">
        <v>42</v>
      </c>
      <c r="E822" t="s">
        <v>43</v>
      </c>
      <c r="F822" t="s">
        <v>44</v>
      </c>
      <c r="G822" t="s">
        <v>45</v>
      </c>
      <c r="AH822" t="s">
        <v>43</v>
      </c>
      <c r="AI822" t="str">
        <f>"58200H2C000H000"</f>
        <v>58200H2C000H000</v>
      </c>
      <c r="AJ822" t="str">
        <f>"58200H2C000H000"</f>
        <v>58200H2C000H000</v>
      </c>
      <c r="AK822" t="s">
        <v>46</v>
      </c>
      <c r="AL822" s="1">
        <v>44875.761655092596</v>
      </c>
      <c r="AM822" t="s">
        <v>44</v>
      </c>
    </row>
    <row r="823" spans="1:39" x14ac:dyDescent="0.2">
      <c r="A823" t="s">
        <v>849</v>
      </c>
      <c r="B823" t="s">
        <v>40</v>
      </c>
      <c r="C823" t="s">
        <v>684</v>
      </c>
      <c r="D823" t="s">
        <v>42</v>
      </c>
      <c r="E823" t="s">
        <v>43</v>
      </c>
      <c r="F823" t="s">
        <v>44</v>
      </c>
      <c r="G823" t="s">
        <v>45</v>
      </c>
      <c r="AH823" t="s">
        <v>42</v>
      </c>
      <c r="AI823" t="str">
        <f>"EMHJ52259"</f>
        <v>EMHJ52259</v>
      </c>
      <c r="AJ823" t="str">
        <f>"EMHJ52259"</f>
        <v>EMHJ52259</v>
      </c>
      <c r="AK823" t="s">
        <v>46</v>
      </c>
      <c r="AL823" s="1">
        <v>45097.879363425927</v>
      </c>
      <c r="AM823" t="s">
        <v>44</v>
      </c>
    </row>
    <row r="824" spans="1:39" x14ac:dyDescent="0.2">
      <c r="A824" t="s">
        <v>850</v>
      </c>
      <c r="B824" t="s">
        <v>40</v>
      </c>
      <c r="C824" t="s">
        <v>684</v>
      </c>
      <c r="D824" t="s">
        <v>42</v>
      </c>
      <c r="E824" t="s">
        <v>43</v>
      </c>
      <c r="F824" t="s">
        <v>44</v>
      </c>
      <c r="G824" t="s">
        <v>45</v>
      </c>
      <c r="AH824" t="s">
        <v>42</v>
      </c>
      <c r="AI824" t="str">
        <f>"66298810231939"</f>
        <v>66298810231939</v>
      </c>
      <c r="AJ824" t="str">
        <f>"B04-F6335-00HB"</f>
        <v>B04-F6335-00HB</v>
      </c>
      <c r="AK824" t="s">
        <v>46</v>
      </c>
      <c r="AL824" s="1">
        <v>44816.547476851854</v>
      </c>
      <c r="AM824" t="s">
        <v>44</v>
      </c>
    </row>
    <row r="825" spans="1:39" x14ac:dyDescent="0.2">
      <c r="A825" t="s">
        <v>851</v>
      </c>
      <c r="B825" t="s">
        <v>40</v>
      </c>
      <c r="C825" t="s">
        <v>684</v>
      </c>
      <c r="D825" t="s">
        <v>42</v>
      </c>
      <c r="E825" t="s">
        <v>43</v>
      </c>
      <c r="F825" t="s">
        <v>44</v>
      </c>
      <c r="G825" t="s">
        <v>45</v>
      </c>
      <c r="AH825" t="s">
        <v>42</v>
      </c>
      <c r="AI825" t="str">
        <f>"66298810270640"</f>
        <v>66298810270640</v>
      </c>
      <c r="AJ825" t="str">
        <f>"58200H40101H000"</f>
        <v>58200H40101H000</v>
      </c>
      <c r="AK825" t="s">
        <v>46</v>
      </c>
      <c r="AL825" s="1">
        <v>44816.547476851854</v>
      </c>
      <c r="AM825" t="s">
        <v>44</v>
      </c>
    </row>
    <row r="826" spans="1:39" x14ac:dyDescent="0.2">
      <c r="A826" t="s">
        <v>852</v>
      </c>
      <c r="B826" t="s">
        <v>40</v>
      </c>
      <c r="C826" t="s">
        <v>684</v>
      </c>
      <c r="D826" t="s">
        <v>42</v>
      </c>
      <c r="E826" t="s">
        <v>43</v>
      </c>
      <c r="F826" t="s">
        <v>44</v>
      </c>
      <c r="G826" t="s">
        <v>45</v>
      </c>
      <c r="AH826" t="s">
        <v>42</v>
      </c>
      <c r="AI826" t="str">
        <f>"22870-KSM-900HB"</f>
        <v>22870-KSM-900HB</v>
      </c>
      <c r="AJ826" t="str">
        <f>"22870-KSM-900HB"</f>
        <v>22870-KSM-900HB</v>
      </c>
      <c r="AK826" t="s">
        <v>46</v>
      </c>
      <c r="AL826" s="1">
        <v>44816.547488425924</v>
      </c>
      <c r="AM826" t="s">
        <v>44</v>
      </c>
    </row>
    <row r="827" spans="1:39" x14ac:dyDescent="0.2">
      <c r="A827" t="s">
        <v>853</v>
      </c>
      <c r="B827" t="s">
        <v>40</v>
      </c>
      <c r="C827" t="s">
        <v>684</v>
      </c>
      <c r="D827" t="s">
        <v>42</v>
      </c>
      <c r="E827" t="s">
        <v>43</v>
      </c>
      <c r="F827" t="s">
        <v>44</v>
      </c>
      <c r="G827" t="s">
        <v>45</v>
      </c>
      <c r="AH827" t="s">
        <v>42</v>
      </c>
      <c r="AI827" t="str">
        <f>"66298810352451"</f>
        <v>66298810352451</v>
      </c>
      <c r="AJ827" t="str">
        <f>"DJ-1910-01HB"</f>
        <v>DJ-1910-01HB</v>
      </c>
      <c r="AK827" t="s">
        <v>46</v>
      </c>
      <c r="AL827" s="1">
        <v>44816.547488425924</v>
      </c>
      <c r="AM827" t="s">
        <v>44</v>
      </c>
    </row>
    <row r="828" spans="1:39" x14ac:dyDescent="0.2">
      <c r="A828" t="s">
        <v>854</v>
      </c>
      <c r="B828" t="s">
        <v>40</v>
      </c>
      <c r="C828" t="s">
        <v>684</v>
      </c>
      <c r="D828" t="s">
        <v>42</v>
      </c>
      <c r="E828" t="s">
        <v>43</v>
      </c>
      <c r="F828" t="s">
        <v>44</v>
      </c>
      <c r="G828" t="s">
        <v>45</v>
      </c>
      <c r="AH828" t="s">
        <v>42</v>
      </c>
      <c r="AI828" t="str">
        <f>"66298810393230"</f>
        <v>66298810393230</v>
      </c>
      <c r="AJ828" t="str">
        <f>"JF-1612-01HB"</f>
        <v>JF-1612-01HB</v>
      </c>
      <c r="AK828" t="s">
        <v>46</v>
      </c>
      <c r="AL828" s="1">
        <v>44816.547488425924</v>
      </c>
      <c r="AM828" t="s">
        <v>44</v>
      </c>
    </row>
    <row r="829" spans="1:39" x14ac:dyDescent="0.2">
      <c r="A829" t="s">
        <v>855</v>
      </c>
      <c r="B829" t="s">
        <v>40</v>
      </c>
      <c r="C829" t="s">
        <v>684</v>
      </c>
      <c r="D829" t="s">
        <v>42</v>
      </c>
      <c r="E829" t="s">
        <v>43</v>
      </c>
      <c r="F829" t="s">
        <v>44</v>
      </c>
      <c r="G829" t="s">
        <v>45</v>
      </c>
      <c r="AH829" t="s">
        <v>42</v>
      </c>
      <c r="AI829" t="str">
        <f>"66298810435386"</f>
        <v>66298810435386</v>
      </c>
      <c r="AJ829" t="str">
        <f>"400608"</f>
        <v>400608</v>
      </c>
      <c r="AK829" t="s">
        <v>46</v>
      </c>
      <c r="AL829" s="1">
        <v>44816.547500000001</v>
      </c>
      <c r="AM829" t="s">
        <v>44</v>
      </c>
    </row>
    <row r="830" spans="1:39" x14ac:dyDescent="0.2">
      <c r="A830" t="s">
        <v>856</v>
      </c>
      <c r="B830" t="s">
        <v>40</v>
      </c>
      <c r="C830" t="s">
        <v>684</v>
      </c>
      <c r="D830" t="s">
        <v>42</v>
      </c>
      <c r="E830" t="s">
        <v>43</v>
      </c>
      <c r="F830" t="s">
        <v>44</v>
      </c>
      <c r="G830" t="s">
        <v>45</v>
      </c>
      <c r="AH830" t="s">
        <v>42</v>
      </c>
      <c r="AI830" t="str">
        <f>"66298810533838"</f>
        <v>66298810533838</v>
      </c>
      <c r="AJ830" t="str">
        <f>"400610"</f>
        <v>400610</v>
      </c>
      <c r="AK830" t="s">
        <v>46</v>
      </c>
      <c r="AL830" s="1">
        <v>44816.547511574077</v>
      </c>
      <c r="AM830" t="s">
        <v>44</v>
      </c>
    </row>
    <row r="831" spans="1:39" x14ac:dyDescent="0.2">
      <c r="A831" t="s">
        <v>857</v>
      </c>
      <c r="B831" t="s">
        <v>40</v>
      </c>
      <c r="C831" t="s">
        <v>684</v>
      </c>
      <c r="D831" t="s">
        <v>42</v>
      </c>
      <c r="E831" t="s">
        <v>43</v>
      </c>
      <c r="F831" t="s">
        <v>44</v>
      </c>
      <c r="G831" t="s">
        <v>45</v>
      </c>
      <c r="AH831" t="s">
        <v>42</v>
      </c>
      <c r="AI831" t="str">
        <f>"66298810477288"</f>
        <v>66298810477288</v>
      </c>
      <c r="AJ831" t="str">
        <f>"83172"</f>
        <v>83172</v>
      </c>
      <c r="AK831" t="s">
        <v>46</v>
      </c>
      <c r="AL831" s="1">
        <v>44816.547500000001</v>
      </c>
      <c r="AM831" t="s">
        <v>44</v>
      </c>
    </row>
    <row r="832" spans="1:39" x14ac:dyDescent="0.2">
      <c r="A832" t="s">
        <v>857</v>
      </c>
      <c r="B832" t="s">
        <v>40</v>
      </c>
      <c r="C832" t="s">
        <v>684</v>
      </c>
      <c r="D832" t="s">
        <v>42</v>
      </c>
      <c r="E832" t="s">
        <v>43</v>
      </c>
      <c r="F832" t="s">
        <v>44</v>
      </c>
      <c r="G832" t="s">
        <v>45</v>
      </c>
      <c r="AH832" t="s">
        <v>42</v>
      </c>
      <c r="AI832" t="str">
        <f>"66298810484427"</f>
        <v>66298810484427</v>
      </c>
      <c r="AJ832" t="str">
        <f>"JL-1612-00HB"</f>
        <v>JL-1612-00HB</v>
      </c>
      <c r="AK832" t="s">
        <v>46</v>
      </c>
      <c r="AL832" s="1">
        <v>44816.547500000001</v>
      </c>
      <c r="AM832" t="s">
        <v>44</v>
      </c>
    </row>
    <row r="833" spans="1:39" x14ac:dyDescent="0.2">
      <c r="A833" t="s">
        <v>858</v>
      </c>
      <c r="B833" t="s">
        <v>40</v>
      </c>
      <c r="C833" t="s">
        <v>684</v>
      </c>
      <c r="D833" t="s">
        <v>42</v>
      </c>
      <c r="E833" t="s">
        <v>43</v>
      </c>
      <c r="F833" t="s">
        <v>44</v>
      </c>
      <c r="G833" t="s">
        <v>45</v>
      </c>
      <c r="AH833" t="s">
        <v>42</v>
      </c>
      <c r="AI833" t="str">
        <f>"66298810576552"</f>
        <v>66298810576552</v>
      </c>
      <c r="AJ833" t="str">
        <f>"DK-1910-11HB"</f>
        <v>DK-1910-11HB</v>
      </c>
      <c r="AK833" t="s">
        <v>46</v>
      </c>
      <c r="AL833" s="1">
        <v>44816.547511574077</v>
      </c>
      <c r="AM833" t="s">
        <v>44</v>
      </c>
    </row>
    <row r="834" spans="1:39" x14ac:dyDescent="0.2">
      <c r="A834" t="s">
        <v>859</v>
      </c>
      <c r="B834" t="s">
        <v>40</v>
      </c>
      <c r="C834" t="s">
        <v>684</v>
      </c>
      <c r="D834" t="s">
        <v>42</v>
      </c>
      <c r="E834" t="s">
        <v>43</v>
      </c>
      <c r="F834" t="s">
        <v>44</v>
      </c>
      <c r="G834" t="s">
        <v>45</v>
      </c>
      <c r="AH834" t="s">
        <v>42</v>
      </c>
      <c r="AI834" t="str">
        <f>"66298810615598"</f>
        <v>66298810615598</v>
      </c>
      <c r="AJ834" t="str">
        <f>"400611"</f>
        <v>400611</v>
      </c>
      <c r="AK834" t="s">
        <v>46</v>
      </c>
      <c r="AL834" s="1">
        <v>44816.547523148147</v>
      </c>
      <c r="AM834" t="s">
        <v>44</v>
      </c>
    </row>
    <row r="835" spans="1:39" x14ac:dyDescent="0.2">
      <c r="A835" t="s">
        <v>860</v>
      </c>
      <c r="B835" t="s">
        <v>40</v>
      </c>
      <c r="C835" t="s">
        <v>830</v>
      </c>
      <c r="D835" t="s">
        <v>42</v>
      </c>
      <c r="E835" t="s">
        <v>43</v>
      </c>
      <c r="F835" t="s">
        <v>44</v>
      </c>
      <c r="G835" t="s">
        <v>45</v>
      </c>
      <c r="AH835" t="s">
        <v>42</v>
      </c>
      <c r="AI835" t="str">
        <f>"EMKD00227"</f>
        <v>EMKD00227</v>
      </c>
      <c r="AJ835" t="str">
        <f>"EMKD00227"</f>
        <v>EMKD00227</v>
      </c>
      <c r="AK835" t="s">
        <v>46</v>
      </c>
      <c r="AL835" s="1">
        <v>45021.893483796295</v>
      </c>
      <c r="AM835" t="s">
        <v>44</v>
      </c>
    </row>
    <row r="836" spans="1:39" x14ac:dyDescent="0.2">
      <c r="A836" t="s">
        <v>861</v>
      </c>
      <c r="B836" t="s">
        <v>40</v>
      </c>
      <c r="C836" t="s">
        <v>684</v>
      </c>
      <c r="D836" t="s">
        <v>42</v>
      </c>
      <c r="E836" t="s">
        <v>43</v>
      </c>
      <c r="F836" t="s">
        <v>44</v>
      </c>
      <c r="G836" t="s">
        <v>45</v>
      </c>
      <c r="AH836" t="s">
        <v>42</v>
      </c>
      <c r="AI836" t="str">
        <f>"66298810655662"</f>
        <v>66298810655662</v>
      </c>
      <c r="AJ836" t="str">
        <f>"400239"</f>
        <v>400239</v>
      </c>
      <c r="AK836" t="s">
        <v>46</v>
      </c>
      <c r="AL836" s="1">
        <v>44816.547523148147</v>
      </c>
      <c r="AM836" t="s">
        <v>44</v>
      </c>
    </row>
    <row r="837" spans="1:39" x14ac:dyDescent="0.2">
      <c r="A837" t="s">
        <v>862</v>
      </c>
      <c r="B837" t="s">
        <v>40</v>
      </c>
      <c r="C837" t="s">
        <v>684</v>
      </c>
      <c r="D837" t="s">
        <v>42</v>
      </c>
      <c r="E837" t="s">
        <v>43</v>
      </c>
      <c r="F837" t="s">
        <v>44</v>
      </c>
      <c r="G837" t="s">
        <v>45</v>
      </c>
      <c r="AH837" t="s">
        <v>42</v>
      </c>
      <c r="AI837" t="str">
        <f>"66298810697656"</f>
        <v>66298810697656</v>
      </c>
      <c r="AJ837" t="str">
        <f>"400615"</f>
        <v>400615</v>
      </c>
      <c r="AK837" t="s">
        <v>46</v>
      </c>
      <c r="AL837" s="1">
        <v>44816.547523148147</v>
      </c>
      <c r="AM837" t="s">
        <v>44</v>
      </c>
    </row>
    <row r="838" spans="1:39" x14ac:dyDescent="0.2">
      <c r="A838" t="s">
        <v>863</v>
      </c>
      <c r="B838" t="s">
        <v>40</v>
      </c>
      <c r="C838" t="s">
        <v>684</v>
      </c>
      <c r="D838" t="s">
        <v>42</v>
      </c>
      <c r="E838" t="s">
        <v>43</v>
      </c>
      <c r="F838" t="s">
        <v>44</v>
      </c>
      <c r="G838" t="s">
        <v>45</v>
      </c>
      <c r="AH838" t="s">
        <v>42</v>
      </c>
      <c r="AI838" t="str">
        <f>"66298810754998"</f>
        <v>66298810754998</v>
      </c>
      <c r="AJ838" t="str">
        <f>"58200H37210H000"</f>
        <v>58200H37210H000</v>
      </c>
      <c r="AK838" t="s">
        <v>46</v>
      </c>
      <c r="AL838" s="1">
        <v>44816.547534722224</v>
      </c>
      <c r="AM838" t="s">
        <v>44</v>
      </c>
    </row>
    <row r="839" spans="1:39" x14ac:dyDescent="0.2">
      <c r="A839" t="s">
        <v>864</v>
      </c>
      <c r="B839" t="s">
        <v>40</v>
      </c>
      <c r="C839" t="s">
        <v>684</v>
      </c>
      <c r="D839" t="s">
        <v>42</v>
      </c>
      <c r="E839" t="s">
        <v>43</v>
      </c>
      <c r="F839" t="s">
        <v>44</v>
      </c>
      <c r="G839" t="s">
        <v>45</v>
      </c>
      <c r="AH839" t="s">
        <v>42</v>
      </c>
      <c r="AI839" t="str">
        <f>"BB007"</f>
        <v>BB007</v>
      </c>
      <c r="AJ839" t="str">
        <f>"BB007"</f>
        <v>BB007</v>
      </c>
      <c r="AK839" t="s">
        <v>46</v>
      </c>
      <c r="AL839" s="1">
        <v>44858.73128472222</v>
      </c>
      <c r="AM839" t="s">
        <v>44</v>
      </c>
    </row>
    <row r="840" spans="1:39" x14ac:dyDescent="0.2">
      <c r="A840" t="s">
        <v>865</v>
      </c>
      <c r="B840" t="s">
        <v>40</v>
      </c>
      <c r="C840" t="s">
        <v>684</v>
      </c>
      <c r="D840" t="s">
        <v>42</v>
      </c>
      <c r="E840" t="s">
        <v>43</v>
      </c>
      <c r="F840" t="s">
        <v>44</v>
      </c>
      <c r="G840" t="s">
        <v>45</v>
      </c>
      <c r="AH840" t="s">
        <v>42</v>
      </c>
      <c r="AI840" t="str">
        <f>"66298810802359"</f>
        <v>66298810802359</v>
      </c>
      <c r="AJ840" t="str">
        <f>"400617"</f>
        <v>400617</v>
      </c>
      <c r="AK840" t="s">
        <v>46</v>
      </c>
      <c r="AL840" s="1">
        <v>44816.547546296293</v>
      </c>
      <c r="AM840" t="s">
        <v>44</v>
      </c>
    </row>
    <row r="841" spans="1:39" x14ac:dyDescent="0.2">
      <c r="A841" t="s">
        <v>866</v>
      </c>
      <c r="B841" t="s">
        <v>40</v>
      </c>
      <c r="C841" t="s">
        <v>684</v>
      </c>
      <c r="D841" t="s">
        <v>42</v>
      </c>
      <c r="E841" t="s">
        <v>43</v>
      </c>
      <c r="F841" t="s">
        <v>44</v>
      </c>
      <c r="G841" t="s">
        <v>45</v>
      </c>
      <c r="AH841" t="s">
        <v>42</v>
      </c>
      <c r="AI841" t="str">
        <f>"66298810894726"</f>
        <v>66298810894726</v>
      </c>
      <c r="AJ841" t="str">
        <f>"400618"</f>
        <v>400618</v>
      </c>
      <c r="AK841" t="s">
        <v>46</v>
      </c>
      <c r="AL841" s="1">
        <v>44816.547546296293</v>
      </c>
      <c r="AM841" t="s">
        <v>44</v>
      </c>
    </row>
    <row r="842" spans="1:39" x14ac:dyDescent="0.2">
      <c r="A842" t="s">
        <v>867</v>
      </c>
      <c r="B842" t="s">
        <v>40</v>
      </c>
      <c r="C842" t="s">
        <v>684</v>
      </c>
      <c r="D842" t="s">
        <v>42</v>
      </c>
      <c r="E842" t="s">
        <v>43</v>
      </c>
      <c r="F842" t="s">
        <v>44</v>
      </c>
      <c r="G842" t="s">
        <v>45</v>
      </c>
      <c r="AH842" t="s">
        <v>42</v>
      </c>
      <c r="AI842" t="str">
        <f>"66298810844920"</f>
        <v>66298810844920</v>
      </c>
      <c r="AJ842" t="str">
        <f>"22870-KRH-780"</f>
        <v>22870-KRH-780</v>
      </c>
      <c r="AK842" t="s">
        <v>46</v>
      </c>
      <c r="AL842" s="1">
        <v>44816.547546296293</v>
      </c>
      <c r="AM842" t="s">
        <v>44</v>
      </c>
    </row>
    <row r="843" spans="1:39" x14ac:dyDescent="0.2">
      <c r="A843" t="s">
        <v>867</v>
      </c>
      <c r="B843" t="s">
        <v>40</v>
      </c>
      <c r="C843" t="s">
        <v>684</v>
      </c>
      <c r="D843" t="s">
        <v>42</v>
      </c>
      <c r="E843" t="s">
        <v>43</v>
      </c>
      <c r="F843" t="s">
        <v>44</v>
      </c>
      <c r="G843" t="s">
        <v>45</v>
      </c>
      <c r="AH843" t="s">
        <v>42</v>
      </c>
      <c r="AI843" t="str">
        <f>"BB017"</f>
        <v>BB017</v>
      </c>
      <c r="AJ843" t="str">
        <f>"BB017"</f>
        <v>BB017</v>
      </c>
      <c r="AK843" t="s">
        <v>46</v>
      </c>
      <c r="AL843" s="1">
        <v>45086.914224537039</v>
      </c>
      <c r="AM843" t="s">
        <v>44</v>
      </c>
    </row>
    <row r="844" spans="1:39" x14ac:dyDescent="0.2">
      <c r="A844" t="s">
        <v>868</v>
      </c>
      <c r="B844" t="s">
        <v>40</v>
      </c>
      <c r="C844" t="s">
        <v>684</v>
      </c>
      <c r="D844" t="s">
        <v>42</v>
      </c>
      <c r="E844" t="s">
        <v>43</v>
      </c>
      <c r="F844" t="s">
        <v>44</v>
      </c>
      <c r="G844" t="s">
        <v>45</v>
      </c>
      <c r="AH844" t="s">
        <v>42</v>
      </c>
      <c r="AI844" t="str">
        <f>"66298810933620"</f>
        <v>66298810933620</v>
      </c>
      <c r="AJ844" t="str">
        <f>"400619"</f>
        <v>400619</v>
      </c>
      <c r="AK844" t="s">
        <v>46</v>
      </c>
      <c r="AL844" s="1">
        <v>44816.54755787037</v>
      </c>
      <c r="AM844" t="s">
        <v>44</v>
      </c>
    </row>
    <row r="845" spans="1:39" x14ac:dyDescent="0.2">
      <c r="A845" t="s">
        <v>869</v>
      </c>
      <c r="B845" t="s">
        <v>40</v>
      </c>
      <c r="C845" t="s">
        <v>684</v>
      </c>
      <c r="D845" t="s">
        <v>42</v>
      </c>
      <c r="E845" t="s">
        <v>43</v>
      </c>
      <c r="F845" t="s">
        <v>44</v>
      </c>
      <c r="G845" t="s">
        <v>45</v>
      </c>
      <c r="AH845" t="s">
        <v>42</v>
      </c>
      <c r="AI845" t="str">
        <f>"BB018"</f>
        <v>BB018</v>
      </c>
      <c r="AJ845" t="str">
        <f>"BB018"</f>
        <v>BB018</v>
      </c>
      <c r="AK845" t="s">
        <v>46</v>
      </c>
      <c r="AL845" s="1">
        <v>45086.914849537039</v>
      </c>
      <c r="AM845" t="s">
        <v>44</v>
      </c>
    </row>
    <row r="846" spans="1:39" x14ac:dyDescent="0.2">
      <c r="A846" t="s">
        <v>870</v>
      </c>
      <c r="B846" t="s">
        <v>40</v>
      </c>
      <c r="C846" t="s">
        <v>684</v>
      </c>
      <c r="D846" t="s">
        <v>42</v>
      </c>
      <c r="E846" t="s">
        <v>43</v>
      </c>
      <c r="F846" t="s">
        <v>44</v>
      </c>
      <c r="G846" t="s">
        <v>45</v>
      </c>
      <c r="AH846" t="s">
        <v>42</v>
      </c>
      <c r="AI846" t="str">
        <f>"66298810972151"</f>
        <v>66298810972151</v>
      </c>
      <c r="AJ846" t="str">
        <f>"22870-KBB-900BR"</f>
        <v>22870-KBB-900BR</v>
      </c>
      <c r="AK846" t="s">
        <v>46</v>
      </c>
      <c r="AL846" s="1">
        <v>44816.54755787037</v>
      </c>
      <c r="AM846" t="s">
        <v>44</v>
      </c>
    </row>
    <row r="847" spans="1:39" x14ac:dyDescent="0.2">
      <c r="A847" t="s">
        <v>871</v>
      </c>
      <c r="B847" t="s">
        <v>40</v>
      </c>
      <c r="C847" t="s">
        <v>684</v>
      </c>
      <c r="D847" t="s">
        <v>42</v>
      </c>
      <c r="E847" t="s">
        <v>43</v>
      </c>
      <c r="F847" t="s">
        <v>44</v>
      </c>
      <c r="G847" t="s">
        <v>45</v>
      </c>
      <c r="AH847" t="s">
        <v>42</v>
      </c>
      <c r="AI847" t="str">
        <f>"66298811059491"</f>
        <v>66298811059491</v>
      </c>
      <c r="AJ847" t="str">
        <f>"400620"</f>
        <v>400620</v>
      </c>
      <c r="AK847" t="s">
        <v>46</v>
      </c>
      <c r="AL847" s="1">
        <v>44816.547569444447</v>
      </c>
      <c r="AM847" t="s">
        <v>44</v>
      </c>
    </row>
    <row r="848" spans="1:39" x14ac:dyDescent="0.2">
      <c r="A848" t="s">
        <v>872</v>
      </c>
      <c r="B848" t="s">
        <v>40</v>
      </c>
      <c r="C848" t="s">
        <v>684</v>
      </c>
      <c r="D848" t="s">
        <v>42</v>
      </c>
      <c r="E848" t="s">
        <v>43</v>
      </c>
      <c r="F848" t="s">
        <v>44</v>
      </c>
      <c r="G848" t="s">
        <v>45</v>
      </c>
      <c r="AH848" t="s">
        <v>42</v>
      </c>
      <c r="AI848" t="str">
        <f>"66298811015606"</f>
        <v>66298811015606</v>
      </c>
      <c r="AJ848" t="str">
        <f>"22870-KPF-900BR"</f>
        <v>22870-KPF-900BR</v>
      </c>
      <c r="AK848" t="s">
        <v>46</v>
      </c>
      <c r="AL848" s="1">
        <v>44816.547569444447</v>
      </c>
      <c r="AM848" t="s">
        <v>44</v>
      </c>
    </row>
    <row r="849" spans="1:39" x14ac:dyDescent="0.2">
      <c r="A849" t="s">
        <v>873</v>
      </c>
      <c r="B849" t="s">
        <v>40</v>
      </c>
      <c r="C849" t="s">
        <v>684</v>
      </c>
      <c r="D849" t="s">
        <v>42</v>
      </c>
      <c r="E849" t="s">
        <v>43</v>
      </c>
      <c r="F849" t="s">
        <v>44</v>
      </c>
      <c r="G849" t="s">
        <v>45</v>
      </c>
      <c r="AH849" t="s">
        <v>42</v>
      </c>
      <c r="AI849" t="str">
        <f>"66298811104425"</f>
        <v>66298811104425</v>
      </c>
      <c r="AJ849" t="str">
        <f>"22870-KPE-870JP"</f>
        <v>22870-KPE-870JP</v>
      </c>
      <c r="AK849" t="s">
        <v>46</v>
      </c>
      <c r="AL849" s="1">
        <v>44816.547581018516</v>
      </c>
      <c r="AM849" t="s">
        <v>44</v>
      </c>
    </row>
    <row r="850" spans="1:39" x14ac:dyDescent="0.2">
      <c r="A850" t="s">
        <v>874</v>
      </c>
      <c r="B850" t="s">
        <v>40</v>
      </c>
      <c r="C850" t="s">
        <v>684</v>
      </c>
      <c r="D850" t="s">
        <v>42</v>
      </c>
      <c r="E850" t="s">
        <v>43</v>
      </c>
      <c r="F850" t="s">
        <v>44</v>
      </c>
      <c r="G850" t="s">
        <v>45</v>
      </c>
      <c r="AH850" t="s">
        <v>42</v>
      </c>
      <c r="AI850" t="str">
        <f>"66298811147623"</f>
        <v>66298811147623</v>
      </c>
      <c r="AJ850" t="str">
        <f>"22870-KWT-700HB"</f>
        <v>22870-KWT-700HB</v>
      </c>
      <c r="AK850" t="s">
        <v>46</v>
      </c>
      <c r="AL850" s="1">
        <v>44816.547581018516</v>
      </c>
      <c r="AM850" t="s">
        <v>44</v>
      </c>
    </row>
    <row r="851" spans="1:39" x14ac:dyDescent="0.2">
      <c r="A851" t="s">
        <v>874</v>
      </c>
      <c r="B851" t="s">
        <v>40</v>
      </c>
      <c r="C851" t="s">
        <v>684</v>
      </c>
      <c r="D851" t="s">
        <v>42</v>
      </c>
      <c r="E851" t="s">
        <v>43</v>
      </c>
      <c r="F851" t="s">
        <v>44</v>
      </c>
      <c r="G851" t="s">
        <v>45</v>
      </c>
      <c r="AH851" t="s">
        <v>42</v>
      </c>
      <c r="AI851" t="str">
        <f>"66298811186726"</f>
        <v>66298811186726</v>
      </c>
      <c r="AJ851" t="str">
        <f>"22870-KWT-900BR"</f>
        <v>22870-KWT-900BR</v>
      </c>
      <c r="AK851" t="s">
        <v>46</v>
      </c>
      <c r="AL851" s="1">
        <v>44816.547581018516</v>
      </c>
      <c r="AM851" t="s">
        <v>44</v>
      </c>
    </row>
    <row r="852" spans="1:39" x14ac:dyDescent="0.2">
      <c r="A852" t="s">
        <v>875</v>
      </c>
      <c r="B852" t="s">
        <v>40</v>
      </c>
      <c r="C852" t="s">
        <v>684</v>
      </c>
      <c r="D852" t="s">
        <v>42</v>
      </c>
      <c r="E852" t="s">
        <v>43</v>
      </c>
      <c r="F852" t="s">
        <v>44</v>
      </c>
      <c r="G852" t="s">
        <v>45</v>
      </c>
      <c r="AH852" t="s">
        <v>42</v>
      </c>
      <c r="AI852" t="str">
        <f>"4B4-26335-00HB"</f>
        <v>4B4-26335-00HB</v>
      </c>
      <c r="AJ852" t="str">
        <f>"4B4-26335-00HB"</f>
        <v>4B4-26335-00HB</v>
      </c>
      <c r="AK852" t="s">
        <v>46</v>
      </c>
      <c r="AL852" s="1">
        <v>44816.547592592593</v>
      </c>
      <c r="AM852" t="s">
        <v>44</v>
      </c>
    </row>
    <row r="853" spans="1:39" x14ac:dyDescent="0.2">
      <c r="A853" t="s">
        <v>876</v>
      </c>
      <c r="B853" t="s">
        <v>40</v>
      </c>
      <c r="C853" t="s">
        <v>684</v>
      </c>
      <c r="D853" t="s">
        <v>42</v>
      </c>
      <c r="E853" t="s">
        <v>43</v>
      </c>
      <c r="F853" t="s">
        <v>44</v>
      </c>
      <c r="G853" t="s">
        <v>45</v>
      </c>
      <c r="AH853" t="s">
        <v>42</v>
      </c>
      <c r="AI853" t="str">
        <f>"BB006"</f>
        <v>BB006</v>
      </c>
      <c r="AJ853" t="str">
        <f>"BB006"</f>
        <v>BB006</v>
      </c>
      <c r="AK853" t="s">
        <v>46</v>
      </c>
      <c r="AL853" s="1">
        <v>44946.863738425927</v>
      </c>
      <c r="AM853" t="s">
        <v>44</v>
      </c>
    </row>
    <row r="854" spans="1:39" x14ac:dyDescent="0.2">
      <c r="A854" t="s">
        <v>877</v>
      </c>
      <c r="B854" t="s">
        <v>40</v>
      </c>
      <c r="C854" t="s">
        <v>684</v>
      </c>
      <c r="D854" t="s">
        <v>42</v>
      </c>
      <c r="E854" t="s">
        <v>43</v>
      </c>
      <c r="F854" t="s">
        <v>44</v>
      </c>
      <c r="G854" t="s">
        <v>45</v>
      </c>
      <c r="AH854" t="s">
        <v>42</v>
      </c>
      <c r="AI854" t="str">
        <f>"2180"</f>
        <v>2180</v>
      </c>
      <c r="AJ854" t="str">
        <f>"2180"</f>
        <v>2180</v>
      </c>
      <c r="AK854" t="s">
        <v>46</v>
      </c>
      <c r="AL854" s="1">
        <v>44945.76902777778</v>
      </c>
      <c r="AM854" t="s">
        <v>44</v>
      </c>
    </row>
    <row r="855" spans="1:39" x14ac:dyDescent="0.2">
      <c r="A855" t="s">
        <v>878</v>
      </c>
      <c r="B855" t="s">
        <v>40</v>
      </c>
      <c r="C855" t="s">
        <v>684</v>
      </c>
      <c r="D855" t="s">
        <v>42</v>
      </c>
      <c r="E855" t="s">
        <v>43</v>
      </c>
      <c r="F855" t="s">
        <v>44</v>
      </c>
      <c r="G855" t="s">
        <v>45</v>
      </c>
      <c r="AH855" t="s">
        <v>42</v>
      </c>
      <c r="AI855" t="str">
        <f>"251"</f>
        <v>251</v>
      </c>
      <c r="AJ855" t="str">
        <f>"251"</f>
        <v>251</v>
      </c>
      <c r="AK855" t="s">
        <v>46</v>
      </c>
      <c r="AL855" s="1">
        <v>44935.670995370368</v>
      </c>
      <c r="AM855" t="s">
        <v>44</v>
      </c>
    </row>
    <row r="856" spans="1:39" x14ac:dyDescent="0.2">
      <c r="A856" t="s">
        <v>879</v>
      </c>
      <c r="B856" t="s">
        <v>40</v>
      </c>
      <c r="C856" t="s">
        <v>684</v>
      </c>
      <c r="D856" t="s">
        <v>42</v>
      </c>
      <c r="E856" t="s">
        <v>43</v>
      </c>
      <c r="F856" t="s">
        <v>44</v>
      </c>
      <c r="G856" t="s">
        <v>45</v>
      </c>
      <c r="AH856" t="s">
        <v>42</v>
      </c>
      <c r="AI856" t="str">
        <f>"9638"</f>
        <v>9638</v>
      </c>
      <c r="AJ856" t="str">
        <f>"9638"</f>
        <v>9638</v>
      </c>
      <c r="AK856" t="s">
        <v>46</v>
      </c>
      <c r="AL856" s="1">
        <v>44951.676122685189</v>
      </c>
      <c r="AM856" t="s">
        <v>44</v>
      </c>
    </row>
    <row r="857" spans="1:39" x14ac:dyDescent="0.2">
      <c r="A857" t="s">
        <v>880</v>
      </c>
      <c r="B857" t="s">
        <v>40</v>
      </c>
      <c r="C857" t="s">
        <v>684</v>
      </c>
      <c r="D857" t="s">
        <v>42</v>
      </c>
      <c r="E857" t="s">
        <v>43</v>
      </c>
      <c r="F857" t="s">
        <v>44</v>
      </c>
      <c r="G857" t="s">
        <v>45</v>
      </c>
      <c r="AH857" t="s">
        <v>42</v>
      </c>
      <c r="AI857" t="str">
        <f>"66298811266467"</f>
        <v>66298811266467</v>
      </c>
      <c r="AJ857" t="str">
        <f>"82071"</f>
        <v>82071</v>
      </c>
      <c r="AK857" t="s">
        <v>46</v>
      </c>
      <c r="AL857" s="1">
        <v>44816.547592592593</v>
      </c>
      <c r="AM857" t="s">
        <v>44</v>
      </c>
    </row>
    <row r="858" spans="1:39" x14ac:dyDescent="0.2">
      <c r="A858" t="s">
        <v>881</v>
      </c>
      <c r="B858" t="s">
        <v>40</v>
      </c>
      <c r="C858" t="s">
        <v>684</v>
      </c>
      <c r="D858" t="s">
        <v>42</v>
      </c>
      <c r="E858" t="s">
        <v>43</v>
      </c>
      <c r="F858" t="s">
        <v>44</v>
      </c>
      <c r="G858" t="s">
        <v>45</v>
      </c>
      <c r="AH858" t="s">
        <v>42</v>
      </c>
      <c r="AI858" t="str">
        <f>"66298811306083"</f>
        <v>66298811306083</v>
      </c>
      <c r="AJ858" t="str">
        <f>"82074"</f>
        <v>82074</v>
      </c>
      <c r="AK858" t="s">
        <v>46</v>
      </c>
      <c r="AL858" s="1">
        <v>44816.54760416667</v>
      </c>
      <c r="AM858" t="s">
        <v>44</v>
      </c>
    </row>
    <row r="859" spans="1:39" x14ac:dyDescent="0.2">
      <c r="A859" t="s">
        <v>882</v>
      </c>
      <c r="B859" t="s">
        <v>40</v>
      </c>
      <c r="C859" t="s">
        <v>684</v>
      </c>
      <c r="D859" t="s">
        <v>42</v>
      </c>
      <c r="E859" t="s">
        <v>43</v>
      </c>
      <c r="F859" t="s">
        <v>44</v>
      </c>
      <c r="G859" t="s">
        <v>45</v>
      </c>
      <c r="AH859" t="s">
        <v>42</v>
      </c>
      <c r="AI859" t="str">
        <f>"BE004"</f>
        <v>BE004</v>
      </c>
      <c r="AJ859" t="str">
        <f>"BE004"</f>
        <v>BE004</v>
      </c>
      <c r="AK859" t="s">
        <v>46</v>
      </c>
      <c r="AL859" s="1">
        <v>45086.91642361111</v>
      </c>
      <c r="AM859" t="s">
        <v>44</v>
      </c>
    </row>
    <row r="860" spans="1:39" x14ac:dyDescent="0.2">
      <c r="A860" t="s">
        <v>883</v>
      </c>
      <c r="B860" t="s">
        <v>40</v>
      </c>
      <c r="C860" t="s">
        <v>684</v>
      </c>
      <c r="D860" t="s">
        <v>42</v>
      </c>
      <c r="E860" t="s">
        <v>43</v>
      </c>
      <c r="F860" t="s">
        <v>44</v>
      </c>
      <c r="G860" t="s">
        <v>45</v>
      </c>
      <c r="AH860" t="s">
        <v>42</v>
      </c>
      <c r="AI860" t="str">
        <f>"BE002"</f>
        <v>BE002</v>
      </c>
      <c r="AJ860" t="str">
        <f>"BE002"</f>
        <v>BE002</v>
      </c>
      <c r="AK860" t="s">
        <v>46</v>
      </c>
      <c r="AL860" s="1">
        <v>45086.917071759257</v>
      </c>
      <c r="AM860" t="s">
        <v>44</v>
      </c>
    </row>
    <row r="861" spans="1:39" x14ac:dyDescent="0.2">
      <c r="A861" t="s">
        <v>884</v>
      </c>
      <c r="B861" t="s">
        <v>40</v>
      </c>
      <c r="C861" t="s">
        <v>684</v>
      </c>
      <c r="D861" t="s">
        <v>42</v>
      </c>
      <c r="E861" t="s">
        <v>43</v>
      </c>
      <c r="F861" t="s">
        <v>44</v>
      </c>
      <c r="G861" t="s">
        <v>45</v>
      </c>
      <c r="AH861" t="s">
        <v>42</v>
      </c>
      <c r="AI861" t="str">
        <f>"66298811349272"</f>
        <v>66298811349272</v>
      </c>
      <c r="AJ861" t="str">
        <f>"400592"</f>
        <v>400592</v>
      </c>
      <c r="AK861" t="s">
        <v>46</v>
      </c>
      <c r="AL861" s="1">
        <v>44816.54760416667</v>
      </c>
      <c r="AM861" t="s">
        <v>44</v>
      </c>
    </row>
    <row r="862" spans="1:39" x14ac:dyDescent="0.2">
      <c r="A862" t="s">
        <v>885</v>
      </c>
      <c r="B862" t="s">
        <v>40</v>
      </c>
      <c r="C862" t="s">
        <v>684</v>
      </c>
      <c r="D862" t="s">
        <v>42</v>
      </c>
      <c r="E862" t="s">
        <v>43</v>
      </c>
      <c r="F862" t="s">
        <v>44</v>
      </c>
      <c r="G862" t="s">
        <v>45</v>
      </c>
      <c r="AH862" t="s">
        <v>42</v>
      </c>
      <c r="AI862" t="str">
        <f>"66298811388842"</f>
        <v>66298811388842</v>
      </c>
      <c r="AJ862" t="str">
        <f>"58510-33GE1-000"</f>
        <v>58510-33GE1-000</v>
      </c>
      <c r="AK862" t="s">
        <v>46</v>
      </c>
      <c r="AL862" s="1">
        <v>44816.54760416667</v>
      </c>
      <c r="AM862" t="s">
        <v>44</v>
      </c>
    </row>
    <row r="863" spans="1:39" x14ac:dyDescent="0.2">
      <c r="A863" t="s">
        <v>886</v>
      </c>
      <c r="B863" t="s">
        <v>40</v>
      </c>
      <c r="C863" t="s">
        <v>50</v>
      </c>
      <c r="D863" t="s">
        <v>42</v>
      </c>
      <c r="E863" t="s">
        <v>43</v>
      </c>
      <c r="F863" t="s">
        <v>44</v>
      </c>
      <c r="G863" t="s">
        <v>45</v>
      </c>
      <c r="AH863" t="s">
        <v>42</v>
      </c>
      <c r="AI863" t="str">
        <f>"LX1254-CASW"</f>
        <v>LX1254-CASW</v>
      </c>
      <c r="AJ863" t="str">
        <f>"LX1254-CASW"</f>
        <v>LX1254-CASW</v>
      </c>
      <c r="AK863" t="s">
        <v>46</v>
      </c>
      <c r="AL863" s="1">
        <v>45084.690428240741</v>
      </c>
      <c r="AM863" t="s">
        <v>44</v>
      </c>
    </row>
    <row r="864" spans="1:39" x14ac:dyDescent="0.2">
      <c r="A864" t="s">
        <v>887</v>
      </c>
      <c r="B864" t="s">
        <v>40</v>
      </c>
      <c r="C864" t="s">
        <v>684</v>
      </c>
      <c r="D864" t="s">
        <v>42</v>
      </c>
      <c r="E864" t="s">
        <v>43</v>
      </c>
      <c r="F864" t="s">
        <v>44</v>
      </c>
      <c r="G864" t="s">
        <v>45</v>
      </c>
      <c r="AH864" t="s">
        <v>42</v>
      </c>
      <c r="AI864" t="str">
        <f>"BD005"</f>
        <v>BD005</v>
      </c>
      <c r="AJ864" t="str">
        <f>"BD005"</f>
        <v>BD005</v>
      </c>
      <c r="AK864" t="s">
        <v>46</v>
      </c>
      <c r="AL864" s="1">
        <v>44816.547627314816</v>
      </c>
      <c r="AM864" t="s">
        <v>44</v>
      </c>
    </row>
    <row r="865" spans="1:39" x14ac:dyDescent="0.2">
      <c r="A865" t="s">
        <v>888</v>
      </c>
      <c r="B865" t="s">
        <v>40</v>
      </c>
      <c r="C865" t="s">
        <v>684</v>
      </c>
      <c r="D865" t="s">
        <v>42</v>
      </c>
      <c r="E865" t="s">
        <v>43</v>
      </c>
      <c r="F865" t="s">
        <v>44</v>
      </c>
      <c r="G865" t="s">
        <v>45</v>
      </c>
      <c r="AH865" t="s">
        <v>42</v>
      </c>
      <c r="AI865" t="str">
        <f>"66298811469496"</f>
        <v>66298811469496</v>
      </c>
      <c r="AJ865" t="str">
        <f>"400647"</f>
        <v>400647</v>
      </c>
      <c r="AK865" t="s">
        <v>46</v>
      </c>
      <c r="AL865" s="1">
        <v>44816.547615740739</v>
      </c>
      <c r="AM865" t="s">
        <v>44</v>
      </c>
    </row>
    <row r="866" spans="1:39" x14ac:dyDescent="0.2">
      <c r="A866" t="s">
        <v>889</v>
      </c>
      <c r="B866" t="s">
        <v>40</v>
      </c>
      <c r="C866" t="s">
        <v>684</v>
      </c>
      <c r="D866" t="s">
        <v>42</v>
      </c>
      <c r="E866" t="s">
        <v>43</v>
      </c>
      <c r="F866" t="s">
        <v>44</v>
      </c>
      <c r="G866" t="s">
        <v>45</v>
      </c>
      <c r="AH866" t="s">
        <v>42</v>
      </c>
      <c r="AI866" t="str">
        <f>"34940-05380"</f>
        <v>34940-05380</v>
      </c>
      <c r="AJ866" t="str">
        <f>"34940-05380"</f>
        <v>34940-05380</v>
      </c>
      <c r="AK866" t="s">
        <v>46</v>
      </c>
      <c r="AL866" s="1">
        <v>44816.547615740739</v>
      </c>
      <c r="AM866" t="s">
        <v>44</v>
      </c>
    </row>
    <row r="867" spans="1:39" x14ac:dyDescent="0.2">
      <c r="A867" t="s">
        <v>890</v>
      </c>
      <c r="B867" t="s">
        <v>40</v>
      </c>
      <c r="C867" t="s">
        <v>684</v>
      </c>
      <c r="D867" t="s">
        <v>42</v>
      </c>
      <c r="E867" t="s">
        <v>43</v>
      </c>
      <c r="F867" t="s">
        <v>44</v>
      </c>
      <c r="G867" t="s">
        <v>45</v>
      </c>
      <c r="AH867" t="s">
        <v>42</v>
      </c>
      <c r="AI867" t="str">
        <f>"1175"</f>
        <v>1175</v>
      </c>
      <c r="AJ867" t="str">
        <f>"1175"</f>
        <v>1175</v>
      </c>
      <c r="AK867" t="s">
        <v>46</v>
      </c>
      <c r="AL867" s="1">
        <v>44995.575289351851</v>
      </c>
      <c r="AM867" t="s">
        <v>44</v>
      </c>
    </row>
    <row r="868" spans="1:39" x14ac:dyDescent="0.2">
      <c r="A868" t="s">
        <v>891</v>
      </c>
      <c r="B868" t="s">
        <v>40</v>
      </c>
      <c r="C868" t="s">
        <v>684</v>
      </c>
      <c r="D868" t="s">
        <v>42</v>
      </c>
      <c r="E868" t="s">
        <v>43</v>
      </c>
      <c r="F868" t="s">
        <v>44</v>
      </c>
      <c r="G868" t="s">
        <v>45</v>
      </c>
      <c r="AH868" t="s">
        <v>42</v>
      </c>
      <c r="AI868" t="str">
        <f>"1052"</f>
        <v>1052</v>
      </c>
      <c r="AJ868" t="str">
        <f>"1052"</f>
        <v>1052</v>
      </c>
      <c r="AK868" t="s">
        <v>46</v>
      </c>
      <c r="AL868" s="1">
        <v>44995.57472222222</v>
      </c>
      <c r="AM868" t="s">
        <v>44</v>
      </c>
    </row>
    <row r="869" spans="1:39" x14ac:dyDescent="0.2">
      <c r="A869" t="s">
        <v>892</v>
      </c>
      <c r="B869" t="s">
        <v>40</v>
      </c>
      <c r="C869" t="s">
        <v>684</v>
      </c>
      <c r="D869" t="s">
        <v>42</v>
      </c>
      <c r="E869" t="s">
        <v>43</v>
      </c>
      <c r="F869" t="s">
        <v>44</v>
      </c>
      <c r="G869" t="s">
        <v>45</v>
      </c>
      <c r="AH869" t="s">
        <v>42</v>
      </c>
      <c r="AI869" t="str">
        <f>"66298811554150"</f>
        <v>66298811554150</v>
      </c>
      <c r="AJ869" t="str">
        <f>"84904"</f>
        <v>84904</v>
      </c>
      <c r="AK869" t="s">
        <v>46</v>
      </c>
      <c r="AL869" s="1">
        <v>44816.547627314816</v>
      </c>
      <c r="AM869" t="s">
        <v>44</v>
      </c>
    </row>
    <row r="870" spans="1:39" x14ac:dyDescent="0.2">
      <c r="A870" t="s">
        <v>893</v>
      </c>
      <c r="B870" t="s">
        <v>40</v>
      </c>
      <c r="C870" t="s">
        <v>684</v>
      </c>
      <c r="D870" t="s">
        <v>42</v>
      </c>
      <c r="E870" t="s">
        <v>43</v>
      </c>
      <c r="F870" t="s">
        <v>44</v>
      </c>
      <c r="G870" t="s">
        <v>45</v>
      </c>
      <c r="AH870" t="s">
        <v>42</v>
      </c>
      <c r="AI870" t="str">
        <f>"66298811592029"</f>
        <v>66298811592029</v>
      </c>
      <c r="AJ870" t="str">
        <f>"82838"</f>
        <v>82838</v>
      </c>
      <c r="AK870" t="s">
        <v>46</v>
      </c>
      <c r="AL870" s="1">
        <v>44816.547627314816</v>
      </c>
      <c r="AM870" t="s">
        <v>44</v>
      </c>
    </row>
    <row r="871" spans="1:39" x14ac:dyDescent="0.2">
      <c r="A871" t="s">
        <v>894</v>
      </c>
      <c r="B871" t="s">
        <v>40</v>
      </c>
      <c r="C871" t="s">
        <v>895</v>
      </c>
      <c r="D871" t="s">
        <v>42</v>
      </c>
      <c r="E871" t="s">
        <v>43</v>
      </c>
      <c r="F871" t="s">
        <v>44</v>
      </c>
      <c r="G871" t="s">
        <v>45</v>
      </c>
      <c r="AH871" t="s">
        <v>42</v>
      </c>
      <c r="AI871" t="str">
        <f>"66298811632096"</f>
        <v>66298811632096</v>
      </c>
      <c r="AJ871" t="str">
        <f>"VD05FP"</f>
        <v>VD05FP</v>
      </c>
      <c r="AK871" t="s">
        <v>46</v>
      </c>
      <c r="AL871" s="1">
        <v>44816.547638888886</v>
      </c>
      <c r="AM871" t="s">
        <v>44</v>
      </c>
    </row>
    <row r="872" spans="1:39" x14ac:dyDescent="0.2">
      <c r="A872" t="s">
        <v>896</v>
      </c>
      <c r="B872" t="s">
        <v>40</v>
      </c>
      <c r="C872" t="s">
        <v>895</v>
      </c>
      <c r="D872" t="s">
        <v>42</v>
      </c>
      <c r="E872" t="s">
        <v>43</v>
      </c>
      <c r="F872" t="s">
        <v>44</v>
      </c>
      <c r="G872" t="s">
        <v>45</v>
      </c>
      <c r="AH872" t="s">
        <v>42</v>
      </c>
      <c r="AI872" t="str">
        <f>"66298811674841"</f>
        <v>66298811674841</v>
      </c>
      <c r="AJ872" t="str">
        <f>"49CC11"</f>
        <v>49CC11</v>
      </c>
      <c r="AK872" t="s">
        <v>46</v>
      </c>
      <c r="AL872" s="1">
        <v>44816.547638888886</v>
      </c>
      <c r="AM872" t="s">
        <v>44</v>
      </c>
    </row>
    <row r="873" spans="1:39" x14ac:dyDescent="0.2">
      <c r="A873" t="s">
        <v>897</v>
      </c>
      <c r="B873" t="s">
        <v>40</v>
      </c>
      <c r="C873" t="s">
        <v>895</v>
      </c>
      <c r="D873" t="s">
        <v>42</v>
      </c>
      <c r="E873" t="s">
        <v>43</v>
      </c>
      <c r="F873" t="s">
        <v>44</v>
      </c>
      <c r="G873" t="s">
        <v>45</v>
      </c>
      <c r="AH873" t="s">
        <v>42</v>
      </c>
      <c r="AI873" t="str">
        <f>"80990"</f>
        <v>80990</v>
      </c>
      <c r="AJ873" t="str">
        <f>"80990"</f>
        <v>80990</v>
      </c>
      <c r="AK873" t="s">
        <v>46</v>
      </c>
      <c r="AL873" s="1">
        <v>44816.547650462962</v>
      </c>
      <c r="AM873" t="s">
        <v>44</v>
      </c>
    </row>
    <row r="874" spans="1:39" x14ac:dyDescent="0.2">
      <c r="A874" t="s">
        <v>897</v>
      </c>
      <c r="B874" t="s">
        <v>40</v>
      </c>
      <c r="C874" t="s">
        <v>895</v>
      </c>
      <c r="D874" t="s">
        <v>42</v>
      </c>
      <c r="E874" t="s">
        <v>43</v>
      </c>
      <c r="F874" t="s">
        <v>44</v>
      </c>
      <c r="G874" t="s">
        <v>45</v>
      </c>
      <c r="AH874" t="s">
        <v>42</v>
      </c>
      <c r="AI874" t="str">
        <f>"LA001"</f>
        <v>LA001</v>
      </c>
      <c r="AJ874" t="str">
        <f>"LA001"</f>
        <v>LA001</v>
      </c>
      <c r="AK874" t="s">
        <v>46</v>
      </c>
      <c r="AL874" s="1">
        <v>44816.547650462962</v>
      </c>
      <c r="AM874" t="s">
        <v>44</v>
      </c>
    </row>
    <row r="875" spans="1:39" x14ac:dyDescent="0.2">
      <c r="A875" t="s">
        <v>898</v>
      </c>
      <c r="B875" t="s">
        <v>40</v>
      </c>
      <c r="C875" t="s">
        <v>895</v>
      </c>
      <c r="D875" t="s">
        <v>42</v>
      </c>
      <c r="E875" t="s">
        <v>43</v>
      </c>
      <c r="F875" t="s">
        <v>44</v>
      </c>
      <c r="G875" t="s">
        <v>45</v>
      </c>
      <c r="AH875" t="s">
        <v>42</v>
      </c>
      <c r="AI875" t="str">
        <f>"66298811773631"</f>
        <v>66298811773631</v>
      </c>
      <c r="AJ875" t="str">
        <f>"80991"</f>
        <v>80991</v>
      </c>
      <c r="AK875" t="s">
        <v>46</v>
      </c>
      <c r="AL875" s="1">
        <v>44816.547650462962</v>
      </c>
      <c r="AM875" t="s">
        <v>44</v>
      </c>
    </row>
    <row r="876" spans="1:39" x14ac:dyDescent="0.2">
      <c r="A876" t="s">
        <v>899</v>
      </c>
      <c r="B876" t="s">
        <v>40</v>
      </c>
      <c r="C876" t="s">
        <v>895</v>
      </c>
      <c r="D876" t="s">
        <v>42</v>
      </c>
      <c r="E876" t="s">
        <v>43</v>
      </c>
      <c r="F876" t="s">
        <v>44</v>
      </c>
      <c r="G876" t="s">
        <v>45</v>
      </c>
      <c r="AH876" t="s">
        <v>42</v>
      </c>
      <c r="AI876" t="str">
        <f>"JG351201"</f>
        <v>JG351201</v>
      </c>
      <c r="AJ876" t="str">
        <f>"JG351201"</f>
        <v>JG351201</v>
      </c>
      <c r="AK876" t="s">
        <v>46</v>
      </c>
      <c r="AL876" s="1">
        <v>45085.887870370374</v>
      </c>
      <c r="AM876" t="s">
        <v>44</v>
      </c>
    </row>
    <row r="877" spans="1:39" x14ac:dyDescent="0.2">
      <c r="A877" t="s">
        <v>900</v>
      </c>
      <c r="B877" t="s">
        <v>40</v>
      </c>
      <c r="C877" t="s">
        <v>895</v>
      </c>
      <c r="D877" t="s">
        <v>42</v>
      </c>
      <c r="E877" t="s">
        <v>43</v>
      </c>
      <c r="F877" t="s">
        <v>44</v>
      </c>
      <c r="G877" t="s">
        <v>45</v>
      </c>
      <c r="AH877" t="s">
        <v>42</v>
      </c>
      <c r="AI877" t="str">
        <f>"66298811814785"</f>
        <v>66298811814785</v>
      </c>
      <c r="AJ877" t="str">
        <f>"LA004"</f>
        <v>LA004</v>
      </c>
      <c r="AK877" t="s">
        <v>46</v>
      </c>
      <c r="AL877" s="1">
        <v>44816.547662037039</v>
      </c>
      <c r="AM877" t="s">
        <v>44</v>
      </c>
    </row>
    <row r="878" spans="1:39" x14ac:dyDescent="0.2">
      <c r="A878" t="s">
        <v>901</v>
      </c>
      <c r="B878" t="s">
        <v>40</v>
      </c>
      <c r="C878" t="s">
        <v>895</v>
      </c>
      <c r="D878" t="s">
        <v>42</v>
      </c>
      <c r="E878" t="s">
        <v>43</v>
      </c>
      <c r="F878" t="s">
        <v>44</v>
      </c>
      <c r="G878" t="s">
        <v>45</v>
      </c>
      <c r="AH878" t="s">
        <v>42</v>
      </c>
      <c r="AI878" t="str">
        <f>"LA003"</f>
        <v>LA003</v>
      </c>
      <c r="AJ878" t="str">
        <f>"LA003"</f>
        <v>LA003</v>
      </c>
      <c r="AK878" t="s">
        <v>46</v>
      </c>
      <c r="AL878" s="1">
        <v>45086.919305555559</v>
      </c>
      <c r="AM878" t="s">
        <v>44</v>
      </c>
    </row>
    <row r="879" spans="1:39" x14ac:dyDescent="0.2">
      <c r="A879" t="s">
        <v>902</v>
      </c>
      <c r="B879" t="s">
        <v>40</v>
      </c>
      <c r="C879" t="s">
        <v>895</v>
      </c>
      <c r="D879" t="s">
        <v>42</v>
      </c>
      <c r="E879" t="s">
        <v>43</v>
      </c>
      <c r="F879" t="s">
        <v>44</v>
      </c>
      <c r="G879" t="s">
        <v>45</v>
      </c>
      <c r="AH879" t="s">
        <v>42</v>
      </c>
      <c r="AI879" t="str">
        <f>"66298811894055"</f>
        <v>66298811894055</v>
      </c>
      <c r="AJ879" t="str">
        <f>"80988"</f>
        <v>80988</v>
      </c>
      <c r="AK879" t="s">
        <v>46</v>
      </c>
      <c r="AL879" s="1">
        <v>44816.547662037039</v>
      </c>
      <c r="AM879" t="s">
        <v>44</v>
      </c>
    </row>
    <row r="880" spans="1:39" x14ac:dyDescent="0.2">
      <c r="A880" t="s">
        <v>903</v>
      </c>
      <c r="B880" t="s">
        <v>40</v>
      </c>
      <c r="C880" t="s">
        <v>895</v>
      </c>
      <c r="D880" t="s">
        <v>42</v>
      </c>
      <c r="E880" t="s">
        <v>43</v>
      </c>
      <c r="F880" t="s">
        <v>44</v>
      </c>
      <c r="G880" t="s">
        <v>45</v>
      </c>
      <c r="AH880" t="s">
        <v>42</v>
      </c>
      <c r="AI880" t="str">
        <f>"LA005"</f>
        <v>LA005</v>
      </c>
      <c r="AJ880" t="str">
        <f>"LA005"</f>
        <v>LA005</v>
      </c>
      <c r="AK880" t="s">
        <v>46</v>
      </c>
      <c r="AL880" s="1">
        <v>44816.547662037039</v>
      </c>
      <c r="AM880" t="s">
        <v>44</v>
      </c>
    </row>
    <row r="881" spans="1:39" x14ac:dyDescent="0.2">
      <c r="A881" t="s">
        <v>904</v>
      </c>
      <c r="B881" t="s">
        <v>40</v>
      </c>
      <c r="C881" t="s">
        <v>895</v>
      </c>
      <c r="D881" t="s">
        <v>42</v>
      </c>
      <c r="E881" t="s">
        <v>43</v>
      </c>
      <c r="F881" t="s">
        <v>44</v>
      </c>
      <c r="G881" t="s">
        <v>45</v>
      </c>
      <c r="AH881" t="s">
        <v>42</v>
      </c>
      <c r="AI881" t="str">
        <f>"66298811968765"</f>
        <v>66298811968765</v>
      </c>
      <c r="AJ881" t="str">
        <f>"CACHIMBA-NARANJA"</f>
        <v>CACHIMBA-NARANJA</v>
      </c>
      <c r="AK881" t="s">
        <v>46</v>
      </c>
      <c r="AL881" s="1">
        <v>44816.547673611109</v>
      </c>
      <c r="AM881" t="s">
        <v>44</v>
      </c>
    </row>
    <row r="882" spans="1:39" x14ac:dyDescent="0.2">
      <c r="A882" t="s">
        <v>904</v>
      </c>
      <c r="B882" t="s">
        <v>40</v>
      </c>
      <c r="C882" t="s">
        <v>895</v>
      </c>
      <c r="D882" t="s">
        <v>42</v>
      </c>
      <c r="E882" t="s">
        <v>43</v>
      </c>
      <c r="F882" t="s">
        <v>44</v>
      </c>
      <c r="G882" t="s">
        <v>45</v>
      </c>
      <c r="AH882" t="s">
        <v>42</v>
      </c>
      <c r="AI882" t="str">
        <f>"66298811974170"</f>
        <v>66298811974170</v>
      </c>
      <c r="AJ882" t="str">
        <f>"CACHIMBA-VERDE"</f>
        <v>CACHIMBA-VERDE</v>
      </c>
      <c r="AK882" t="s">
        <v>46</v>
      </c>
      <c r="AL882" s="1">
        <v>44816.547673611109</v>
      </c>
      <c r="AM882" t="s">
        <v>44</v>
      </c>
    </row>
    <row r="883" spans="1:39" x14ac:dyDescent="0.2">
      <c r="A883" t="s">
        <v>904</v>
      </c>
      <c r="B883" t="s">
        <v>40</v>
      </c>
      <c r="C883" t="s">
        <v>895</v>
      </c>
      <c r="D883" t="s">
        <v>42</v>
      </c>
      <c r="E883" t="s">
        <v>43</v>
      </c>
      <c r="F883" t="s">
        <v>44</v>
      </c>
      <c r="G883" t="s">
        <v>45</v>
      </c>
      <c r="AH883" t="s">
        <v>42</v>
      </c>
      <c r="AI883" t="str">
        <f>"66298811981610"</f>
        <v>66298811981610</v>
      </c>
      <c r="AJ883" t="str">
        <f>"CACHIMBA-AZUL"</f>
        <v>CACHIMBA-AZUL</v>
      </c>
      <c r="AK883" t="s">
        <v>46</v>
      </c>
      <c r="AL883" s="1">
        <v>44816.547673611109</v>
      </c>
      <c r="AM883" t="s">
        <v>44</v>
      </c>
    </row>
    <row r="884" spans="1:39" x14ac:dyDescent="0.2">
      <c r="A884" t="s">
        <v>905</v>
      </c>
      <c r="B884" t="s">
        <v>40</v>
      </c>
      <c r="C884" t="s">
        <v>895</v>
      </c>
      <c r="D884" t="s">
        <v>42</v>
      </c>
      <c r="E884" t="s">
        <v>43</v>
      </c>
      <c r="F884" t="s">
        <v>44</v>
      </c>
      <c r="G884" t="s">
        <v>45</v>
      </c>
      <c r="AH884" t="s">
        <v>42</v>
      </c>
      <c r="AI884" t="str">
        <f>"66298812047511"</f>
        <v>66298812047511</v>
      </c>
      <c r="AJ884" t="str">
        <f>"80992"</f>
        <v>80992</v>
      </c>
      <c r="AK884" t="s">
        <v>46</v>
      </c>
      <c r="AL884" s="1">
        <v>44816.547685185185</v>
      </c>
      <c r="AM884" t="s">
        <v>44</v>
      </c>
    </row>
    <row r="885" spans="1:39" x14ac:dyDescent="0.2">
      <c r="A885" t="s">
        <v>906</v>
      </c>
      <c r="B885" t="s">
        <v>40</v>
      </c>
      <c r="C885" t="s">
        <v>895</v>
      </c>
      <c r="D885" t="s">
        <v>42</v>
      </c>
      <c r="E885" t="s">
        <v>43</v>
      </c>
      <c r="F885" t="s">
        <v>44</v>
      </c>
      <c r="G885" t="s">
        <v>45</v>
      </c>
      <c r="AH885" t="s">
        <v>42</v>
      </c>
      <c r="AI885" t="str">
        <f>"66298812087861"</f>
        <v>66298812087861</v>
      </c>
      <c r="AJ885" t="str">
        <f>"20P-H2370-01"</f>
        <v>20P-H2370-01</v>
      </c>
      <c r="AK885" t="s">
        <v>46</v>
      </c>
      <c r="AL885" s="1">
        <v>44816.547685185185</v>
      </c>
      <c r="AM885" t="s">
        <v>44</v>
      </c>
    </row>
    <row r="886" spans="1:39" x14ac:dyDescent="0.2">
      <c r="A886" t="s">
        <v>906</v>
      </c>
      <c r="B886" t="s">
        <v>40</v>
      </c>
      <c r="C886" t="s">
        <v>895</v>
      </c>
      <c r="D886" t="s">
        <v>42</v>
      </c>
      <c r="E886" t="s">
        <v>43</v>
      </c>
      <c r="F886" t="s">
        <v>44</v>
      </c>
      <c r="G886" t="s">
        <v>45</v>
      </c>
      <c r="AH886" t="s">
        <v>42</v>
      </c>
      <c r="AI886" t="str">
        <f>"66298812131413"</f>
        <v>66298812131413</v>
      </c>
      <c r="AJ886" t="str">
        <f>"LA002"</f>
        <v>LA002</v>
      </c>
      <c r="AK886" t="s">
        <v>46</v>
      </c>
      <c r="AL886" s="1">
        <v>44816.547696759262</v>
      </c>
      <c r="AM886" t="s">
        <v>44</v>
      </c>
    </row>
    <row r="887" spans="1:39" x14ac:dyDescent="0.2">
      <c r="A887" t="s">
        <v>907</v>
      </c>
      <c r="B887" t="s">
        <v>40</v>
      </c>
      <c r="C887" t="s">
        <v>908</v>
      </c>
      <c r="D887" t="s">
        <v>42</v>
      </c>
      <c r="E887" t="s">
        <v>43</v>
      </c>
      <c r="F887" t="s">
        <v>44</v>
      </c>
      <c r="G887" t="s">
        <v>45</v>
      </c>
      <c r="AH887" t="s">
        <v>42</v>
      </c>
      <c r="AI887" t="str">
        <f>"420-110JPNPC"</f>
        <v>420-110JPNPC</v>
      </c>
      <c r="AJ887" t="str">
        <f>"420-110JPNPC"</f>
        <v>420-110JPNPC</v>
      </c>
      <c r="AK887" t="s">
        <v>46</v>
      </c>
      <c r="AL887" s="1">
        <v>44900.826932870368</v>
      </c>
      <c r="AM887" t="s">
        <v>44</v>
      </c>
    </row>
    <row r="888" spans="1:39" x14ac:dyDescent="0.2">
      <c r="A888" t="s">
        <v>909</v>
      </c>
      <c r="B888" t="s">
        <v>40</v>
      </c>
      <c r="C888" t="s">
        <v>908</v>
      </c>
      <c r="D888" t="s">
        <v>42</v>
      </c>
      <c r="E888" t="s">
        <v>43</v>
      </c>
      <c r="F888" t="s">
        <v>44</v>
      </c>
      <c r="G888" t="s">
        <v>45</v>
      </c>
      <c r="AH888" t="s">
        <v>42</v>
      </c>
      <c r="AI888" t="str">
        <f>"66298812174145"</f>
        <v>66298812174145</v>
      </c>
      <c r="AJ888" t="str">
        <f>"420-126CHOHO"</f>
        <v>420-126CHOHO</v>
      </c>
      <c r="AK888" t="s">
        <v>46</v>
      </c>
      <c r="AL888" s="1">
        <v>44816.547696759262</v>
      </c>
      <c r="AM888" t="s">
        <v>44</v>
      </c>
    </row>
    <row r="889" spans="1:39" x14ac:dyDescent="0.2">
      <c r="A889" t="s">
        <v>910</v>
      </c>
      <c r="B889" t="s">
        <v>40</v>
      </c>
      <c r="C889" t="s">
        <v>908</v>
      </c>
      <c r="D889" t="s">
        <v>42</v>
      </c>
      <c r="E889" t="s">
        <v>43</v>
      </c>
      <c r="F889" t="s">
        <v>44</v>
      </c>
      <c r="G889" t="s">
        <v>45</v>
      </c>
      <c r="AH889" t="s">
        <v>42</v>
      </c>
      <c r="AI889" t="str">
        <f>"428H-110JPNPC"</f>
        <v>428H-110JPNPC</v>
      </c>
      <c r="AJ889" t="str">
        <f>"428H-110JPNPC"</f>
        <v>428H-110JPNPC</v>
      </c>
      <c r="AK889" t="s">
        <v>46</v>
      </c>
      <c r="AL889" s="1">
        <v>44900.865324074075</v>
      </c>
      <c r="AM889" t="s">
        <v>44</v>
      </c>
    </row>
    <row r="890" spans="1:39" x14ac:dyDescent="0.2">
      <c r="A890" t="s">
        <v>911</v>
      </c>
      <c r="B890" t="s">
        <v>40</v>
      </c>
      <c r="C890" t="s">
        <v>908</v>
      </c>
      <c r="D890" t="s">
        <v>42</v>
      </c>
      <c r="E890" t="s">
        <v>43</v>
      </c>
      <c r="F890" t="s">
        <v>44</v>
      </c>
      <c r="G890" t="s">
        <v>45</v>
      </c>
      <c r="AH890" t="s">
        <v>42</v>
      </c>
      <c r="AI890" t="str">
        <f>"428H-120JPNPC"</f>
        <v>428H-120JPNPC</v>
      </c>
      <c r="AJ890" t="str">
        <f>"428H-120JPNPC"</f>
        <v>428H-120JPNPC</v>
      </c>
      <c r="AK890" t="s">
        <v>46</v>
      </c>
      <c r="AL890" s="1">
        <v>44900.857719907406</v>
      </c>
      <c r="AM890" t="s">
        <v>44</v>
      </c>
    </row>
    <row r="891" spans="1:39" x14ac:dyDescent="0.2">
      <c r="A891" t="s">
        <v>912</v>
      </c>
      <c r="B891" t="s">
        <v>40</v>
      </c>
      <c r="C891" t="s">
        <v>908</v>
      </c>
      <c r="D891" t="s">
        <v>42</v>
      </c>
      <c r="E891" t="s">
        <v>43</v>
      </c>
      <c r="F891" t="s">
        <v>44</v>
      </c>
      <c r="G891" t="s">
        <v>45</v>
      </c>
      <c r="AH891" t="s">
        <v>42</v>
      </c>
      <c r="AI891" t="str">
        <f>"428H-124JPNPC"</f>
        <v>428H-124JPNPC</v>
      </c>
      <c r="AJ891" t="str">
        <f>"428H-124JPNPC"</f>
        <v>428H-124JPNPC</v>
      </c>
      <c r="AK891" t="s">
        <v>46</v>
      </c>
      <c r="AL891" s="1">
        <v>44900.849270833336</v>
      </c>
      <c r="AM891" t="s">
        <v>44</v>
      </c>
    </row>
    <row r="892" spans="1:39" x14ac:dyDescent="0.2">
      <c r="A892" t="s">
        <v>913</v>
      </c>
      <c r="B892" t="s">
        <v>40</v>
      </c>
      <c r="C892" t="s">
        <v>908</v>
      </c>
      <c r="D892" t="s">
        <v>42</v>
      </c>
      <c r="E892" t="s">
        <v>43</v>
      </c>
      <c r="F892" t="s">
        <v>44</v>
      </c>
      <c r="G892" t="s">
        <v>45</v>
      </c>
      <c r="AH892" t="s">
        <v>42</v>
      </c>
      <c r="AI892" t="str">
        <f>"428H-132JPNPC"</f>
        <v>428H-132JPNPC</v>
      </c>
      <c r="AJ892" t="str">
        <f>"428H-132JPNPC"</f>
        <v>428H-132JPNPC</v>
      </c>
      <c r="AK892" t="s">
        <v>46</v>
      </c>
      <c r="AL892" s="1">
        <v>45008.869606481479</v>
      </c>
      <c r="AM892" t="s">
        <v>44</v>
      </c>
    </row>
    <row r="893" spans="1:39" x14ac:dyDescent="0.2">
      <c r="A893" t="s">
        <v>914</v>
      </c>
      <c r="B893" t="s">
        <v>40</v>
      </c>
      <c r="C893" t="s">
        <v>908</v>
      </c>
      <c r="D893" t="s">
        <v>42</v>
      </c>
      <c r="E893" t="s">
        <v>43</v>
      </c>
      <c r="F893" t="s">
        <v>44</v>
      </c>
      <c r="G893" t="s">
        <v>45</v>
      </c>
      <c r="AH893" t="s">
        <v>42</v>
      </c>
      <c r="AI893" t="str">
        <f>"428H-134JP-DID"</f>
        <v>428H-134JP-DID</v>
      </c>
      <c r="AJ893" t="str">
        <f>"428H-134JP-DID"</f>
        <v>428H-134JP-DID</v>
      </c>
      <c r="AK893" t="s">
        <v>46</v>
      </c>
      <c r="AL893" s="1">
        <v>44889.861168981479</v>
      </c>
      <c r="AM893" t="s">
        <v>44</v>
      </c>
    </row>
    <row r="894" spans="1:39" x14ac:dyDescent="0.2">
      <c r="A894" t="s">
        <v>915</v>
      </c>
      <c r="B894" t="s">
        <v>40</v>
      </c>
      <c r="C894" t="s">
        <v>908</v>
      </c>
      <c r="D894" t="s">
        <v>42</v>
      </c>
      <c r="E894" t="s">
        <v>43</v>
      </c>
      <c r="F894" t="s">
        <v>44</v>
      </c>
      <c r="G894" t="s">
        <v>45</v>
      </c>
      <c r="AH894" t="s">
        <v>42</v>
      </c>
      <c r="AI894" t="str">
        <f>"428H-140L-RF-DR"</f>
        <v>428H-140L-RF-DR</v>
      </c>
      <c r="AJ894" t="str">
        <f>"428H-140L-RF-DR"</f>
        <v>428H-140L-RF-DR</v>
      </c>
      <c r="AK894" t="s">
        <v>46</v>
      </c>
      <c r="AL894" s="1">
        <v>45027.755694444444</v>
      </c>
      <c r="AM894" t="s">
        <v>44</v>
      </c>
    </row>
    <row r="895" spans="1:39" x14ac:dyDescent="0.2">
      <c r="A895" t="s">
        <v>916</v>
      </c>
      <c r="B895" t="s">
        <v>40</v>
      </c>
      <c r="C895" t="s">
        <v>908</v>
      </c>
      <c r="D895" t="s">
        <v>42</v>
      </c>
      <c r="E895" t="s">
        <v>43</v>
      </c>
      <c r="F895" t="s">
        <v>44</v>
      </c>
      <c r="G895" t="s">
        <v>45</v>
      </c>
      <c r="AH895" t="s">
        <v>42</v>
      </c>
      <c r="AI895" t="str">
        <f>"428H-140L-RF"</f>
        <v>428H-140L-RF</v>
      </c>
      <c r="AJ895" t="str">
        <f>"428H-140L-RF"</f>
        <v>428H-140L-RF</v>
      </c>
      <c r="AK895" t="s">
        <v>46</v>
      </c>
      <c r="AL895" s="1">
        <v>44890.785902777781</v>
      </c>
      <c r="AM895" t="s">
        <v>44</v>
      </c>
    </row>
    <row r="896" spans="1:39" x14ac:dyDescent="0.2">
      <c r="A896" t="s">
        <v>917</v>
      </c>
      <c r="B896" t="s">
        <v>40</v>
      </c>
      <c r="C896" t="s">
        <v>908</v>
      </c>
      <c r="D896" t="s">
        <v>42</v>
      </c>
      <c r="E896" t="s">
        <v>43</v>
      </c>
      <c r="F896" t="s">
        <v>44</v>
      </c>
      <c r="G896" t="s">
        <v>45</v>
      </c>
      <c r="AH896" t="s">
        <v>42</v>
      </c>
      <c r="AI896" t="str">
        <f>"428H-140L-TAYA"</f>
        <v>428H-140L-TAYA</v>
      </c>
      <c r="AJ896" t="str">
        <f>"428H-140L-TAYA"</f>
        <v>428H-140L-TAYA</v>
      </c>
      <c r="AK896" t="s">
        <v>46</v>
      </c>
      <c r="AL896" s="1">
        <v>45062.90829861111</v>
      </c>
      <c r="AM896" t="s">
        <v>44</v>
      </c>
    </row>
    <row r="897" spans="1:39" x14ac:dyDescent="0.2">
      <c r="A897" t="s">
        <v>918</v>
      </c>
      <c r="B897" t="s">
        <v>40</v>
      </c>
      <c r="C897" t="s">
        <v>908</v>
      </c>
      <c r="D897" t="s">
        <v>42</v>
      </c>
      <c r="E897" t="s">
        <v>43</v>
      </c>
      <c r="F897" t="s">
        <v>44</v>
      </c>
      <c r="G897" t="s">
        <v>45</v>
      </c>
      <c r="AH897" t="s">
        <v>42</v>
      </c>
      <c r="AI897" t="str">
        <f>"66298812213927"</f>
        <v>66298812213927</v>
      </c>
      <c r="AJ897" t="str">
        <f>"428H-140VN"</f>
        <v>428H-140VN</v>
      </c>
      <c r="AK897" t="s">
        <v>46</v>
      </c>
      <c r="AL897" s="1">
        <v>44816.547708333332</v>
      </c>
      <c r="AM897" t="s">
        <v>44</v>
      </c>
    </row>
    <row r="898" spans="1:39" x14ac:dyDescent="0.2">
      <c r="A898" t="s">
        <v>919</v>
      </c>
      <c r="B898" t="s">
        <v>40</v>
      </c>
      <c r="C898" t="s">
        <v>908</v>
      </c>
      <c r="D898" t="s">
        <v>42</v>
      </c>
      <c r="E898" t="s">
        <v>43</v>
      </c>
      <c r="F898" t="s">
        <v>44</v>
      </c>
      <c r="G898" t="s">
        <v>45</v>
      </c>
      <c r="AH898" t="s">
        <v>42</v>
      </c>
      <c r="AI898" t="str">
        <f>"428H-142L-RF"</f>
        <v>428H-142L-RF</v>
      </c>
      <c r="AJ898" t="str">
        <f>"428H-142L-RF"</f>
        <v>428H-142L-RF</v>
      </c>
      <c r="AK898" t="s">
        <v>46</v>
      </c>
      <c r="AL898" s="1">
        <v>44992.889085648145</v>
      </c>
      <c r="AM898" t="s">
        <v>44</v>
      </c>
    </row>
    <row r="899" spans="1:39" x14ac:dyDescent="0.2">
      <c r="A899" t="s">
        <v>920</v>
      </c>
      <c r="B899" t="s">
        <v>40</v>
      </c>
      <c r="C899" t="s">
        <v>908</v>
      </c>
      <c r="D899" t="s">
        <v>42</v>
      </c>
      <c r="E899" t="s">
        <v>43</v>
      </c>
      <c r="F899" t="s">
        <v>44</v>
      </c>
      <c r="G899" t="s">
        <v>45</v>
      </c>
      <c r="AH899" t="s">
        <v>42</v>
      </c>
      <c r="AI899" t="str">
        <f>"428H-150JPNPC"</f>
        <v>428H-150JPNPC</v>
      </c>
      <c r="AJ899" t="str">
        <f>"428H-150JPNPC"</f>
        <v>428H-150JPNPC</v>
      </c>
      <c r="AK899" t="s">
        <v>46</v>
      </c>
      <c r="AL899" s="1">
        <v>44900.830358796295</v>
      </c>
      <c r="AM899" t="s">
        <v>44</v>
      </c>
    </row>
    <row r="900" spans="1:39" x14ac:dyDescent="0.2">
      <c r="A900" t="s">
        <v>921</v>
      </c>
      <c r="B900" t="s">
        <v>40</v>
      </c>
      <c r="C900" t="s">
        <v>908</v>
      </c>
      <c r="D900" t="s">
        <v>42</v>
      </c>
      <c r="E900" t="s">
        <v>43</v>
      </c>
      <c r="F900" t="s">
        <v>44</v>
      </c>
      <c r="G900" t="s">
        <v>45</v>
      </c>
      <c r="AH900" t="s">
        <v>42</v>
      </c>
      <c r="AI900" t="str">
        <f>"428OH-140RIFFEL"</f>
        <v>428OH-140RIFFEL</v>
      </c>
      <c r="AJ900" t="str">
        <f>"428OH-140RIFFEL"</f>
        <v>428OH-140RIFFEL</v>
      </c>
      <c r="AK900" t="s">
        <v>46</v>
      </c>
      <c r="AL900" s="1">
        <v>45091.654178240744</v>
      </c>
      <c r="AM900" t="s">
        <v>44</v>
      </c>
    </row>
    <row r="901" spans="1:39" x14ac:dyDescent="0.2">
      <c r="A901" t="s">
        <v>922</v>
      </c>
      <c r="B901" t="s">
        <v>40</v>
      </c>
      <c r="C901" t="s">
        <v>908</v>
      </c>
      <c r="D901" t="s">
        <v>42</v>
      </c>
      <c r="E901" t="s">
        <v>43</v>
      </c>
      <c r="F901" t="s">
        <v>44</v>
      </c>
      <c r="G901" t="s">
        <v>45</v>
      </c>
      <c r="AH901" t="s">
        <v>42</v>
      </c>
      <c r="AI901" t="str">
        <f>"428VX124JP"</f>
        <v>428VX124JP</v>
      </c>
      <c r="AJ901" t="str">
        <f>"428VX124JP"</f>
        <v>428VX124JP</v>
      </c>
      <c r="AK901" t="s">
        <v>46</v>
      </c>
      <c r="AL901" s="1">
        <v>44900.845462962963</v>
      </c>
      <c r="AM901" t="s">
        <v>44</v>
      </c>
    </row>
    <row r="902" spans="1:39" x14ac:dyDescent="0.2">
      <c r="A902" t="s">
        <v>923</v>
      </c>
      <c r="B902" t="s">
        <v>40</v>
      </c>
      <c r="C902" t="s">
        <v>908</v>
      </c>
      <c r="D902" t="s">
        <v>42</v>
      </c>
      <c r="E902" t="s">
        <v>43</v>
      </c>
      <c r="F902" t="s">
        <v>44</v>
      </c>
      <c r="G902" t="s">
        <v>45</v>
      </c>
      <c r="AH902" t="s">
        <v>42</v>
      </c>
      <c r="AI902" t="str">
        <f>"66298812254734"</f>
        <v>66298812254734</v>
      </c>
      <c r="AJ902" t="str">
        <f>"428VX132JP"</f>
        <v>428VX132JP</v>
      </c>
      <c r="AK902" t="s">
        <v>46</v>
      </c>
      <c r="AL902" s="1">
        <v>44816.547708333332</v>
      </c>
      <c r="AM902" t="s">
        <v>44</v>
      </c>
    </row>
    <row r="903" spans="1:39" x14ac:dyDescent="0.2">
      <c r="A903" t="s">
        <v>924</v>
      </c>
      <c r="B903" t="s">
        <v>40</v>
      </c>
      <c r="C903" t="s">
        <v>908</v>
      </c>
      <c r="D903" t="s">
        <v>42</v>
      </c>
      <c r="E903" t="s">
        <v>43</v>
      </c>
      <c r="F903" t="s">
        <v>44</v>
      </c>
      <c r="G903" t="s">
        <v>45</v>
      </c>
      <c r="AH903" t="s">
        <v>42</v>
      </c>
      <c r="AI903" t="str">
        <f>"520-104JPNPC"</f>
        <v>520-104JPNPC</v>
      </c>
      <c r="AJ903" t="str">
        <f>"520-104JPNPC"</f>
        <v>520-104JPNPC</v>
      </c>
      <c r="AK903" t="s">
        <v>46</v>
      </c>
      <c r="AL903" s="1">
        <v>44900.840960648151</v>
      </c>
      <c r="AM903" t="s">
        <v>44</v>
      </c>
    </row>
    <row r="904" spans="1:39" x14ac:dyDescent="0.2">
      <c r="A904" t="s">
        <v>925</v>
      </c>
      <c r="B904" t="s">
        <v>40</v>
      </c>
      <c r="C904" t="s">
        <v>908</v>
      </c>
      <c r="D904" t="s">
        <v>42</v>
      </c>
      <c r="E904" t="s">
        <v>43</v>
      </c>
      <c r="F904" t="s">
        <v>44</v>
      </c>
      <c r="G904" t="s">
        <v>45</v>
      </c>
      <c r="AH904" t="s">
        <v>42</v>
      </c>
      <c r="AI904" t="str">
        <f>"66298812294677"</f>
        <v>66298812294677</v>
      </c>
      <c r="AJ904" t="str">
        <f>"520H-110JPNPC"</f>
        <v>520H-110JPNPC</v>
      </c>
      <c r="AK904" t="s">
        <v>46</v>
      </c>
      <c r="AL904" s="1">
        <v>44816.547708333332</v>
      </c>
      <c r="AM904" t="s">
        <v>44</v>
      </c>
    </row>
    <row r="905" spans="1:39" x14ac:dyDescent="0.2">
      <c r="A905" t="s">
        <v>926</v>
      </c>
      <c r="B905" t="s">
        <v>40</v>
      </c>
      <c r="C905" t="s">
        <v>908</v>
      </c>
      <c r="D905" t="s">
        <v>42</v>
      </c>
      <c r="E905" t="s">
        <v>43</v>
      </c>
      <c r="F905" t="s">
        <v>44</v>
      </c>
      <c r="G905" t="s">
        <v>45</v>
      </c>
      <c r="AH905" t="s">
        <v>42</v>
      </c>
      <c r="AI905" t="str">
        <f>"520H-120JPNPC"</f>
        <v>520H-120JPNPC</v>
      </c>
      <c r="AJ905" t="str">
        <f>"520H-120JPNPC"</f>
        <v>520H-120JPNPC</v>
      </c>
      <c r="AK905" t="s">
        <v>46</v>
      </c>
      <c r="AL905" s="1">
        <v>44900.830891203703</v>
      </c>
      <c r="AM905" t="s">
        <v>44</v>
      </c>
    </row>
    <row r="906" spans="1:39" x14ac:dyDescent="0.2">
      <c r="A906" t="s">
        <v>927</v>
      </c>
      <c r="B906" t="s">
        <v>40</v>
      </c>
      <c r="C906" t="s">
        <v>908</v>
      </c>
      <c r="D906" t="s">
        <v>42</v>
      </c>
      <c r="E906" t="s">
        <v>43</v>
      </c>
      <c r="F906" t="s">
        <v>44</v>
      </c>
      <c r="G906" t="s">
        <v>45</v>
      </c>
      <c r="AH906" t="s">
        <v>42</v>
      </c>
      <c r="AI906" t="str">
        <f>"520OH-120RF"</f>
        <v>520OH-120RF</v>
      </c>
      <c r="AJ906" t="str">
        <f>"520OH-120RF"</f>
        <v>520OH-120RF</v>
      </c>
      <c r="AK906" t="s">
        <v>46</v>
      </c>
      <c r="AL906" s="1">
        <v>44945.763287037036</v>
      </c>
      <c r="AM906" t="s">
        <v>44</v>
      </c>
    </row>
    <row r="907" spans="1:39" x14ac:dyDescent="0.2">
      <c r="A907" t="s">
        <v>928</v>
      </c>
      <c r="B907" t="s">
        <v>40</v>
      </c>
      <c r="C907" t="s">
        <v>908</v>
      </c>
      <c r="D907" t="s">
        <v>42</v>
      </c>
      <c r="E907" t="s">
        <v>43</v>
      </c>
      <c r="F907" t="s">
        <v>44</v>
      </c>
      <c r="G907" t="s">
        <v>45</v>
      </c>
      <c r="AH907" t="s">
        <v>42</v>
      </c>
      <c r="AI907" t="str">
        <f>"520H-120RF"</f>
        <v>520H-120RF</v>
      </c>
      <c r="AJ907" t="str">
        <f>"520H-120RF"</f>
        <v>520H-120RF</v>
      </c>
      <c r="AK907" t="s">
        <v>46</v>
      </c>
      <c r="AL907" s="1">
        <v>44940.674837962964</v>
      </c>
      <c r="AM907" t="s">
        <v>44</v>
      </c>
    </row>
    <row r="908" spans="1:39" x14ac:dyDescent="0.2">
      <c r="A908" t="s">
        <v>929</v>
      </c>
      <c r="B908" t="s">
        <v>40</v>
      </c>
      <c r="C908" t="s">
        <v>908</v>
      </c>
      <c r="D908" t="s">
        <v>42</v>
      </c>
      <c r="E908" t="s">
        <v>43</v>
      </c>
      <c r="F908" t="s">
        <v>44</v>
      </c>
      <c r="G908" t="s">
        <v>45</v>
      </c>
      <c r="AH908" t="s">
        <v>42</v>
      </c>
      <c r="AI908" t="str">
        <f>"520H-120RIFFEL"</f>
        <v>520H-120RIFFEL</v>
      </c>
      <c r="AJ908" t="str">
        <f>"520H-120RIFFEL"</f>
        <v>520H-120RIFFEL</v>
      </c>
      <c r="AK908" t="s">
        <v>46</v>
      </c>
      <c r="AL908" s="1">
        <v>45071.801342592589</v>
      </c>
      <c r="AM908" t="s">
        <v>44</v>
      </c>
    </row>
    <row r="909" spans="1:39" x14ac:dyDescent="0.2">
      <c r="A909" t="s">
        <v>930</v>
      </c>
      <c r="B909" t="s">
        <v>40</v>
      </c>
      <c r="C909" t="s">
        <v>908</v>
      </c>
      <c r="D909" t="s">
        <v>42</v>
      </c>
      <c r="E909" t="s">
        <v>43</v>
      </c>
      <c r="F909" t="s">
        <v>44</v>
      </c>
      <c r="G909" t="s">
        <v>45</v>
      </c>
      <c r="AH909" t="s">
        <v>42</v>
      </c>
      <c r="AI909" t="str">
        <f>"66298812333331"</f>
        <v>66298812333331</v>
      </c>
      <c r="AJ909" t="str">
        <f>"520H-120VN"</f>
        <v>520H-120VN</v>
      </c>
      <c r="AK909" t="s">
        <v>46</v>
      </c>
      <c r="AL909" s="1">
        <v>44816.547719907408</v>
      </c>
      <c r="AM909" t="s">
        <v>44</v>
      </c>
    </row>
    <row r="910" spans="1:39" x14ac:dyDescent="0.2">
      <c r="A910" t="s">
        <v>931</v>
      </c>
      <c r="B910" t="s">
        <v>40</v>
      </c>
      <c r="C910" t="s">
        <v>908</v>
      </c>
      <c r="D910" t="s">
        <v>42</v>
      </c>
      <c r="E910" t="s">
        <v>43</v>
      </c>
      <c r="F910" t="s">
        <v>44</v>
      </c>
      <c r="G910" t="s">
        <v>45</v>
      </c>
      <c r="AH910" t="s">
        <v>43</v>
      </c>
      <c r="AI910" t="str">
        <f>"66298812373574"</f>
        <v>66298812373574</v>
      </c>
      <c r="AJ910" t="str">
        <f>"520V-120JPNPC"</f>
        <v>520V-120JPNPC</v>
      </c>
      <c r="AK910" t="s">
        <v>46</v>
      </c>
      <c r="AL910" s="1">
        <v>44816.547719907408</v>
      </c>
      <c r="AM910" t="s">
        <v>44</v>
      </c>
    </row>
    <row r="911" spans="1:39" x14ac:dyDescent="0.2">
      <c r="A911" t="s">
        <v>932</v>
      </c>
      <c r="B911" t="s">
        <v>40</v>
      </c>
      <c r="C911" t="s">
        <v>908</v>
      </c>
      <c r="D911" t="s">
        <v>42</v>
      </c>
      <c r="E911" t="s">
        <v>43</v>
      </c>
      <c r="F911" t="s">
        <v>44</v>
      </c>
      <c r="G911" t="s">
        <v>45</v>
      </c>
      <c r="AH911" t="s">
        <v>42</v>
      </c>
      <c r="AI911" t="str">
        <f>"66298812411287"</f>
        <v>66298812411287</v>
      </c>
      <c r="AJ911" t="str">
        <f>"520V-124CN"</f>
        <v>520V-124CN</v>
      </c>
      <c r="AK911" t="s">
        <v>46</v>
      </c>
      <c r="AL911" s="1">
        <v>44816.547731481478</v>
      </c>
      <c r="AM911" t="s">
        <v>44</v>
      </c>
    </row>
    <row r="912" spans="1:39" x14ac:dyDescent="0.2">
      <c r="A912" t="s">
        <v>933</v>
      </c>
      <c r="B912" t="s">
        <v>40</v>
      </c>
      <c r="C912" t="s">
        <v>908</v>
      </c>
      <c r="D912" t="s">
        <v>42</v>
      </c>
      <c r="E912" t="s">
        <v>43</v>
      </c>
      <c r="F912" t="s">
        <v>44</v>
      </c>
      <c r="G912" t="s">
        <v>45</v>
      </c>
      <c r="AH912" t="s">
        <v>42</v>
      </c>
      <c r="AI912" t="str">
        <f>"525V-120JPNPC"</f>
        <v>525V-120JPNPC</v>
      </c>
      <c r="AJ912" t="str">
        <f>"525V-120JPNPC"</f>
        <v>525V-120JPNPC</v>
      </c>
      <c r="AK912" t="s">
        <v>46</v>
      </c>
      <c r="AL912" s="1">
        <v>44900.83222222222</v>
      </c>
      <c r="AM912" t="s">
        <v>44</v>
      </c>
    </row>
    <row r="913" spans="1:39" x14ac:dyDescent="0.2">
      <c r="A913" t="s">
        <v>934</v>
      </c>
      <c r="B913" t="s">
        <v>40</v>
      </c>
      <c r="C913" t="s">
        <v>908</v>
      </c>
      <c r="D913" t="s">
        <v>42</v>
      </c>
      <c r="E913" t="s">
        <v>43</v>
      </c>
      <c r="F913" t="s">
        <v>44</v>
      </c>
      <c r="G913" t="s">
        <v>45</v>
      </c>
      <c r="AH913" t="s">
        <v>42</v>
      </c>
      <c r="AI913" t="str">
        <f>"66298812450321"</f>
        <v>66298812450321</v>
      </c>
      <c r="AJ913" t="str">
        <f>"525H-124CHOHO"</f>
        <v>525H-124CHOHO</v>
      </c>
      <c r="AK913" t="s">
        <v>46</v>
      </c>
      <c r="AL913" s="1">
        <v>44816.547731481478</v>
      </c>
      <c r="AM913" t="s">
        <v>44</v>
      </c>
    </row>
    <row r="914" spans="1:39" x14ac:dyDescent="0.2">
      <c r="A914" t="s">
        <v>935</v>
      </c>
      <c r="B914" t="s">
        <v>40</v>
      </c>
      <c r="C914" t="s">
        <v>908</v>
      </c>
      <c r="D914" t="s">
        <v>42</v>
      </c>
      <c r="E914" t="s">
        <v>43</v>
      </c>
      <c r="F914" t="s">
        <v>44</v>
      </c>
      <c r="G914" t="s">
        <v>45</v>
      </c>
      <c r="AH914" t="s">
        <v>42</v>
      </c>
      <c r="AI914" t="str">
        <f>"525VX3-120JP"</f>
        <v>525VX3-120JP</v>
      </c>
      <c r="AJ914" t="str">
        <f>"525VX3-120JP"</f>
        <v>525VX3-120JP</v>
      </c>
      <c r="AK914" t="s">
        <v>46</v>
      </c>
      <c r="AL914" s="1">
        <v>44888.61105324074</v>
      </c>
      <c r="AM914" t="s">
        <v>44</v>
      </c>
    </row>
    <row r="915" spans="1:39" x14ac:dyDescent="0.2">
      <c r="A915" t="s">
        <v>936</v>
      </c>
      <c r="B915" t="s">
        <v>40</v>
      </c>
      <c r="C915" t="s">
        <v>908</v>
      </c>
      <c r="D915" t="s">
        <v>42</v>
      </c>
      <c r="E915" t="s">
        <v>43</v>
      </c>
      <c r="F915" t="s">
        <v>44</v>
      </c>
      <c r="G915" t="s">
        <v>45</v>
      </c>
      <c r="AH915" t="s">
        <v>42</v>
      </c>
      <c r="AI915" t="str">
        <f>"525VX3-124JP"</f>
        <v>525VX3-124JP</v>
      </c>
      <c r="AJ915" t="str">
        <f>"525VX3-124JP"</f>
        <v>525VX3-124JP</v>
      </c>
      <c r="AK915" t="s">
        <v>46</v>
      </c>
      <c r="AL915" s="1">
        <v>44931.672731481478</v>
      </c>
      <c r="AM915" t="s">
        <v>44</v>
      </c>
    </row>
    <row r="916" spans="1:39" x14ac:dyDescent="0.2">
      <c r="A916" t="s">
        <v>937</v>
      </c>
      <c r="B916" t="s">
        <v>40</v>
      </c>
      <c r="C916" t="s">
        <v>908</v>
      </c>
      <c r="D916" t="s">
        <v>42</v>
      </c>
      <c r="E916" t="s">
        <v>43</v>
      </c>
      <c r="F916" t="s">
        <v>44</v>
      </c>
      <c r="G916" t="s">
        <v>45</v>
      </c>
      <c r="AH916" t="s">
        <v>43</v>
      </c>
      <c r="AI916" t="str">
        <f>"525VX3-130JP"</f>
        <v>525VX3-130JP</v>
      </c>
      <c r="AJ916" t="str">
        <f>"525VX3-130JP"</f>
        <v>525VX3-130JP</v>
      </c>
      <c r="AK916" t="s">
        <v>46</v>
      </c>
      <c r="AL916" s="1">
        <v>44924.657916666663</v>
      </c>
      <c r="AM916" t="s">
        <v>44</v>
      </c>
    </row>
    <row r="917" spans="1:39" x14ac:dyDescent="0.2">
      <c r="A917" t="s">
        <v>938</v>
      </c>
      <c r="B917" t="s">
        <v>40</v>
      </c>
      <c r="C917" t="s">
        <v>908</v>
      </c>
      <c r="D917" t="s">
        <v>42</v>
      </c>
      <c r="E917" t="s">
        <v>43</v>
      </c>
      <c r="F917" t="s">
        <v>44</v>
      </c>
      <c r="G917" t="s">
        <v>45</v>
      </c>
      <c r="AH917" t="s">
        <v>42</v>
      </c>
      <c r="AI917" t="str">
        <f>"530-120JP"</f>
        <v>530-120JP</v>
      </c>
      <c r="AJ917" t="str">
        <f>"530-120JP"</f>
        <v>530-120JP</v>
      </c>
      <c r="AK917" t="s">
        <v>46</v>
      </c>
      <c r="AL917" s="1">
        <v>44868.6174537037</v>
      </c>
      <c r="AM917" t="s">
        <v>44</v>
      </c>
    </row>
    <row r="918" spans="1:39" x14ac:dyDescent="0.2">
      <c r="A918" t="s">
        <v>939</v>
      </c>
      <c r="B918" t="s">
        <v>40</v>
      </c>
      <c r="C918" t="s">
        <v>908</v>
      </c>
      <c r="D918" t="s">
        <v>42</v>
      </c>
      <c r="E918" t="s">
        <v>43</v>
      </c>
      <c r="F918" t="s">
        <v>44</v>
      </c>
      <c r="G918" t="s">
        <v>45</v>
      </c>
      <c r="AH918" t="s">
        <v>42</v>
      </c>
      <c r="AI918" t="str">
        <f>"66298812529172"</f>
        <v>66298812529172</v>
      </c>
      <c r="AJ918" t="str">
        <f>"404-DHA-098JP"</f>
        <v>404-DHA-098JP</v>
      </c>
      <c r="AK918" t="s">
        <v>46</v>
      </c>
      <c r="AL918" s="1">
        <v>44816.547743055555</v>
      </c>
      <c r="AM918" t="s">
        <v>44</v>
      </c>
    </row>
    <row r="919" spans="1:39" x14ac:dyDescent="0.2">
      <c r="A919" t="s">
        <v>940</v>
      </c>
      <c r="B919" t="s">
        <v>40</v>
      </c>
      <c r="C919" t="s">
        <v>908</v>
      </c>
      <c r="D919" t="s">
        <v>42</v>
      </c>
      <c r="E919" t="s">
        <v>43</v>
      </c>
      <c r="F919" t="s">
        <v>44</v>
      </c>
      <c r="G919" t="s">
        <v>45</v>
      </c>
      <c r="AH919" t="s">
        <v>42</v>
      </c>
      <c r="AI919" t="str">
        <f>"66298812488935"</f>
        <v>66298812488935</v>
      </c>
      <c r="AJ919" t="str">
        <f>"14401-K43-901JP"</f>
        <v>14401-K43-901JP</v>
      </c>
      <c r="AK919" t="s">
        <v>46</v>
      </c>
      <c r="AL919" s="1">
        <v>44816.547731481478</v>
      </c>
      <c r="AM919" t="s">
        <v>44</v>
      </c>
    </row>
    <row r="920" spans="1:39" x14ac:dyDescent="0.2">
      <c r="A920" t="s">
        <v>941</v>
      </c>
      <c r="B920" t="s">
        <v>40</v>
      </c>
      <c r="C920" t="s">
        <v>908</v>
      </c>
      <c r="D920" t="s">
        <v>42</v>
      </c>
      <c r="E920" t="s">
        <v>43</v>
      </c>
      <c r="F920" t="s">
        <v>44</v>
      </c>
      <c r="G920" t="s">
        <v>45</v>
      </c>
      <c r="AH920" t="s">
        <v>42</v>
      </c>
      <c r="AI920" t="str">
        <f>"66298812568999"</f>
        <v>66298812568999</v>
      </c>
      <c r="AJ920" t="str">
        <f>"14401-KTE-910JP"</f>
        <v>14401-KTE-910JP</v>
      </c>
      <c r="AK920" t="s">
        <v>46</v>
      </c>
      <c r="AL920" s="1">
        <v>44816.547743055555</v>
      </c>
      <c r="AM920" t="s">
        <v>44</v>
      </c>
    </row>
    <row r="921" spans="1:39" x14ac:dyDescent="0.2">
      <c r="A921" t="s">
        <v>942</v>
      </c>
      <c r="B921" t="s">
        <v>40</v>
      </c>
      <c r="C921" t="s">
        <v>908</v>
      </c>
      <c r="D921" t="s">
        <v>42</v>
      </c>
      <c r="E921" t="s">
        <v>43</v>
      </c>
      <c r="F921" t="s">
        <v>44</v>
      </c>
      <c r="G921" t="s">
        <v>45</v>
      </c>
      <c r="AH921" t="s">
        <v>42</v>
      </c>
      <c r="AI921" t="str">
        <f>"66298812608643"</f>
        <v>66298812608643</v>
      </c>
      <c r="AJ921" t="str">
        <f>"14401-KSP-860JP"</f>
        <v>14401-KSP-860JP</v>
      </c>
      <c r="AK921" t="s">
        <v>46</v>
      </c>
      <c r="AL921" s="1">
        <v>44816.547754629632</v>
      </c>
      <c r="AM921" t="s">
        <v>44</v>
      </c>
    </row>
    <row r="922" spans="1:39" x14ac:dyDescent="0.2">
      <c r="A922" t="s">
        <v>943</v>
      </c>
      <c r="B922" t="s">
        <v>40</v>
      </c>
      <c r="C922" t="s">
        <v>908</v>
      </c>
      <c r="D922" t="s">
        <v>42</v>
      </c>
      <c r="E922" t="s">
        <v>43</v>
      </c>
      <c r="F922" t="s">
        <v>44</v>
      </c>
      <c r="G922" t="s">
        <v>45</v>
      </c>
      <c r="AH922" t="s">
        <v>42</v>
      </c>
      <c r="AI922" t="str">
        <f>"66298812685767"</f>
        <v>66298812685767</v>
      </c>
      <c r="AJ922" t="str">
        <f>"14401-KPF-903JP"</f>
        <v>14401-KPF-903JP</v>
      </c>
      <c r="AK922" t="s">
        <v>46</v>
      </c>
      <c r="AL922" s="1">
        <v>44816.547754629632</v>
      </c>
      <c r="AM922" t="s">
        <v>44</v>
      </c>
    </row>
    <row r="923" spans="1:39" x14ac:dyDescent="0.2">
      <c r="A923" t="s">
        <v>944</v>
      </c>
      <c r="B923" t="s">
        <v>40</v>
      </c>
      <c r="C923" t="s">
        <v>908</v>
      </c>
      <c r="D923" t="s">
        <v>42</v>
      </c>
      <c r="E923" t="s">
        <v>43</v>
      </c>
      <c r="F923" t="s">
        <v>44</v>
      </c>
      <c r="G923" t="s">
        <v>45</v>
      </c>
      <c r="AH923" t="s">
        <v>42</v>
      </c>
      <c r="AI923" t="str">
        <f>"66298812647872"</f>
        <v>66298812647872</v>
      </c>
      <c r="AJ923" t="str">
        <f>"400130"</f>
        <v>400130</v>
      </c>
      <c r="AK923" t="s">
        <v>46</v>
      </c>
      <c r="AL923" s="1">
        <v>44816.547754629632</v>
      </c>
      <c r="AM923" t="s">
        <v>44</v>
      </c>
    </row>
    <row r="924" spans="1:39" x14ac:dyDescent="0.2">
      <c r="A924" t="s">
        <v>945</v>
      </c>
      <c r="B924" t="s">
        <v>40</v>
      </c>
      <c r="C924" t="s">
        <v>908</v>
      </c>
      <c r="D924" t="s">
        <v>42</v>
      </c>
      <c r="E924" t="s">
        <v>43</v>
      </c>
      <c r="F924" t="s">
        <v>44</v>
      </c>
      <c r="G924" t="s">
        <v>45</v>
      </c>
      <c r="AH924" t="s">
        <v>42</v>
      </c>
      <c r="AI924" t="str">
        <f>"66298812728237"</f>
        <v>66298812728237</v>
      </c>
      <c r="AJ924" t="str">
        <f>"409H-100JPNPC"</f>
        <v>409H-100JPNPC</v>
      </c>
      <c r="AK924" t="s">
        <v>46</v>
      </c>
      <c r="AL924" s="1">
        <v>44816.547766203701</v>
      </c>
      <c r="AM924" t="s">
        <v>44</v>
      </c>
    </row>
    <row r="925" spans="1:39" x14ac:dyDescent="0.2">
      <c r="A925" t="s">
        <v>946</v>
      </c>
      <c r="B925" t="s">
        <v>40</v>
      </c>
      <c r="C925" t="s">
        <v>908</v>
      </c>
      <c r="D925" t="s">
        <v>42</v>
      </c>
      <c r="E925" t="s">
        <v>43</v>
      </c>
      <c r="F925" t="s">
        <v>44</v>
      </c>
      <c r="G925" t="s">
        <v>45</v>
      </c>
      <c r="AH925" t="s">
        <v>42</v>
      </c>
      <c r="AI925" t="str">
        <f>"66298812767664"</f>
        <v>66298812767664</v>
      </c>
      <c r="AJ925" t="str">
        <f>"400125"</f>
        <v>400125</v>
      </c>
      <c r="AK925" t="s">
        <v>46</v>
      </c>
      <c r="AL925" s="1">
        <v>44816.547766203701</v>
      </c>
      <c r="AM925" t="s">
        <v>44</v>
      </c>
    </row>
    <row r="926" spans="1:39" x14ac:dyDescent="0.2">
      <c r="A926" t="s">
        <v>947</v>
      </c>
      <c r="B926" t="s">
        <v>40</v>
      </c>
      <c r="C926" t="s">
        <v>908</v>
      </c>
      <c r="D926" t="s">
        <v>42</v>
      </c>
      <c r="E926" t="s">
        <v>43</v>
      </c>
      <c r="F926" t="s">
        <v>44</v>
      </c>
      <c r="G926" t="s">
        <v>45</v>
      </c>
      <c r="AH926" t="s">
        <v>42</v>
      </c>
      <c r="AI926" t="str">
        <f>"66298812811577"</f>
        <v>66298812811577</v>
      </c>
      <c r="AJ926" t="str">
        <f>"409H-136JPNPC"</f>
        <v>409H-136JPNPC</v>
      </c>
      <c r="AK926" t="s">
        <v>46</v>
      </c>
      <c r="AL926" s="1">
        <v>44816.547777777778</v>
      </c>
      <c r="AM926" t="s">
        <v>44</v>
      </c>
    </row>
    <row r="927" spans="1:39" x14ac:dyDescent="0.2">
      <c r="A927" t="s">
        <v>948</v>
      </c>
      <c r="B927" t="s">
        <v>40</v>
      </c>
      <c r="C927" t="s">
        <v>908</v>
      </c>
      <c r="D927" t="s">
        <v>42</v>
      </c>
      <c r="E927" t="s">
        <v>43</v>
      </c>
      <c r="F927" t="s">
        <v>44</v>
      </c>
      <c r="G927" t="s">
        <v>45</v>
      </c>
      <c r="AH927" t="s">
        <v>42</v>
      </c>
      <c r="AI927" t="str">
        <f>"66298812855795"</f>
        <v>66298812855795</v>
      </c>
      <c r="AJ927" t="str">
        <f>"409H-158JPNPC"</f>
        <v>409H-158JPNPC</v>
      </c>
      <c r="AK927" t="s">
        <v>46</v>
      </c>
      <c r="AL927" s="1">
        <v>44816.547777777778</v>
      </c>
      <c r="AM927" t="s">
        <v>44</v>
      </c>
    </row>
    <row r="928" spans="1:39" x14ac:dyDescent="0.2">
      <c r="A928" t="s">
        <v>949</v>
      </c>
      <c r="B928" t="s">
        <v>40</v>
      </c>
      <c r="C928" t="s">
        <v>908</v>
      </c>
      <c r="D928" t="s">
        <v>42</v>
      </c>
      <c r="E928" t="s">
        <v>43</v>
      </c>
      <c r="F928" t="s">
        <v>44</v>
      </c>
      <c r="G928" t="s">
        <v>45</v>
      </c>
      <c r="AH928" t="s">
        <v>42</v>
      </c>
      <c r="AI928" t="str">
        <f>"66298812898624"</f>
        <v>66298812898624</v>
      </c>
      <c r="AJ928" t="str">
        <f>"409-DHA-100JP"</f>
        <v>409-DHA-100JP</v>
      </c>
      <c r="AK928" t="s">
        <v>46</v>
      </c>
      <c r="AL928" s="1">
        <v>44816.547777777778</v>
      </c>
      <c r="AM928" t="s">
        <v>44</v>
      </c>
    </row>
    <row r="929" spans="1:39" x14ac:dyDescent="0.2">
      <c r="A929" t="s">
        <v>950</v>
      </c>
      <c r="B929" t="s">
        <v>40</v>
      </c>
      <c r="C929" t="s">
        <v>908</v>
      </c>
      <c r="D929" t="s">
        <v>42</v>
      </c>
      <c r="E929" t="s">
        <v>43</v>
      </c>
      <c r="F929" t="s">
        <v>44</v>
      </c>
      <c r="G929" t="s">
        <v>45</v>
      </c>
      <c r="AH929" t="s">
        <v>42</v>
      </c>
      <c r="AI929" t="str">
        <f>"66298812939684"</f>
        <v>66298812939684</v>
      </c>
      <c r="AJ929" t="str">
        <f>"H1068"</f>
        <v>H1068</v>
      </c>
      <c r="AK929" t="s">
        <v>46</v>
      </c>
      <c r="AL929" s="1">
        <v>44816.547789351855</v>
      </c>
      <c r="AM929" t="s">
        <v>44</v>
      </c>
    </row>
    <row r="930" spans="1:39" x14ac:dyDescent="0.2">
      <c r="A930" t="s">
        <v>951</v>
      </c>
      <c r="B930" t="s">
        <v>40</v>
      </c>
      <c r="C930" t="s">
        <v>908</v>
      </c>
      <c r="D930" t="s">
        <v>42</v>
      </c>
      <c r="E930" t="s">
        <v>43</v>
      </c>
      <c r="F930" t="s">
        <v>44</v>
      </c>
      <c r="G930" t="s">
        <v>45</v>
      </c>
      <c r="AH930" t="s">
        <v>42</v>
      </c>
      <c r="AI930" t="str">
        <f>"66298812981705"</f>
        <v>66298812981705</v>
      </c>
      <c r="AJ930" t="str">
        <f>"13028-27G00JP"</f>
        <v>13028-27G00JP</v>
      </c>
      <c r="AK930" t="s">
        <v>46</v>
      </c>
      <c r="AL930" s="1">
        <v>44816.547789351855</v>
      </c>
      <c r="AM930" t="s">
        <v>44</v>
      </c>
    </row>
    <row r="931" spans="1:39" x14ac:dyDescent="0.2">
      <c r="A931" t="s">
        <v>952</v>
      </c>
      <c r="B931" t="s">
        <v>40</v>
      </c>
      <c r="C931" t="s">
        <v>908</v>
      </c>
      <c r="D931" t="s">
        <v>42</v>
      </c>
      <c r="E931" t="s">
        <v>43</v>
      </c>
      <c r="F931" t="s">
        <v>44</v>
      </c>
      <c r="G931" t="s">
        <v>45</v>
      </c>
      <c r="AH931" t="s">
        <v>42</v>
      </c>
      <c r="AI931" t="str">
        <f>"66298813029303"</f>
        <v>66298813029303</v>
      </c>
      <c r="AJ931" t="str">
        <f>"12760-32E00JP"</f>
        <v>12760-32E00JP</v>
      </c>
      <c r="AK931" t="s">
        <v>46</v>
      </c>
      <c r="AL931" s="1">
        <v>44816.547800925924</v>
      </c>
      <c r="AM931" t="s">
        <v>44</v>
      </c>
    </row>
    <row r="932" spans="1:39" x14ac:dyDescent="0.2">
      <c r="A932" t="s">
        <v>953</v>
      </c>
      <c r="B932" t="s">
        <v>40</v>
      </c>
      <c r="C932" t="s">
        <v>908</v>
      </c>
      <c r="D932" t="s">
        <v>42</v>
      </c>
      <c r="E932" t="s">
        <v>43</v>
      </c>
      <c r="F932" t="s">
        <v>44</v>
      </c>
      <c r="G932" t="s">
        <v>45</v>
      </c>
      <c r="AH932" t="s">
        <v>42</v>
      </c>
      <c r="AI932" t="str">
        <f>"66298813072152"</f>
        <v>66298813072152</v>
      </c>
      <c r="AJ932" t="str">
        <f>"14401-KBB-901JP"</f>
        <v>14401-KBB-901JP</v>
      </c>
      <c r="AK932" t="s">
        <v>46</v>
      </c>
      <c r="AL932" s="1">
        <v>44816.547800925924</v>
      </c>
      <c r="AM932" t="s">
        <v>44</v>
      </c>
    </row>
    <row r="933" spans="1:39" x14ac:dyDescent="0.2">
      <c r="A933" t="s">
        <v>954</v>
      </c>
      <c r="B933" t="s">
        <v>40</v>
      </c>
      <c r="C933" t="s">
        <v>908</v>
      </c>
      <c r="D933" t="s">
        <v>42</v>
      </c>
      <c r="E933" t="s">
        <v>43</v>
      </c>
      <c r="F933" t="s">
        <v>44</v>
      </c>
      <c r="G933" t="s">
        <v>45</v>
      </c>
      <c r="AH933" t="s">
        <v>42</v>
      </c>
      <c r="AI933" t="str">
        <f>"66298813113726"</f>
        <v>66298813113726</v>
      </c>
      <c r="AJ933" t="str">
        <f>"400128"</f>
        <v>400128</v>
      </c>
      <c r="AK933" t="s">
        <v>46</v>
      </c>
      <c r="AL933" s="1">
        <v>44816.547812500001</v>
      </c>
      <c r="AM933" t="s">
        <v>44</v>
      </c>
    </row>
    <row r="934" spans="1:39" x14ac:dyDescent="0.2">
      <c r="A934" t="s">
        <v>955</v>
      </c>
      <c r="B934" t="s">
        <v>40</v>
      </c>
      <c r="C934" t="s">
        <v>908</v>
      </c>
      <c r="D934" t="s">
        <v>42</v>
      </c>
      <c r="E934" t="s">
        <v>43</v>
      </c>
      <c r="F934" t="s">
        <v>44</v>
      </c>
      <c r="G934" t="s">
        <v>45</v>
      </c>
      <c r="AH934" t="s">
        <v>42</v>
      </c>
      <c r="AI934" t="str">
        <f>"66298813156141"</f>
        <v>66298813156141</v>
      </c>
      <c r="AJ934" t="str">
        <f>"409H-102JPNPC"</f>
        <v>409H-102JPNPC</v>
      </c>
      <c r="AK934" t="s">
        <v>46</v>
      </c>
      <c r="AL934" s="1">
        <v>44816.547812500001</v>
      </c>
      <c r="AM934" t="s">
        <v>44</v>
      </c>
    </row>
    <row r="935" spans="1:39" x14ac:dyDescent="0.2">
      <c r="A935" t="s">
        <v>956</v>
      </c>
      <c r="B935" t="s">
        <v>40</v>
      </c>
      <c r="C935" t="s">
        <v>908</v>
      </c>
      <c r="D935" t="s">
        <v>42</v>
      </c>
      <c r="E935" t="s">
        <v>43</v>
      </c>
      <c r="F935" t="s">
        <v>44</v>
      </c>
      <c r="G935" t="s">
        <v>45</v>
      </c>
      <c r="AH935" t="s">
        <v>42</v>
      </c>
      <c r="AI935" t="str">
        <f>"66298813202100"</f>
        <v>66298813202100</v>
      </c>
      <c r="AJ935" t="str">
        <f>"409H-118JPNPC"</f>
        <v>409H-118JPNPC</v>
      </c>
      <c r="AK935" t="s">
        <v>46</v>
      </c>
      <c r="AL935" s="1">
        <v>44816.547824074078</v>
      </c>
      <c r="AM935" t="s">
        <v>44</v>
      </c>
    </row>
    <row r="936" spans="1:39" x14ac:dyDescent="0.2">
      <c r="A936" t="s">
        <v>957</v>
      </c>
      <c r="B936" t="s">
        <v>40</v>
      </c>
      <c r="C936" t="s">
        <v>908</v>
      </c>
      <c r="D936" t="s">
        <v>42</v>
      </c>
      <c r="E936" t="s">
        <v>43</v>
      </c>
      <c r="F936" t="s">
        <v>44</v>
      </c>
      <c r="G936" t="s">
        <v>45</v>
      </c>
      <c r="AH936" t="s">
        <v>42</v>
      </c>
      <c r="AI936" t="str">
        <f>"66298813247841"</f>
        <v>66298813247841</v>
      </c>
      <c r="AJ936" t="str">
        <f>"25H-104JP"</f>
        <v>25H-104JP</v>
      </c>
      <c r="AK936" t="s">
        <v>46</v>
      </c>
      <c r="AL936" s="1">
        <v>44816.547824074078</v>
      </c>
      <c r="AM936" t="s">
        <v>44</v>
      </c>
    </row>
    <row r="937" spans="1:39" x14ac:dyDescent="0.2">
      <c r="A937" t="s">
        <v>958</v>
      </c>
      <c r="B937" t="s">
        <v>40</v>
      </c>
      <c r="C937" t="s">
        <v>908</v>
      </c>
      <c r="D937" t="s">
        <v>42</v>
      </c>
      <c r="E937" t="s">
        <v>43</v>
      </c>
      <c r="F937" t="s">
        <v>44</v>
      </c>
      <c r="G937" t="s">
        <v>45</v>
      </c>
      <c r="AH937" t="s">
        <v>42</v>
      </c>
      <c r="AI937" t="str">
        <f>"66298813286360"</f>
        <v>66298813286360</v>
      </c>
      <c r="AJ937" t="str">
        <f>"94582-19104JP"</f>
        <v>94582-19104JP</v>
      </c>
      <c r="AK937" t="s">
        <v>46</v>
      </c>
      <c r="AL937" s="1">
        <v>44816.547824074078</v>
      </c>
      <c r="AM937" t="s">
        <v>44</v>
      </c>
    </row>
    <row r="938" spans="1:39" x14ac:dyDescent="0.2">
      <c r="A938" t="s">
        <v>959</v>
      </c>
      <c r="B938" t="s">
        <v>40</v>
      </c>
      <c r="C938" t="s">
        <v>908</v>
      </c>
      <c r="D938" t="s">
        <v>42</v>
      </c>
      <c r="E938" t="s">
        <v>43</v>
      </c>
      <c r="F938" t="s">
        <v>44</v>
      </c>
      <c r="G938" t="s">
        <v>45</v>
      </c>
      <c r="AH938" t="s">
        <v>42</v>
      </c>
      <c r="AI938" t="str">
        <f>"66298813331456"</f>
        <v>66298813331456</v>
      </c>
      <c r="AJ938" t="str">
        <f>"412H-DHA-118JP"</f>
        <v>412H-DHA-118JP</v>
      </c>
      <c r="AK938" t="s">
        <v>46</v>
      </c>
      <c r="AL938" s="1">
        <v>44816.547835648147</v>
      </c>
      <c r="AM938" t="s">
        <v>44</v>
      </c>
    </row>
    <row r="939" spans="1:39" x14ac:dyDescent="0.2">
      <c r="A939" t="s">
        <v>960</v>
      </c>
      <c r="B939" t="s">
        <v>40</v>
      </c>
      <c r="C939" t="s">
        <v>908</v>
      </c>
      <c r="D939" t="s">
        <v>42</v>
      </c>
      <c r="E939" t="s">
        <v>43</v>
      </c>
      <c r="F939" t="s">
        <v>44</v>
      </c>
      <c r="G939" t="s">
        <v>45</v>
      </c>
      <c r="AH939" t="s">
        <v>42</v>
      </c>
      <c r="AI939" t="str">
        <f>"66298813372415"</f>
        <v>66298813372415</v>
      </c>
      <c r="AJ939" t="str">
        <f>"94568-A6090NPC"</f>
        <v>94568-A6090NPC</v>
      </c>
      <c r="AK939" t="s">
        <v>46</v>
      </c>
      <c r="AL939" s="1">
        <v>44816.547835648147</v>
      </c>
      <c r="AM939" t="s">
        <v>44</v>
      </c>
    </row>
    <row r="940" spans="1:39" x14ac:dyDescent="0.2">
      <c r="A940" t="s">
        <v>961</v>
      </c>
      <c r="B940" t="s">
        <v>40</v>
      </c>
      <c r="C940" t="s">
        <v>50</v>
      </c>
      <c r="D940" t="s">
        <v>42</v>
      </c>
      <c r="E940" t="s">
        <v>43</v>
      </c>
      <c r="F940" t="s">
        <v>44</v>
      </c>
      <c r="G940" t="s">
        <v>45</v>
      </c>
      <c r="AH940" t="s">
        <v>42</v>
      </c>
      <c r="AI940" t="str">
        <f>"66298813411663"</f>
        <v>66298813411663</v>
      </c>
      <c r="AJ940" t="str">
        <f>"AD009"</f>
        <v>AD009</v>
      </c>
      <c r="AK940" t="s">
        <v>46</v>
      </c>
      <c r="AL940" s="1">
        <v>44816.547847222224</v>
      </c>
      <c r="AM940" t="s">
        <v>44</v>
      </c>
    </row>
    <row r="941" spans="1:39" x14ac:dyDescent="0.2">
      <c r="A941" t="s">
        <v>962</v>
      </c>
      <c r="B941" t="s">
        <v>40</v>
      </c>
      <c r="C941" t="s">
        <v>50</v>
      </c>
      <c r="D941" t="s">
        <v>42</v>
      </c>
      <c r="E941" t="s">
        <v>43</v>
      </c>
      <c r="F941" t="s">
        <v>44</v>
      </c>
      <c r="G941" t="s">
        <v>45</v>
      </c>
      <c r="AH941" t="s">
        <v>42</v>
      </c>
      <c r="AI941" t="str">
        <f>"66298813448560"</f>
        <v>66298813448560</v>
      </c>
      <c r="AJ941" t="str">
        <f>"AD009-A"</f>
        <v>AD009-A</v>
      </c>
      <c r="AK941" t="s">
        <v>46</v>
      </c>
      <c r="AL941" s="1">
        <v>44816.547847222224</v>
      </c>
      <c r="AM941" t="s">
        <v>44</v>
      </c>
    </row>
    <row r="942" spans="1:39" x14ac:dyDescent="0.2">
      <c r="A942" t="s">
        <v>963</v>
      </c>
      <c r="B942" t="s">
        <v>40</v>
      </c>
      <c r="C942" t="s">
        <v>50</v>
      </c>
      <c r="D942" t="s">
        <v>42</v>
      </c>
      <c r="E942" t="s">
        <v>43</v>
      </c>
      <c r="F942" t="s">
        <v>44</v>
      </c>
      <c r="G942" t="s">
        <v>45</v>
      </c>
      <c r="AH942" t="s">
        <v>42</v>
      </c>
      <c r="AI942" t="str">
        <f>"66298813489457"</f>
        <v>66298813489457</v>
      </c>
      <c r="AJ942" t="str">
        <f>"18302"</f>
        <v>18302</v>
      </c>
      <c r="AK942" t="s">
        <v>46</v>
      </c>
      <c r="AL942" s="1">
        <v>44816.547847222224</v>
      </c>
      <c r="AM942" t="s">
        <v>44</v>
      </c>
    </row>
    <row r="943" spans="1:39" x14ac:dyDescent="0.2">
      <c r="A943" t="s">
        <v>964</v>
      </c>
      <c r="B943" t="s">
        <v>40</v>
      </c>
      <c r="C943" t="s">
        <v>50</v>
      </c>
      <c r="D943" t="s">
        <v>42</v>
      </c>
      <c r="E943" t="s">
        <v>43</v>
      </c>
      <c r="F943" t="s">
        <v>44</v>
      </c>
      <c r="G943" t="s">
        <v>45</v>
      </c>
      <c r="AH943" t="s">
        <v>42</v>
      </c>
      <c r="AI943" t="str">
        <f>"66298813529904"</f>
        <v>66298813529904</v>
      </c>
      <c r="AJ943" t="str">
        <f>"18293"</f>
        <v>18293</v>
      </c>
      <c r="AK943" t="s">
        <v>46</v>
      </c>
      <c r="AL943" s="1">
        <v>44816.547858796293</v>
      </c>
      <c r="AM943" t="s">
        <v>44</v>
      </c>
    </row>
    <row r="944" spans="1:39" x14ac:dyDescent="0.2">
      <c r="A944" t="s">
        <v>965</v>
      </c>
      <c r="B944" t="s">
        <v>40</v>
      </c>
      <c r="C944" t="s">
        <v>50</v>
      </c>
      <c r="D944" t="s">
        <v>42</v>
      </c>
      <c r="E944" t="s">
        <v>43</v>
      </c>
      <c r="F944" t="s">
        <v>44</v>
      </c>
      <c r="G944" t="s">
        <v>45</v>
      </c>
      <c r="AH944" t="s">
        <v>42</v>
      </c>
      <c r="AI944" t="str">
        <f>"66298813574357"</f>
        <v>66298813574357</v>
      </c>
      <c r="AJ944" t="str">
        <f>"HK-4602"</f>
        <v>HK-4602</v>
      </c>
      <c r="AK944" t="s">
        <v>46</v>
      </c>
      <c r="AL944" s="1">
        <v>44816.547858796293</v>
      </c>
      <c r="AM944" t="s">
        <v>44</v>
      </c>
    </row>
    <row r="945" spans="1:39" x14ac:dyDescent="0.2">
      <c r="A945" t="s">
        <v>966</v>
      </c>
      <c r="B945" t="s">
        <v>40</v>
      </c>
      <c r="C945" t="s">
        <v>50</v>
      </c>
      <c r="D945" t="s">
        <v>42</v>
      </c>
      <c r="E945" t="s">
        <v>43</v>
      </c>
      <c r="F945" t="s">
        <v>44</v>
      </c>
      <c r="G945" t="s">
        <v>45</v>
      </c>
      <c r="AH945" t="s">
        <v>42</v>
      </c>
      <c r="AI945" t="str">
        <f>"66298813613657"</f>
        <v>66298813613657</v>
      </c>
      <c r="AJ945" t="str">
        <f>"799"</f>
        <v>799</v>
      </c>
      <c r="AK945" t="s">
        <v>46</v>
      </c>
      <c r="AL945" s="1">
        <v>44816.54787037037</v>
      </c>
      <c r="AM945" t="s">
        <v>44</v>
      </c>
    </row>
    <row r="946" spans="1:39" x14ac:dyDescent="0.2">
      <c r="A946" t="s">
        <v>967</v>
      </c>
      <c r="B946" t="s">
        <v>40</v>
      </c>
      <c r="C946" t="s">
        <v>50</v>
      </c>
      <c r="D946" t="s">
        <v>42</v>
      </c>
      <c r="E946" t="s">
        <v>43</v>
      </c>
      <c r="F946" t="s">
        <v>44</v>
      </c>
      <c r="G946" t="s">
        <v>45</v>
      </c>
      <c r="AH946" t="s">
        <v>42</v>
      </c>
      <c r="AI946" t="str">
        <f>"66298813653994"</f>
        <v>66298813653994</v>
      </c>
      <c r="AJ946" t="str">
        <f>"18308"</f>
        <v>18308</v>
      </c>
      <c r="AK946" t="s">
        <v>46</v>
      </c>
      <c r="AL946" s="1">
        <v>44816.54787037037</v>
      </c>
      <c r="AM946" t="s">
        <v>44</v>
      </c>
    </row>
    <row r="947" spans="1:39" x14ac:dyDescent="0.2">
      <c r="A947" t="s">
        <v>968</v>
      </c>
      <c r="B947" t="s">
        <v>40</v>
      </c>
      <c r="C947" t="s">
        <v>50</v>
      </c>
      <c r="D947" t="s">
        <v>42</v>
      </c>
      <c r="E947" t="s">
        <v>43</v>
      </c>
      <c r="F947" t="s">
        <v>44</v>
      </c>
      <c r="G947" t="s">
        <v>45</v>
      </c>
      <c r="AH947" t="s">
        <v>42</v>
      </c>
      <c r="AI947" t="str">
        <f>"66298813760715"</f>
        <v>66298813760715</v>
      </c>
      <c r="AJ947" t="str">
        <f>"3723"</f>
        <v>3723</v>
      </c>
      <c r="AK947" t="s">
        <v>46</v>
      </c>
      <c r="AL947" s="1">
        <v>44816.547881944447</v>
      </c>
      <c r="AM947" t="s">
        <v>44</v>
      </c>
    </row>
    <row r="948" spans="1:39" x14ac:dyDescent="0.2">
      <c r="A948" t="s">
        <v>969</v>
      </c>
      <c r="B948" t="s">
        <v>40</v>
      </c>
      <c r="C948" t="s">
        <v>50</v>
      </c>
      <c r="D948" t="s">
        <v>42</v>
      </c>
      <c r="E948" t="s">
        <v>43</v>
      </c>
      <c r="F948" t="s">
        <v>44</v>
      </c>
      <c r="G948" t="s">
        <v>45</v>
      </c>
      <c r="AH948" t="s">
        <v>42</v>
      </c>
      <c r="AI948" t="str">
        <f>"66298813802345"</f>
        <v>66298813802345</v>
      </c>
      <c r="AJ948" t="str">
        <f>"4009"</f>
        <v>4009</v>
      </c>
      <c r="AK948" t="s">
        <v>46</v>
      </c>
      <c r="AL948" s="1">
        <v>44816.547893518517</v>
      </c>
      <c r="AM948" t="s">
        <v>44</v>
      </c>
    </row>
    <row r="949" spans="1:39" x14ac:dyDescent="0.2">
      <c r="A949" t="s">
        <v>970</v>
      </c>
      <c r="B949" t="s">
        <v>40</v>
      </c>
      <c r="C949" t="s">
        <v>50</v>
      </c>
      <c r="D949" t="s">
        <v>42</v>
      </c>
      <c r="E949" t="s">
        <v>43</v>
      </c>
      <c r="F949" t="s">
        <v>44</v>
      </c>
      <c r="G949" t="s">
        <v>45</v>
      </c>
      <c r="AH949" t="s">
        <v>42</v>
      </c>
      <c r="AI949" t="str">
        <f>"66298813844726"</f>
        <v>66298813844726</v>
      </c>
      <c r="AJ949" t="str">
        <f>"1057"</f>
        <v>1057</v>
      </c>
      <c r="AK949" t="s">
        <v>46</v>
      </c>
      <c r="AL949" s="1">
        <v>44816.547893518517</v>
      </c>
      <c r="AM949" t="s">
        <v>44</v>
      </c>
    </row>
    <row r="950" spans="1:39" x14ac:dyDescent="0.2">
      <c r="A950" t="s">
        <v>971</v>
      </c>
      <c r="B950" t="s">
        <v>40</v>
      </c>
      <c r="C950" t="s">
        <v>50</v>
      </c>
      <c r="D950" t="s">
        <v>42</v>
      </c>
      <c r="E950" t="s">
        <v>43</v>
      </c>
      <c r="F950" t="s">
        <v>44</v>
      </c>
      <c r="G950" t="s">
        <v>45</v>
      </c>
      <c r="AH950" t="s">
        <v>42</v>
      </c>
      <c r="AI950" t="str">
        <f>"66298813699217"</f>
        <v>66298813699217</v>
      </c>
      <c r="AJ950" t="str">
        <f>"800-ROJO"</f>
        <v>800-ROJO</v>
      </c>
      <c r="AK950" t="s">
        <v>46</v>
      </c>
      <c r="AL950" s="1">
        <v>44816.54787037037</v>
      </c>
      <c r="AM950" t="s">
        <v>44</v>
      </c>
    </row>
    <row r="951" spans="1:39" x14ac:dyDescent="0.2">
      <c r="A951" t="s">
        <v>971</v>
      </c>
      <c r="B951" t="s">
        <v>40</v>
      </c>
      <c r="C951" t="s">
        <v>50</v>
      </c>
      <c r="D951" t="s">
        <v>42</v>
      </c>
      <c r="E951" t="s">
        <v>43</v>
      </c>
      <c r="F951" t="s">
        <v>44</v>
      </c>
      <c r="G951" t="s">
        <v>45</v>
      </c>
      <c r="AH951" t="s">
        <v>42</v>
      </c>
      <c r="AI951" t="str">
        <f>"66298813708609"</f>
        <v>66298813708609</v>
      </c>
      <c r="AJ951" t="str">
        <f>"AD005"</f>
        <v>AD005</v>
      </c>
      <c r="AK951" t="s">
        <v>46</v>
      </c>
      <c r="AL951" s="1">
        <v>44816.547881944447</v>
      </c>
      <c r="AM951" t="s">
        <v>44</v>
      </c>
    </row>
    <row r="952" spans="1:39" x14ac:dyDescent="0.2">
      <c r="A952" t="s">
        <v>971</v>
      </c>
      <c r="B952" t="s">
        <v>40</v>
      </c>
      <c r="C952" t="s">
        <v>50</v>
      </c>
      <c r="D952" t="s">
        <v>42</v>
      </c>
      <c r="E952" t="s">
        <v>43</v>
      </c>
      <c r="F952" t="s">
        <v>44</v>
      </c>
      <c r="G952" t="s">
        <v>45</v>
      </c>
      <c r="AH952" t="s">
        <v>42</v>
      </c>
      <c r="AI952" t="str">
        <f>"BIC255"</f>
        <v>BIC255</v>
      </c>
      <c r="AJ952" t="str">
        <f>"BIC255"</f>
        <v>BIC255</v>
      </c>
      <c r="AK952" t="s">
        <v>46</v>
      </c>
      <c r="AL952" s="1">
        <v>45089.645740740743</v>
      </c>
      <c r="AM952" t="s">
        <v>44</v>
      </c>
    </row>
    <row r="953" spans="1:39" x14ac:dyDescent="0.2">
      <c r="A953" t="s">
        <v>971</v>
      </c>
      <c r="B953" t="s">
        <v>40</v>
      </c>
      <c r="C953" t="s">
        <v>50</v>
      </c>
      <c r="D953" t="s">
        <v>42</v>
      </c>
      <c r="E953" t="s">
        <v>43</v>
      </c>
      <c r="F953" t="s">
        <v>44</v>
      </c>
      <c r="G953" t="s">
        <v>45</v>
      </c>
      <c r="AH953" t="s">
        <v>42</v>
      </c>
      <c r="AI953" t="str">
        <f>"BIC257"</f>
        <v>BIC257</v>
      </c>
      <c r="AJ953" t="str">
        <f>"BIC257"</f>
        <v>BIC257</v>
      </c>
      <c r="AK953" t="s">
        <v>46</v>
      </c>
      <c r="AL953" s="1">
        <v>45089.646249999998</v>
      </c>
      <c r="AM953" t="s">
        <v>44</v>
      </c>
    </row>
    <row r="954" spans="1:39" x14ac:dyDescent="0.2">
      <c r="A954" t="s">
        <v>971</v>
      </c>
      <c r="B954" t="s">
        <v>40</v>
      </c>
      <c r="C954" t="s">
        <v>50</v>
      </c>
      <c r="D954" t="s">
        <v>42</v>
      </c>
      <c r="E954" t="s">
        <v>43</v>
      </c>
      <c r="F954" t="s">
        <v>44</v>
      </c>
      <c r="G954" t="s">
        <v>45</v>
      </c>
      <c r="AH954" t="s">
        <v>42</v>
      </c>
      <c r="AI954" t="str">
        <f>"BIC258"</f>
        <v>BIC258</v>
      </c>
      <c r="AJ954" t="str">
        <f>"BIC258"</f>
        <v>BIC258</v>
      </c>
      <c r="AK954" t="s">
        <v>46</v>
      </c>
      <c r="AL954" s="1">
        <v>45089.646631944444</v>
      </c>
      <c r="AM954" t="s">
        <v>44</v>
      </c>
    </row>
    <row r="955" spans="1:39" x14ac:dyDescent="0.2">
      <c r="A955" t="s">
        <v>971</v>
      </c>
      <c r="B955" t="s">
        <v>40</v>
      </c>
      <c r="C955" t="s">
        <v>50</v>
      </c>
      <c r="D955" t="s">
        <v>42</v>
      </c>
      <c r="E955" t="s">
        <v>43</v>
      </c>
      <c r="F955" t="s">
        <v>44</v>
      </c>
      <c r="G955" t="s">
        <v>45</v>
      </c>
      <c r="AH955" t="s">
        <v>42</v>
      </c>
      <c r="AI955" t="str">
        <f>"BIC261"</f>
        <v>BIC261</v>
      </c>
      <c r="AJ955" t="str">
        <f>"BIC261"</f>
        <v>BIC261</v>
      </c>
      <c r="AK955" t="s">
        <v>46</v>
      </c>
      <c r="AL955" s="1">
        <v>45089.64739583333</v>
      </c>
      <c r="AM955" t="s">
        <v>44</v>
      </c>
    </row>
    <row r="956" spans="1:39" x14ac:dyDescent="0.2">
      <c r="A956" t="s">
        <v>971</v>
      </c>
      <c r="B956" t="s">
        <v>40</v>
      </c>
      <c r="C956" t="s">
        <v>50</v>
      </c>
      <c r="D956" t="s">
        <v>42</v>
      </c>
      <c r="E956" t="s">
        <v>43</v>
      </c>
      <c r="F956" t="s">
        <v>44</v>
      </c>
      <c r="G956" t="s">
        <v>45</v>
      </c>
      <c r="AH956" t="s">
        <v>42</v>
      </c>
      <c r="AI956" t="str">
        <f>"BIC265"</f>
        <v>BIC265</v>
      </c>
      <c r="AJ956" t="str">
        <f>"BIC265"</f>
        <v>BIC265</v>
      </c>
      <c r="AK956" t="s">
        <v>46</v>
      </c>
      <c r="AL956" s="1">
        <v>45089.648055555554</v>
      </c>
      <c r="AM956" t="s">
        <v>44</v>
      </c>
    </row>
    <row r="957" spans="1:39" x14ac:dyDescent="0.2">
      <c r="A957" t="s">
        <v>972</v>
      </c>
      <c r="B957" t="s">
        <v>40</v>
      </c>
      <c r="C957" t="s">
        <v>129</v>
      </c>
      <c r="D957" t="s">
        <v>42</v>
      </c>
      <c r="E957" t="s">
        <v>43</v>
      </c>
      <c r="F957" t="s">
        <v>44</v>
      </c>
      <c r="G957" t="s">
        <v>45</v>
      </c>
      <c r="AH957" t="s">
        <v>42</v>
      </c>
      <c r="AI957" t="str">
        <f>"66298813887793"</f>
        <v>66298813887793</v>
      </c>
      <c r="AJ957" t="str">
        <f>"HH010"</f>
        <v>HH010</v>
      </c>
      <c r="AK957" t="s">
        <v>46</v>
      </c>
      <c r="AL957" s="1">
        <v>44816.547893518517</v>
      </c>
      <c r="AM957" t="s">
        <v>44</v>
      </c>
    </row>
    <row r="958" spans="1:39" x14ac:dyDescent="0.2">
      <c r="A958" t="s">
        <v>972</v>
      </c>
      <c r="B958" t="s">
        <v>40</v>
      </c>
      <c r="C958" t="s">
        <v>129</v>
      </c>
      <c r="D958" t="s">
        <v>42</v>
      </c>
      <c r="E958" t="s">
        <v>43</v>
      </c>
      <c r="F958" t="s">
        <v>44</v>
      </c>
      <c r="G958" t="s">
        <v>45</v>
      </c>
      <c r="AH958" t="s">
        <v>42</v>
      </c>
      <c r="AI958" t="str">
        <f>"66298813893978"</f>
        <v>66298813893978</v>
      </c>
      <c r="AJ958" t="str">
        <f>"HH012"</f>
        <v>HH012</v>
      </c>
      <c r="AK958" t="s">
        <v>46</v>
      </c>
      <c r="AL958" s="1">
        <v>44816.547893518517</v>
      </c>
      <c r="AM958" t="s">
        <v>44</v>
      </c>
    </row>
    <row r="959" spans="1:39" x14ac:dyDescent="0.2">
      <c r="A959" t="s">
        <v>973</v>
      </c>
      <c r="B959" t="s">
        <v>40</v>
      </c>
      <c r="C959" t="s">
        <v>974</v>
      </c>
      <c r="D959" t="s">
        <v>42</v>
      </c>
      <c r="E959" t="s">
        <v>43</v>
      </c>
      <c r="F959" t="s">
        <v>44</v>
      </c>
      <c r="G959" t="s">
        <v>45</v>
      </c>
      <c r="AH959" t="s">
        <v>42</v>
      </c>
      <c r="AI959" t="str">
        <f>"66298813953599"</f>
        <v>66298813953599</v>
      </c>
      <c r="AJ959" t="str">
        <f>"CAJA-CAM-CB190"</f>
        <v>CAJA-CAM-CB190</v>
      </c>
      <c r="AK959" t="s">
        <v>46</v>
      </c>
      <c r="AL959" s="1">
        <v>44816.547905092593</v>
      </c>
      <c r="AM959" t="s">
        <v>44</v>
      </c>
    </row>
    <row r="960" spans="1:39" x14ac:dyDescent="0.2">
      <c r="A960" t="s">
        <v>975</v>
      </c>
      <c r="B960" t="s">
        <v>40</v>
      </c>
      <c r="C960" t="s">
        <v>974</v>
      </c>
      <c r="D960" t="s">
        <v>42</v>
      </c>
      <c r="E960" t="s">
        <v>43</v>
      </c>
      <c r="F960" t="s">
        <v>44</v>
      </c>
      <c r="G960" t="s">
        <v>45</v>
      </c>
      <c r="AH960" t="s">
        <v>42</v>
      </c>
      <c r="AI960" t="str">
        <f>"66298813993902"</f>
        <v>66298813993902</v>
      </c>
      <c r="AJ960" t="str">
        <f>"CK006-A"</f>
        <v>CK006-A</v>
      </c>
      <c r="AK960" t="s">
        <v>46</v>
      </c>
      <c r="AL960" s="1">
        <v>44816.547905092593</v>
      </c>
      <c r="AM960" t="s">
        <v>44</v>
      </c>
    </row>
    <row r="961" spans="1:39" x14ac:dyDescent="0.2">
      <c r="A961" t="s">
        <v>975</v>
      </c>
      <c r="B961" t="s">
        <v>40</v>
      </c>
      <c r="C961" t="s">
        <v>974</v>
      </c>
      <c r="D961" t="s">
        <v>42</v>
      </c>
      <c r="E961" t="s">
        <v>43</v>
      </c>
      <c r="F961" t="s">
        <v>44</v>
      </c>
      <c r="G961" t="s">
        <v>45</v>
      </c>
      <c r="AH961" t="s">
        <v>42</v>
      </c>
      <c r="AI961" t="str">
        <f>"66298814039001"</f>
        <v>66298814039001</v>
      </c>
      <c r="AJ961" t="str">
        <f>"CK006"</f>
        <v>CK006</v>
      </c>
      <c r="AK961" t="s">
        <v>46</v>
      </c>
      <c r="AL961" s="1">
        <v>44816.54791666667</v>
      </c>
      <c r="AM961" t="s">
        <v>44</v>
      </c>
    </row>
    <row r="962" spans="1:39" x14ac:dyDescent="0.2">
      <c r="A962" t="s">
        <v>976</v>
      </c>
      <c r="B962" t="s">
        <v>40</v>
      </c>
      <c r="C962" t="s">
        <v>974</v>
      </c>
      <c r="D962" t="s">
        <v>42</v>
      </c>
      <c r="E962" t="s">
        <v>43</v>
      </c>
      <c r="F962" t="s">
        <v>44</v>
      </c>
      <c r="G962" t="s">
        <v>45</v>
      </c>
      <c r="AH962" t="s">
        <v>42</v>
      </c>
      <c r="AI962" t="str">
        <f>"66298814121473"</f>
        <v>66298814121473</v>
      </c>
      <c r="AJ962" t="str">
        <f>"CK002"</f>
        <v>CK002</v>
      </c>
      <c r="AK962" t="s">
        <v>46</v>
      </c>
      <c r="AL962" s="1">
        <v>44816.54792824074</v>
      </c>
      <c r="AM962" t="s">
        <v>44</v>
      </c>
    </row>
    <row r="963" spans="1:39" x14ac:dyDescent="0.2">
      <c r="A963" t="s">
        <v>977</v>
      </c>
      <c r="B963" t="s">
        <v>40</v>
      </c>
      <c r="C963" t="s">
        <v>974</v>
      </c>
      <c r="D963" t="s">
        <v>42</v>
      </c>
      <c r="E963" t="s">
        <v>43</v>
      </c>
      <c r="F963" t="s">
        <v>44</v>
      </c>
      <c r="G963" t="s">
        <v>45</v>
      </c>
      <c r="AH963" t="s">
        <v>42</v>
      </c>
      <c r="AI963" t="str">
        <f>"66298814078865"</f>
        <v>66298814078865</v>
      </c>
      <c r="AJ963" t="str">
        <f>"400990"</f>
        <v>400990</v>
      </c>
      <c r="AK963" t="s">
        <v>46</v>
      </c>
      <c r="AL963" s="1">
        <v>44816.54791666667</v>
      </c>
      <c r="AM963" t="s">
        <v>44</v>
      </c>
    </row>
    <row r="964" spans="1:39" x14ac:dyDescent="0.2">
      <c r="A964" t="s">
        <v>978</v>
      </c>
      <c r="B964" t="s">
        <v>40</v>
      </c>
      <c r="C964" t="s">
        <v>974</v>
      </c>
      <c r="D964" t="s">
        <v>42</v>
      </c>
      <c r="E964" t="s">
        <v>43</v>
      </c>
      <c r="F964" t="s">
        <v>44</v>
      </c>
      <c r="G964" t="s">
        <v>45</v>
      </c>
      <c r="AH964" t="s">
        <v>42</v>
      </c>
      <c r="AI964" t="str">
        <f>"66298814169494"</f>
        <v>66298814169494</v>
      </c>
      <c r="AJ964" t="str">
        <f>"CK003"</f>
        <v>CK003</v>
      </c>
      <c r="AK964" t="s">
        <v>46</v>
      </c>
      <c r="AL964" s="1">
        <v>44816.54792824074</v>
      </c>
      <c r="AM964" t="s">
        <v>44</v>
      </c>
    </row>
    <row r="965" spans="1:39" x14ac:dyDescent="0.2">
      <c r="A965" t="s">
        <v>979</v>
      </c>
      <c r="B965" t="s">
        <v>40</v>
      </c>
      <c r="C965" t="s">
        <v>974</v>
      </c>
      <c r="D965" t="s">
        <v>42</v>
      </c>
      <c r="E965" t="s">
        <v>43</v>
      </c>
      <c r="F965" t="s">
        <v>44</v>
      </c>
      <c r="G965" t="s">
        <v>45</v>
      </c>
      <c r="AH965" t="s">
        <v>42</v>
      </c>
      <c r="AI965" t="str">
        <f>"66298814229312"</f>
        <v>66298814229312</v>
      </c>
      <c r="AJ965" t="str">
        <f>"CK013"</f>
        <v>CK013</v>
      </c>
      <c r="AK965" t="s">
        <v>46</v>
      </c>
      <c r="AL965" s="1">
        <v>44816.547939814816</v>
      </c>
      <c r="AM965" t="s">
        <v>44</v>
      </c>
    </row>
    <row r="966" spans="1:39" x14ac:dyDescent="0.2">
      <c r="A966" t="s">
        <v>980</v>
      </c>
      <c r="B966" t="s">
        <v>40</v>
      </c>
      <c r="C966" t="s">
        <v>974</v>
      </c>
      <c r="D966" t="s">
        <v>42</v>
      </c>
      <c r="E966" t="s">
        <v>43</v>
      </c>
      <c r="F966" t="s">
        <v>44</v>
      </c>
      <c r="G966" t="s">
        <v>45</v>
      </c>
      <c r="AH966" t="s">
        <v>42</v>
      </c>
      <c r="AI966" t="str">
        <f>"66298814272016"</f>
        <v>66298814272016</v>
      </c>
      <c r="AJ966" t="str">
        <f>"CK009"</f>
        <v>CK009</v>
      </c>
      <c r="AK966" t="s">
        <v>46</v>
      </c>
      <c r="AL966" s="1">
        <v>44816.547939814816</v>
      </c>
      <c r="AM966" t="s">
        <v>44</v>
      </c>
    </row>
    <row r="967" spans="1:39" x14ac:dyDescent="0.2">
      <c r="A967" t="s">
        <v>981</v>
      </c>
      <c r="B967" t="s">
        <v>40</v>
      </c>
      <c r="C967" t="s">
        <v>974</v>
      </c>
      <c r="D967" t="s">
        <v>42</v>
      </c>
      <c r="E967" t="s">
        <v>43</v>
      </c>
      <c r="F967" t="s">
        <v>44</v>
      </c>
      <c r="G967" t="s">
        <v>45</v>
      </c>
      <c r="AH967" t="s">
        <v>42</v>
      </c>
      <c r="AI967" t="str">
        <f>"66298814335001"</f>
        <v>66298814335001</v>
      </c>
      <c r="AJ967" t="str">
        <f>"CK005"</f>
        <v>CK005</v>
      </c>
      <c r="AK967" t="s">
        <v>46</v>
      </c>
      <c r="AL967" s="1">
        <v>44816.547951388886</v>
      </c>
      <c r="AM967" t="s">
        <v>44</v>
      </c>
    </row>
    <row r="968" spans="1:39" x14ac:dyDescent="0.2">
      <c r="A968" t="s">
        <v>982</v>
      </c>
      <c r="B968" t="s">
        <v>40</v>
      </c>
      <c r="C968" t="s">
        <v>974</v>
      </c>
      <c r="D968" t="s">
        <v>42</v>
      </c>
      <c r="E968" t="s">
        <v>43</v>
      </c>
      <c r="F968" t="s">
        <v>44</v>
      </c>
      <c r="G968" t="s">
        <v>45</v>
      </c>
      <c r="AH968" t="s">
        <v>42</v>
      </c>
      <c r="AI968" t="str">
        <f>"66298814376491"</f>
        <v>66298814376491</v>
      </c>
      <c r="AJ968" t="str">
        <f>"400994"</f>
        <v>400994</v>
      </c>
      <c r="AK968" t="s">
        <v>46</v>
      </c>
      <c r="AL968" s="1">
        <v>44816.547951388886</v>
      </c>
      <c r="AM968" t="s">
        <v>44</v>
      </c>
    </row>
    <row r="969" spans="1:39" x14ac:dyDescent="0.2">
      <c r="A969" t="s">
        <v>983</v>
      </c>
      <c r="B969" t="s">
        <v>40</v>
      </c>
      <c r="C969" t="s">
        <v>974</v>
      </c>
      <c r="D969" t="s">
        <v>42</v>
      </c>
      <c r="E969" t="s">
        <v>43</v>
      </c>
      <c r="F969" t="s">
        <v>44</v>
      </c>
      <c r="G969" t="s">
        <v>45</v>
      </c>
      <c r="AH969" t="s">
        <v>42</v>
      </c>
      <c r="AI969" t="str">
        <f>"66298814423624"</f>
        <v>66298814423624</v>
      </c>
      <c r="AJ969" t="str">
        <f>"I66"</f>
        <v>I66</v>
      </c>
      <c r="AK969" t="s">
        <v>46</v>
      </c>
      <c r="AL969" s="1">
        <v>44816.547962962963</v>
      </c>
      <c r="AM969" t="s">
        <v>44</v>
      </c>
    </row>
    <row r="970" spans="1:39" x14ac:dyDescent="0.2">
      <c r="A970" t="s">
        <v>984</v>
      </c>
      <c r="B970" t="s">
        <v>40</v>
      </c>
      <c r="C970" t="s">
        <v>974</v>
      </c>
      <c r="D970" t="s">
        <v>42</v>
      </c>
      <c r="E970" t="s">
        <v>43</v>
      </c>
      <c r="F970" t="s">
        <v>44</v>
      </c>
      <c r="G970" t="s">
        <v>45</v>
      </c>
      <c r="AH970" t="s">
        <v>42</v>
      </c>
      <c r="AI970" t="str">
        <f>"66298814467777"</f>
        <v>66298814467777</v>
      </c>
      <c r="AJ970" t="str">
        <f>"CK011"</f>
        <v>CK011</v>
      </c>
      <c r="AK970" t="s">
        <v>46</v>
      </c>
      <c r="AL970" s="1">
        <v>44816.547962962963</v>
      </c>
      <c r="AM970" t="s">
        <v>44</v>
      </c>
    </row>
    <row r="971" spans="1:39" x14ac:dyDescent="0.2">
      <c r="A971" t="s">
        <v>985</v>
      </c>
      <c r="B971" t="s">
        <v>40</v>
      </c>
      <c r="C971" t="s">
        <v>974</v>
      </c>
      <c r="D971" t="s">
        <v>42</v>
      </c>
      <c r="E971" t="s">
        <v>43</v>
      </c>
      <c r="F971" t="s">
        <v>44</v>
      </c>
      <c r="G971" t="s">
        <v>45</v>
      </c>
      <c r="AH971" t="s">
        <v>42</v>
      </c>
      <c r="AI971" t="str">
        <f>"66298814509512"</f>
        <v>66298814509512</v>
      </c>
      <c r="AJ971" t="str">
        <f>"CK010"</f>
        <v>CK010</v>
      </c>
      <c r="AK971" t="s">
        <v>46</v>
      </c>
      <c r="AL971" s="1">
        <v>44816.547974537039</v>
      </c>
      <c r="AM971" t="s">
        <v>44</v>
      </c>
    </row>
    <row r="972" spans="1:39" x14ac:dyDescent="0.2">
      <c r="A972" t="s">
        <v>986</v>
      </c>
      <c r="B972" t="s">
        <v>40</v>
      </c>
      <c r="C972" t="s">
        <v>974</v>
      </c>
      <c r="D972" t="s">
        <v>42</v>
      </c>
      <c r="E972" t="s">
        <v>43</v>
      </c>
      <c r="F972" t="s">
        <v>44</v>
      </c>
      <c r="G972" t="s">
        <v>45</v>
      </c>
      <c r="AH972" t="s">
        <v>42</v>
      </c>
      <c r="AI972" t="str">
        <f>"66298814549887"</f>
        <v>66298814549887</v>
      </c>
      <c r="AJ972" t="str">
        <f>"CK015"</f>
        <v>CK015</v>
      </c>
      <c r="AK972" t="s">
        <v>46</v>
      </c>
      <c r="AL972" s="1">
        <v>44816.547974537039</v>
      </c>
      <c r="AM972" t="s">
        <v>44</v>
      </c>
    </row>
    <row r="973" spans="1:39" x14ac:dyDescent="0.2">
      <c r="A973" t="s">
        <v>987</v>
      </c>
      <c r="B973" t="s">
        <v>40</v>
      </c>
      <c r="C973" t="s">
        <v>974</v>
      </c>
      <c r="D973" t="s">
        <v>42</v>
      </c>
      <c r="E973" t="s">
        <v>43</v>
      </c>
      <c r="F973" t="s">
        <v>44</v>
      </c>
      <c r="G973" t="s">
        <v>45</v>
      </c>
      <c r="AH973" t="s">
        <v>42</v>
      </c>
      <c r="AI973" t="str">
        <f>"66298814586490"</f>
        <v>66298814586490</v>
      </c>
      <c r="AJ973" t="str">
        <f>"400991"</f>
        <v>400991</v>
      </c>
      <c r="AK973" t="s">
        <v>46</v>
      </c>
      <c r="AL973" s="1">
        <v>44816.547974537039</v>
      </c>
      <c r="AM973" t="s">
        <v>44</v>
      </c>
    </row>
    <row r="974" spans="1:39" x14ac:dyDescent="0.2">
      <c r="A974" t="s">
        <v>988</v>
      </c>
      <c r="B974" t="s">
        <v>40</v>
      </c>
      <c r="C974" t="s">
        <v>129</v>
      </c>
      <c r="D974" t="s">
        <v>42</v>
      </c>
      <c r="E974" t="s">
        <v>43</v>
      </c>
      <c r="F974" t="s">
        <v>44</v>
      </c>
      <c r="G974" t="s">
        <v>45</v>
      </c>
      <c r="AH974" t="s">
        <v>42</v>
      </c>
      <c r="AI974" t="str">
        <f>"66298814625337"</f>
        <v>66298814625337</v>
      </c>
      <c r="AJ974" t="str">
        <f>"HH009"</f>
        <v>HH009</v>
      </c>
      <c r="AK974" t="s">
        <v>46</v>
      </c>
      <c r="AL974" s="1">
        <v>44816.547986111109</v>
      </c>
      <c r="AM974" t="s">
        <v>44</v>
      </c>
    </row>
    <row r="975" spans="1:39" x14ac:dyDescent="0.2">
      <c r="A975" t="s">
        <v>989</v>
      </c>
      <c r="B975" t="s">
        <v>40</v>
      </c>
      <c r="C975" t="s">
        <v>129</v>
      </c>
      <c r="D975" t="s">
        <v>42</v>
      </c>
      <c r="E975" t="s">
        <v>43</v>
      </c>
      <c r="F975" t="s">
        <v>44</v>
      </c>
      <c r="G975" t="s">
        <v>45</v>
      </c>
      <c r="AH975" t="s">
        <v>42</v>
      </c>
      <c r="AI975" t="str">
        <f>"66298814671019"</f>
        <v>66298814671019</v>
      </c>
      <c r="AJ975" t="str">
        <f>"HH007"</f>
        <v>HH007</v>
      </c>
      <c r="AK975" t="s">
        <v>46</v>
      </c>
      <c r="AL975" s="1">
        <v>44816.547986111109</v>
      </c>
      <c r="AM975" t="s">
        <v>44</v>
      </c>
    </row>
    <row r="976" spans="1:39" x14ac:dyDescent="0.2">
      <c r="A976" t="s">
        <v>990</v>
      </c>
      <c r="B976" t="s">
        <v>40</v>
      </c>
      <c r="C976" t="s">
        <v>129</v>
      </c>
      <c r="D976" t="s">
        <v>42</v>
      </c>
      <c r="E976" t="s">
        <v>43</v>
      </c>
      <c r="F976" t="s">
        <v>44</v>
      </c>
      <c r="G976" t="s">
        <v>45</v>
      </c>
      <c r="AH976" t="s">
        <v>42</v>
      </c>
      <c r="AI976" t="str">
        <f>"66298814710170"</f>
        <v>66298814710170</v>
      </c>
      <c r="AJ976" t="str">
        <f>"HH008"</f>
        <v>HH008</v>
      </c>
      <c r="AK976" t="s">
        <v>46</v>
      </c>
      <c r="AL976" s="1">
        <v>44816.547997685186</v>
      </c>
      <c r="AM976" t="s">
        <v>44</v>
      </c>
    </row>
    <row r="977" spans="1:39" x14ac:dyDescent="0.2">
      <c r="A977" t="s">
        <v>991</v>
      </c>
      <c r="B977" t="s">
        <v>40</v>
      </c>
      <c r="C977" t="s">
        <v>129</v>
      </c>
      <c r="D977" t="s">
        <v>42</v>
      </c>
      <c r="E977" t="s">
        <v>43</v>
      </c>
      <c r="F977" t="s">
        <v>44</v>
      </c>
      <c r="G977" t="s">
        <v>45</v>
      </c>
      <c r="AH977" t="s">
        <v>42</v>
      </c>
      <c r="AI977" t="str">
        <f>"66298814750823"</f>
        <v>66298814750823</v>
      </c>
      <c r="AJ977" t="str">
        <f>"HH005"</f>
        <v>HH005</v>
      </c>
      <c r="AK977" t="s">
        <v>46</v>
      </c>
      <c r="AL977" s="1">
        <v>44816.547997685186</v>
      </c>
      <c r="AM977" t="s">
        <v>44</v>
      </c>
    </row>
    <row r="978" spans="1:39" x14ac:dyDescent="0.2">
      <c r="A978" t="s">
        <v>992</v>
      </c>
      <c r="B978" t="s">
        <v>40</v>
      </c>
      <c r="C978" t="s">
        <v>129</v>
      </c>
      <c r="D978" t="s">
        <v>42</v>
      </c>
      <c r="E978" t="s">
        <v>43</v>
      </c>
      <c r="F978" t="s">
        <v>44</v>
      </c>
      <c r="G978" t="s">
        <v>45</v>
      </c>
      <c r="AH978" t="s">
        <v>42</v>
      </c>
      <c r="AI978" t="str">
        <f>"66298814792895"</f>
        <v>66298814792895</v>
      </c>
      <c r="AJ978" t="str">
        <f>"HH001"</f>
        <v>HH001</v>
      </c>
      <c r="AK978" t="s">
        <v>46</v>
      </c>
      <c r="AL978" s="1">
        <v>44816.547997685186</v>
      </c>
      <c r="AM978" t="s">
        <v>44</v>
      </c>
    </row>
    <row r="979" spans="1:39" x14ac:dyDescent="0.2">
      <c r="A979" t="s">
        <v>993</v>
      </c>
      <c r="B979" t="s">
        <v>40</v>
      </c>
      <c r="C979" t="s">
        <v>129</v>
      </c>
      <c r="D979" t="s">
        <v>42</v>
      </c>
      <c r="E979" t="s">
        <v>43</v>
      </c>
      <c r="F979" t="s">
        <v>44</v>
      </c>
      <c r="G979" t="s">
        <v>45</v>
      </c>
      <c r="AH979" t="s">
        <v>42</v>
      </c>
      <c r="AI979" t="str">
        <f>"66298814831492"</f>
        <v>66298814831492</v>
      </c>
      <c r="AJ979" t="str">
        <f>"HH023"</f>
        <v>HH023</v>
      </c>
      <c r="AK979" t="s">
        <v>46</v>
      </c>
      <c r="AL979" s="1">
        <v>44816.548009259262</v>
      </c>
      <c r="AM979" t="s">
        <v>44</v>
      </c>
    </row>
    <row r="980" spans="1:39" x14ac:dyDescent="0.2">
      <c r="A980" t="s">
        <v>994</v>
      </c>
      <c r="B980" t="s">
        <v>40</v>
      </c>
      <c r="C980" t="s">
        <v>129</v>
      </c>
      <c r="D980" t="s">
        <v>42</v>
      </c>
      <c r="E980" t="s">
        <v>43</v>
      </c>
      <c r="F980" t="s">
        <v>44</v>
      </c>
      <c r="G980" t="s">
        <v>45</v>
      </c>
      <c r="AH980" t="s">
        <v>42</v>
      </c>
      <c r="AI980" t="str">
        <f>"66298814875819"</f>
        <v>66298814875819</v>
      </c>
      <c r="AJ980" t="str">
        <f>"HH018"</f>
        <v>HH018</v>
      </c>
      <c r="AK980" t="s">
        <v>46</v>
      </c>
      <c r="AL980" s="1">
        <v>44816.548009259262</v>
      </c>
      <c r="AM980" t="s">
        <v>44</v>
      </c>
    </row>
    <row r="981" spans="1:39" x14ac:dyDescent="0.2">
      <c r="A981" t="s">
        <v>995</v>
      </c>
      <c r="B981" t="s">
        <v>40</v>
      </c>
      <c r="C981" t="s">
        <v>129</v>
      </c>
      <c r="D981" t="s">
        <v>42</v>
      </c>
      <c r="E981" t="s">
        <v>43</v>
      </c>
      <c r="F981" t="s">
        <v>44</v>
      </c>
      <c r="G981" t="s">
        <v>45</v>
      </c>
      <c r="AH981" t="s">
        <v>42</v>
      </c>
      <c r="AI981" t="str">
        <f>"66298814919967"</f>
        <v>66298814919967</v>
      </c>
      <c r="AJ981" t="str">
        <f>"HH017"</f>
        <v>HH017</v>
      </c>
      <c r="AK981" t="s">
        <v>46</v>
      </c>
      <c r="AL981" s="1">
        <v>44816.548020833332</v>
      </c>
      <c r="AM981" t="s">
        <v>44</v>
      </c>
    </row>
    <row r="982" spans="1:39" x14ac:dyDescent="0.2">
      <c r="A982" t="s">
        <v>995</v>
      </c>
      <c r="B982" t="s">
        <v>40</v>
      </c>
      <c r="C982" t="s">
        <v>129</v>
      </c>
      <c r="D982" t="s">
        <v>42</v>
      </c>
      <c r="E982" t="s">
        <v>43</v>
      </c>
      <c r="F982" t="s">
        <v>44</v>
      </c>
      <c r="G982" t="s">
        <v>45</v>
      </c>
      <c r="AH982" t="s">
        <v>42</v>
      </c>
      <c r="AI982" t="str">
        <f>"66298814926495"</f>
        <v>66298814926495</v>
      </c>
      <c r="AJ982" t="str">
        <f>"HH016"</f>
        <v>HH016</v>
      </c>
      <c r="AK982" t="s">
        <v>46</v>
      </c>
      <c r="AL982" s="1">
        <v>44816.548020833332</v>
      </c>
      <c r="AM982" t="s">
        <v>44</v>
      </c>
    </row>
    <row r="983" spans="1:39" x14ac:dyDescent="0.2">
      <c r="A983" t="s">
        <v>996</v>
      </c>
      <c r="B983" t="s">
        <v>40</v>
      </c>
      <c r="C983" t="s">
        <v>129</v>
      </c>
      <c r="D983" t="s">
        <v>42</v>
      </c>
      <c r="E983" t="s">
        <v>43</v>
      </c>
      <c r="F983" t="s">
        <v>44</v>
      </c>
      <c r="G983" t="s">
        <v>45</v>
      </c>
      <c r="AH983" t="s">
        <v>42</v>
      </c>
      <c r="AI983" t="str">
        <f>"66298814980013"</f>
        <v>66298814980013</v>
      </c>
      <c r="AJ983" t="str">
        <f>"HH036"</f>
        <v>HH036</v>
      </c>
      <c r="AK983" t="s">
        <v>46</v>
      </c>
      <c r="AL983" s="1">
        <v>44816.548020833332</v>
      </c>
      <c r="AM983" t="s">
        <v>44</v>
      </c>
    </row>
    <row r="984" spans="1:39" x14ac:dyDescent="0.2">
      <c r="A984" t="s">
        <v>997</v>
      </c>
      <c r="B984" t="s">
        <v>40</v>
      </c>
      <c r="C984" t="s">
        <v>129</v>
      </c>
      <c r="D984" t="s">
        <v>42</v>
      </c>
      <c r="E984" t="s">
        <v>43</v>
      </c>
      <c r="F984" t="s">
        <v>44</v>
      </c>
      <c r="G984" t="s">
        <v>45</v>
      </c>
      <c r="AH984" t="s">
        <v>42</v>
      </c>
      <c r="AI984" t="str">
        <f>"66298815023618"</f>
        <v>66298815023618</v>
      </c>
      <c r="AJ984" t="str">
        <f>"Z023"</f>
        <v>Z023</v>
      </c>
      <c r="AK984" t="s">
        <v>46</v>
      </c>
      <c r="AL984" s="1">
        <v>44816.548032407409</v>
      </c>
      <c r="AM984" t="s">
        <v>44</v>
      </c>
    </row>
    <row r="985" spans="1:39" x14ac:dyDescent="0.2">
      <c r="A985" t="s">
        <v>998</v>
      </c>
      <c r="B985" t="s">
        <v>40</v>
      </c>
      <c r="C985" t="s">
        <v>999</v>
      </c>
      <c r="D985" t="s">
        <v>42</v>
      </c>
      <c r="E985" t="s">
        <v>43</v>
      </c>
      <c r="F985" t="s">
        <v>44</v>
      </c>
      <c r="G985" t="s">
        <v>45</v>
      </c>
      <c r="AH985" t="s">
        <v>42</v>
      </c>
      <c r="AI985" t="str">
        <f>"66298815066582"</f>
        <v>66298815066582</v>
      </c>
      <c r="AJ985" t="str">
        <f>"BA011"</f>
        <v>BA011</v>
      </c>
      <c r="AK985" t="s">
        <v>46</v>
      </c>
      <c r="AL985" s="1">
        <v>44816.548032407409</v>
      </c>
      <c r="AM985" t="s">
        <v>44</v>
      </c>
    </row>
    <row r="986" spans="1:39" x14ac:dyDescent="0.2">
      <c r="A986" t="s">
        <v>1000</v>
      </c>
      <c r="B986" t="s">
        <v>40</v>
      </c>
      <c r="C986" t="s">
        <v>999</v>
      </c>
      <c r="D986" t="s">
        <v>42</v>
      </c>
      <c r="E986" t="s">
        <v>43</v>
      </c>
      <c r="F986" t="s">
        <v>44</v>
      </c>
      <c r="G986" t="s">
        <v>45</v>
      </c>
      <c r="AH986" t="s">
        <v>42</v>
      </c>
      <c r="AI986" t="str">
        <f>"66298815144659"</f>
        <v>66298815144659</v>
      </c>
      <c r="AJ986" t="str">
        <f>"400568"</f>
        <v>400568</v>
      </c>
      <c r="AK986" t="s">
        <v>46</v>
      </c>
      <c r="AL986" s="1">
        <v>44816.548043981478</v>
      </c>
      <c r="AM986" t="s">
        <v>44</v>
      </c>
    </row>
    <row r="987" spans="1:39" x14ac:dyDescent="0.2">
      <c r="A987" t="s">
        <v>1001</v>
      </c>
      <c r="B987" t="s">
        <v>40</v>
      </c>
      <c r="C987" t="s">
        <v>999</v>
      </c>
      <c r="D987" t="s">
        <v>42</v>
      </c>
      <c r="E987" t="s">
        <v>43</v>
      </c>
      <c r="F987" t="s">
        <v>44</v>
      </c>
      <c r="G987" t="s">
        <v>45</v>
      </c>
      <c r="AH987" t="s">
        <v>42</v>
      </c>
      <c r="AI987" t="str">
        <f>"66298815105393"</f>
        <v>66298815105393</v>
      </c>
      <c r="AJ987" t="str">
        <f>"BA020"</f>
        <v>BA020</v>
      </c>
      <c r="AK987" t="s">
        <v>46</v>
      </c>
      <c r="AL987" s="1">
        <v>44816.548043981478</v>
      </c>
      <c r="AM987" t="s">
        <v>44</v>
      </c>
    </row>
    <row r="988" spans="1:39" x14ac:dyDescent="0.2">
      <c r="A988" t="s">
        <v>1002</v>
      </c>
      <c r="B988" t="s">
        <v>40</v>
      </c>
      <c r="C988" t="s">
        <v>999</v>
      </c>
      <c r="D988" t="s">
        <v>42</v>
      </c>
      <c r="E988" t="s">
        <v>43</v>
      </c>
      <c r="F988" t="s">
        <v>44</v>
      </c>
      <c r="G988" t="s">
        <v>45</v>
      </c>
      <c r="AH988" t="s">
        <v>42</v>
      </c>
      <c r="AI988" t="str">
        <f>"66298815184819"</f>
        <v>66298815184819</v>
      </c>
      <c r="AJ988" t="str">
        <f>"400569"</f>
        <v>400569</v>
      </c>
      <c r="AK988" t="s">
        <v>46</v>
      </c>
      <c r="AL988" s="1">
        <v>44816.548043981478</v>
      </c>
      <c r="AM988" t="s">
        <v>44</v>
      </c>
    </row>
    <row r="989" spans="1:39" x14ac:dyDescent="0.2">
      <c r="A989" t="s">
        <v>1003</v>
      </c>
      <c r="B989" t="s">
        <v>40</v>
      </c>
      <c r="C989" t="s">
        <v>999</v>
      </c>
      <c r="D989" t="s">
        <v>42</v>
      </c>
      <c r="E989" t="s">
        <v>43</v>
      </c>
      <c r="F989" t="s">
        <v>44</v>
      </c>
      <c r="G989" t="s">
        <v>45</v>
      </c>
      <c r="AH989" t="s">
        <v>42</v>
      </c>
      <c r="AI989" t="str">
        <f>"66298815225822"</f>
        <v>66298815225822</v>
      </c>
      <c r="AJ989" t="str">
        <f>"QA022"</f>
        <v>QA022</v>
      </c>
      <c r="AK989" t="s">
        <v>46</v>
      </c>
      <c r="AL989" s="1">
        <v>44816.548055555555</v>
      </c>
      <c r="AM989" t="s">
        <v>44</v>
      </c>
    </row>
    <row r="990" spans="1:39" x14ac:dyDescent="0.2">
      <c r="A990" t="s">
        <v>1004</v>
      </c>
      <c r="B990" t="s">
        <v>40</v>
      </c>
      <c r="C990" t="s">
        <v>999</v>
      </c>
      <c r="D990" t="s">
        <v>42</v>
      </c>
      <c r="E990" t="s">
        <v>43</v>
      </c>
      <c r="F990" t="s">
        <v>44</v>
      </c>
      <c r="G990" t="s">
        <v>45</v>
      </c>
      <c r="AH990" t="s">
        <v>42</v>
      </c>
      <c r="AI990" t="str">
        <f>"66298815264017"</f>
        <v>66298815264017</v>
      </c>
      <c r="AJ990" t="str">
        <f>"QA020"</f>
        <v>QA020</v>
      </c>
      <c r="AK990" t="s">
        <v>46</v>
      </c>
      <c r="AL990" s="1">
        <v>44816.548055555555</v>
      </c>
      <c r="AM990" t="s">
        <v>44</v>
      </c>
    </row>
    <row r="991" spans="1:39" x14ac:dyDescent="0.2">
      <c r="A991" t="s">
        <v>1005</v>
      </c>
      <c r="B991" t="s">
        <v>40</v>
      </c>
      <c r="C991" t="s">
        <v>999</v>
      </c>
      <c r="D991" t="s">
        <v>42</v>
      </c>
      <c r="E991" t="s">
        <v>43</v>
      </c>
      <c r="F991" t="s">
        <v>44</v>
      </c>
      <c r="G991" t="s">
        <v>45</v>
      </c>
      <c r="AH991" t="s">
        <v>42</v>
      </c>
      <c r="AI991" t="str">
        <f>"66298815303768"</f>
        <v>66298815303768</v>
      </c>
      <c r="AJ991" t="str">
        <f>"QA010"</f>
        <v>QA010</v>
      </c>
      <c r="AK991" t="s">
        <v>46</v>
      </c>
      <c r="AL991" s="1">
        <v>44816.548067129632</v>
      </c>
      <c r="AM991" t="s">
        <v>44</v>
      </c>
    </row>
    <row r="992" spans="1:39" x14ac:dyDescent="0.2">
      <c r="A992" t="s">
        <v>1006</v>
      </c>
      <c r="B992" t="s">
        <v>40</v>
      </c>
      <c r="C992" t="s">
        <v>999</v>
      </c>
      <c r="D992" t="s">
        <v>42</v>
      </c>
      <c r="E992" t="s">
        <v>43</v>
      </c>
      <c r="F992" t="s">
        <v>44</v>
      </c>
      <c r="G992" t="s">
        <v>45</v>
      </c>
      <c r="AH992" t="s">
        <v>42</v>
      </c>
      <c r="AI992" t="str">
        <f>"66298815343939"</f>
        <v>66298815343939</v>
      </c>
      <c r="AJ992" t="str">
        <f>"QA030"</f>
        <v>QA030</v>
      </c>
      <c r="AK992" t="s">
        <v>46</v>
      </c>
      <c r="AL992" s="1">
        <v>44816.548067129632</v>
      </c>
      <c r="AM992" t="s">
        <v>44</v>
      </c>
    </row>
    <row r="993" spans="1:39" x14ac:dyDescent="0.2">
      <c r="A993" t="s">
        <v>1007</v>
      </c>
      <c r="B993" t="s">
        <v>40</v>
      </c>
      <c r="C993" t="s">
        <v>999</v>
      </c>
      <c r="D993" t="s">
        <v>42</v>
      </c>
      <c r="E993" t="s">
        <v>43</v>
      </c>
      <c r="F993" t="s">
        <v>44</v>
      </c>
      <c r="G993" t="s">
        <v>45</v>
      </c>
      <c r="AH993" t="s">
        <v>42</v>
      </c>
      <c r="AI993" t="str">
        <f>"66298815425893"</f>
        <v>66298815425893</v>
      </c>
      <c r="AJ993" t="str">
        <f>"400567"</f>
        <v>400567</v>
      </c>
      <c r="AK993" t="s">
        <v>46</v>
      </c>
      <c r="AL993" s="1">
        <v>44816.548078703701</v>
      </c>
      <c r="AM993" t="s">
        <v>44</v>
      </c>
    </row>
    <row r="994" spans="1:39" x14ac:dyDescent="0.2">
      <c r="A994" t="s">
        <v>1008</v>
      </c>
      <c r="B994" t="s">
        <v>40</v>
      </c>
      <c r="C994" t="s">
        <v>999</v>
      </c>
      <c r="D994" t="s">
        <v>42</v>
      </c>
      <c r="E994" t="s">
        <v>43</v>
      </c>
      <c r="F994" t="s">
        <v>44</v>
      </c>
      <c r="G994" t="s">
        <v>45</v>
      </c>
      <c r="AH994" t="s">
        <v>42</v>
      </c>
      <c r="AI994" t="str">
        <f>"66298815387881"</f>
        <v>66298815387881</v>
      </c>
      <c r="AJ994" t="str">
        <f>"QA016"</f>
        <v>QA016</v>
      </c>
      <c r="AK994" t="s">
        <v>46</v>
      </c>
      <c r="AL994" s="1">
        <v>44816.548067129632</v>
      </c>
      <c r="AM994" t="s">
        <v>44</v>
      </c>
    </row>
    <row r="995" spans="1:39" x14ac:dyDescent="0.2">
      <c r="A995" t="s">
        <v>1009</v>
      </c>
      <c r="B995" t="s">
        <v>40</v>
      </c>
      <c r="C995" t="s">
        <v>1010</v>
      </c>
      <c r="D995" t="s">
        <v>42</v>
      </c>
      <c r="E995" t="s">
        <v>43</v>
      </c>
      <c r="F995" t="s">
        <v>44</v>
      </c>
      <c r="G995" t="s">
        <v>45</v>
      </c>
      <c r="AH995" t="s">
        <v>42</v>
      </c>
      <c r="AI995" t="str">
        <f>"CA300/350X10SR"</f>
        <v>CA300/350X10SR</v>
      </c>
      <c r="AJ995" t="str">
        <f>"CA300/350X10SR"</f>
        <v>CA300/350X10SR</v>
      </c>
      <c r="AK995" t="s">
        <v>46</v>
      </c>
      <c r="AL995" s="1">
        <v>44816.548078703701</v>
      </c>
      <c r="AM995" t="s">
        <v>44</v>
      </c>
    </row>
    <row r="996" spans="1:39" x14ac:dyDescent="0.2">
      <c r="A996" t="s">
        <v>1011</v>
      </c>
      <c r="B996" t="s">
        <v>40</v>
      </c>
      <c r="C996" t="s">
        <v>1010</v>
      </c>
      <c r="D996" t="s">
        <v>42</v>
      </c>
      <c r="E996" t="s">
        <v>43</v>
      </c>
      <c r="F996" t="s">
        <v>44</v>
      </c>
      <c r="G996" t="s">
        <v>45</v>
      </c>
      <c r="AH996" t="s">
        <v>42</v>
      </c>
      <c r="AI996" t="str">
        <f>"CA300X10DURO"</f>
        <v>CA300X10DURO</v>
      </c>
      <c r="AJ996" t="str">
        <f>"CA300X10DURO"</f>
        <v>CA300X10DURO</v>
      </c>
      <c r="AK996" t="s">
        <v>46</v>
      </c>
      <c r="AL996" s="1">
        <v>45089.650034722225</v>
      </c>
      <c r="AM996" t="s">
        <v>44</v>
      </c>
    </row>
    <row r="997" spans="1:39" x14ac:dyDescent="0.2">
      <c r="A997" t="s">
        <v>1012</v>
      </c>
      <c r="B997" t="s">
        <v>40</v>
      </c>
      <c r="C997" t="s">
        <v>1010</v>
      </c>
      <c r="D997" t="s">
        <v>42</v>
      </c>
      <c r="E997" t="s">
        <v>43</v>
      </c>
      <c r="F997" t="s">
        <v>44</v>
      </c>
      <c r="G997" t="s">
        <v>45</v>
      </c>
      <c r="AH997" t="s">
        <v>42</v>
      </c>
      <c r="AI997" t="str">
        <f>"66298815511462"</f>
        <v>66298815511462</v>
      </c>
      <c r="AJ997" t="str">
        <f>"CA300X10"</f>
        <v>CA300X10</v>
      </c>
      <c r="AK997" t="s">
        <v>46</v>
      </c>
      <c r="AL997" s="1">
        <v>44816.548090277778</v>
      </c>
      <c r="AM997" t="s">
        <v>44</v>
      </c>
    </row>
    <row r="998" spans="1:39" x14ac:dyDescent="0.2">
      <c r="A998" t="s">
        <v>1013</v>
      </c>
      <c r="B998" t="s">
        <v>40</v>
      </c>
      <c r="C998" t="s">
        <v>1010</v>
      </c>
      <c r="D998" t="s">
        <v>42</v>
      </c>
      <c r="E998" t="s">
        <v>43</v>
      </c>
      <c r="F998" t="s">
        <v>44</v>
      </c>
      <c r="G998" t="s">
        <v>45</v>
      </c>
      <c r="AH998" t="s">
        <v>42</v>
      </c>
      <c r="AI998" t="str">
        <f>"66298815566458"</f>
        <v>66298815566458</v>
      </c>
      <c r="AJ998" t="str">
        <f>"CA350X10KAISER"</f>
        <v>CA350X10KAISER</v>
      </c>
      <c r="AK998" t="s">
        <v>46</v>
      </c>
      <c r="AL998" s="1">
        <v>44816.548090277778</v>
      </c>
      <c r="AM998" t="s">
        <v>44</v>
      </c>
    </row>
    <row r="999" spans="1:39" x14ac:dyDescent="0.2">
      <c r="A999" t="s">
        <v>1014</v>
      </c>
      <c r="B999" t="s">
        <v>40</v>
      </c>
      <c r="C999" t="s">
        <v>1010</v>
      </c>
      <c r="D999" t="s">
        <v>42</v>
      </c>
      <c r="E999" t="s">
        <v>43</v>
      </c>
      <c r="F999" t="s">
        <v>44</v>
      </c>
      <c r="G999" t="s">
        <v>45</v>
      </c>
      <c r="AH999" t="s">
        <v>42</v>
      </c>
      <c r="AI999" t="str">
        <f>"CA120/70X12SR"</f>
        <v>CA120/70X12SR</v>
      </c>
      <c r="AJ999" t="str">
        <f>"CA120/70X12SR"</f>
        <v>CA120/70X12SR</v>
      </c>
      <c r="AK999" t="s">
        <v>46</v>
      </c>
      <c r="AL999" s="1">
        <v>44988.85528935185</v>
      </c>
      <c r="AM999" t="s">
        <v>44</v>
      </c>
    </row>
    <row r="1000" spans="1:39" x14ac:dyDescent="0.2">
      <c r="A1000" t="s">
        <v>1015</v>
      </c>
      <c r="B1000" t="s">
        <v>40</v>
      </c>
      <c r="C1000" t="s">
        <v>1010</v>
      </c>
      <c r="D1000" t="s">
        <v>42</v>
      </c>
      <c r="E1000" t="s">
        <v>43</v>
      </c>
      <c r="F1000" t="s">
        <v>44</v>
      </c>
      <c r="G1000" t="s">
        <v>45</v>
      </c>
      <c r="AH1000" t="s">
        <v>42</v>
      </c>
      <c r="AI1000" t="str">
        <f>"CA300/350X12DURO"</f>
        <v>CA300/350X12DURO</v>
      </c>
      <c r="AJ1000" t="str">
        <f>"CA300/350X12DURO"</f>
        <v>CA300/350X12DURO</v>
      </c>
      <c r="AK1000" t="s">
        <v>46</v>
      </c>
      <c r="AL1000" s="1">
        <v>45089.655185185184</v>
      </c>
      <c r="AM1000" t="s">
        <v>44</v>
      </c>
    </row>
    <row r="1001" spans="1:39" x14ac:dyDescent="0.2">
      <c r="A1001" t="s">
        <v>1016</v>
      </c>
      <c r="B1001" t="s">
        <v>40</v>
      </c>
      <c r="C1001" t="s">
        <v>1010</v>
      </c>
      <c r="D1001" t="s">
        <v>42</v>
      </c>
      <c r="E1001" t="s">
        <v>43</v>
      </c>
      <c r="F1001" t="s">
        <v>44</v>
      </c>
      <c r="G1001" t="s">
        <v>45</v>
      </c>
      <c r="AH1001" t="s">
        <v>42</v>
      </c>
      <c r="AI1001" t="str">
        <f>"CA130/60X13SR"</f>
        <v>CA130/60X13SR</v>
      </c>
      <c r="AJ1001" t="str">
        <f>"CA130/60X13SR"</f>
        <v>CA130/60X13SR</v>
      </c>
      <c r="AK1001" t="s">
        <v>46</v>
      </c>
      <c r="AL1001" s="1">
        <v>44919.644421296296</v>
      </c>
      <c r="AM1001" t="s">
        <v>44</v>
      </c>
    </row>
    <row r="1002" spans="1:39" x14ac:dyDescent="0.2">
      <c r="A1002" t="s">
        <v>1017</v>
      </c>
      <c r="B1002" t="s">
        <v>40</v>
      </c>
      <c r="C1002" t="s">
        <v>1010</v>
      </c>
      <c r="D1002" t="s">
        <v>42</v>
      </c>
      <c r="E1002" t="s">
        <v>43</v>
      </c>
      <c r="F1002" t="s">
        <v>44</v>
      </c>
      <c r="G1002" t="s">
        <v>45</v>
      </c>
      <c r="AH1002" t="s">
        <v>42</v>
      </c>
      <c r="AI1002" t="str">
        <f>"66298815621907"</f>
        <v>66298815621907</v>
      </c>
      <c r="AJ1002" t="str">
        <f>"CA275/300X14DURO"</f>
        <v>CA275/300X14DURO</v>
      </c>
      <c r="AK1002" t="s">
        <v>46</v>
      </c>
      <c r="AL1002" s="1">
        <v>44816.548101851855</v>
      </c>
      <c r="AM1002" t="s">
        <v>44</v>
      </c>
    </row>
    <row r="1003" spans="1:39" x14ac:dyDescent="0.2">
      <c r="A1003" t="s">
        <v>1018</v>
      </c>
      <c r="B1003" t="s">
        <v>40</v>
      </c>
      <c r="C1003" t="s">
        <v>1010</v>
      </c>
      <c r="D1003" t="s">
        <v>42</v>
      </c>
      <c r="E1003" t="s">
        <v>43</v>
      </c>
      <c r="F1003" t="s">
        <v>44</v>
      </c>
      <c r="G1003" t="s">
        <v>45</v>
      </c>
      <c r="AH1003" t="s">
        <v>42</v>
      </c>
      <c r="AI1003" t="str">
        <f>"CA275/300X14SR"</f>
        <v>CA275/300X14SR</v>
      </c>
      <c r="AJ1003" t="str">
        <f>"CA275/300X14SR"</f>
        <v>CA275/300X14SR</v>
      </c>
      <c r="AK1003" t="s">
        <v>46</v>
      </c>
      <c r="AL1003" s="1">
        <v>44919.645266203705</v>
      </c>
      <c r="AM1003" t="s">
        <v>44</v>
      </c>
    </row>
    <row r="1004" spans="1:39" x14ac:dyDescent="0.2">
      <c r="A1004" t="s">
        <v>1019</v>
      </c>
      <c r="B1004" t="s">
        <v>40</v>
      </c>
      <c r="C1004" t="s">
        <v>1010</v>
      </c>
      <c r="D1004" t="s">
        <v>42</v>
      </c>
      <c r="E1004" t="s">
        <v>43</v>
      </c>
      <c r="F1004" t="s">
        <v>44</v>
      </c>
      <c r="G1004" t="s">
        <v>45</v>
      </c>
      <c r="AH1004" t="s">
        <v>42</v>
      </c>
      <c r="AI1004" t="str">
        <f>"CA130/90X15DURO"</f>
        <v>CA130/90X15DURO</v>
      </c>
      <c r="AJ1004" t="str">
        <f>"CA130/90X15DURO"</f>
        <v>CA130/90X15DURO</v>
      </c>
      <c r="AK1004" t="s">
        <v>46</v>
      </c>
      <c r="AL1004" s="1">
        <v>45089.656701388885</v>
      </c>
      <c r="AM1004" t="s">
        <v>44</v>
      </c>
    </row>
    <row r="1005" spans="1:39" x14ac:dyDescent="0.2">
      <c r="A1005" t="s">
        <v>1020</v>
      </c>
      <c r="B1005" t="s">
        <v>40</v>
      </c>
      <c r="C1005" t="s">
        <v>1010</v>
      </c>
      <c r="D1005" t="s">
        <v>42</v>
      </c>
      <c r="E1005" t="s">
        <v>43</v>
      </c>
      <c r="F1005" t="s">
        <v>44</v>
      </c>
      <c r="G1005" t="s">
        <v>45</v>
      </c>
      <c r="AH1005" t="s">
        <v>42</v>
      </c>
      <c r="AI1005" t="str">
        <f>"CA130/90X15SR"</f>
        <v>CA130/90X15SR</v>
      </c>
      <c r="AJ1005" t="str">
        <f>"CA130/90X15SR"</f>
        <v>CA130/90X15SR</v>
      </c>
      <c r="AK1005" t="s">
        <v>46</v>
      </c>
      <c r="AL1005" s="1">
        <v>44919.647141203706</v>
      </c>
      <c r="AM1005" t="s">
        <v>44</v>
      </c>
    </row>
    <row r="1006" spans="1:39" x14ac:dyDescent="0.2">
      <c r="A1006" t="s">
        <v>1021</v>
      </c>
      <c r="B1006" t="s">
        <v>40</v>
      </c>
      <c r="C1006" t="s">
        <v>1010</v>
      </c>
      <c r="D1006" t="s">
        <v>42</v>
      </c>
      <c r="E1006" t="s">
        <v>43</v>
      </c>
      <c r="F1006" t="s">
        <v>44</v>
      </c>
      <c r="G1006" t="s">
        <v>45</v>
      </c>
      <c r="AH1006" t="s">
        <v>42</v>
      </c>
      <c r="AI1006" t="str">
        <f>"CA275/300X16"</f>
        <v>CA275/300X16</v>
      </c>
      <c r="AJ1006" t="str">
        <f>"CA275/300X16"</f>
        <v>CA275/300X16</v>
      </c>
      <c r="AK1006" t="s">
        <v>46</v>
      </c>
      <c r="AL1006" s="1">
        <v>44869.530462962961</v>
      </c>
      <c r="AM1006" t="s">
        <v>44</v>
      </c>
    </row>
    <row r="1007" spans="1:39" x14ac:dyDescent="0.2">
      <c r="A1007" t="s">
        <v>1022</v>
      </c>
      <c r="B1007" t="s">
        <v>40</v>
      </c>
      <c r="C1007" t="s">
        <v>1010</v>
      </c>
      <c r="D1007" t="s">
        <v>42</v>
      </c>
      <c r="E1007" t="s">
        <v>43</v>
      </c>
      <c r="F1007" t="s">
        <v>44</v>
      </c>
      <c r="G1007" t="s">
        <v>45</v>
      </c>
      <c r="AH1007" t="s">
        <v>42</v>
      </c>
      <c r="AI1007" t="str">
        <f>"CA325/350X16DURO"</f>
        <v>CA325/350X16DURO</v>
      </c>
      <c r="AJ1007" t="str">
        <f>"CA325/350X16DURO"</f>
        <v>CA325/350X16DURO</v>
      </c>
      <c r="AK1007" t="s">
        <v>46</v>
      </c>
      <c r="AL1007" s="1">
        <v>45089.658055555556</v>
      </c>
      <c r="AM1007" t="s">
        <v>44</v>
      </c>
    </row>
    <row r="1008" spans="1:39" x14ac:dyDescent="0.2">
      <c r="A1008" t="s">
        <v>1023</v>
      </c>
      <c r="B1008" t="s">
        <v>40</v>
      </c>
      <c r="C1008" t="s">
        <v>1010</v>
      </c>
      <c r="D1008" t="s">
        <v>42</v>
      </c>
      <c r="E1008" t="s">
        <v>43</v>
      </c>
      <c r="F1008" t="s">
        <v>44</v>
      </c>
      <c r="G1008" t="s">
        <v>45</v>
      </c>
      <c r="AH1008" t="s">
        <v>42</v>
      </c>
      <c r="AI1008" t="str">
        <f>"CA325/350X16SR"</f>
        <v>CA325/350X16SR</v>
      </c>
      <c r="AJ1008" t="str">
        <f>"CA325/350X16SR"</f>
        <v>CA325/350X16SR</v>
      </c>
      <c r="AK1008" t="s">
        <v>46</v>
      </c>
      <c r="AL1008" s="1">
        <v>44919.648344907408</v>
      </c>
      <c r="AM1008" t="s">
        <v>44</v>
      </c>
    </row>
    <row r="1009" spans="1:39" x14ac:dyDescent="0.2">
      <c r="A1009" t="s">
        <v>1024</v>
      </c>
      <c r="B1009" t="s">
        <v>40</v>
      </c>
      <c r="C1009" t="s">
        <v>1010</v>
      </c>
      <c r="D1009" t="s">
        <v>42</v>
      </c>
      <c r="E1009" t="s">
        <v>43</v>
      </c>
      <c r="F1009" t="s">
        <v>44</v>
      </c>
      <c r="G1009" t="s">
        <v>45</v>
      </c>
      <c r="AH1009" t="s">
        <v>42</v>
      </c>
      <c r="AI1009" t="str">
        <f>"CA350/400X16DURO"</f>
        <v>CA350/400X16DURO</v>
      </c>
      <c r="AJ1009" t="str">
        <f>"CA350/400X16DURO"</f>
        <v>CA350/400X16DURO</v>
      </c>
      <c r="AK1009" t="s">
        <v>46</v>
      </c>
      <c r="AL1009" s="1">
        <v>45089.659814814811</v>
      </c>
      <c r="AM1009" t="s">
        <v>44</v>
      </c>
    </row>
    <row r="1010" spans="1:39" x14ac:dyDescent="0.2">
      <c r="A1010" t="s">
        <v>1025</v>
      </c>
      <c r="B1010" t="s">
        <v>40</v>
      </c>
      <c r="C1010" t="s">
        <v>1010</v>
      </c>
      <c r="D1010" t="s">
        <v>42</v>
      </c>
      <c r="E1010" t="s">
        <v>43</v>
      </c>
      <c r="F1010" t="s">
        <v>44</v>
      </c>
      <c r="G1010" t="s">
        <v>45</v>
      </c>
      <c r="AH1010" t="s">
        <v>42</v>
      </c>
      <c r="AI1010" t="str">
        <f>"CA400/450X16SR"</f>
        <v>CA400/450X16SR</v>
      </c>
      <c r="AJ1010" t="str">
        <f>"CA400/450X16SR"</f>
        <v>CA400/450X16SR</v>
      </c>
      <c r="AK1010" t="s">
        <v>46</v>
      </c>
      <c r="AL1010" s="1">
        <v>44919.64916666667</v>
      </c>
      <c r="AM1010" t="s">
        <v>44</v>
      </c>
    </row>
    <row r="1011" spans="1:39" x14ac:dyDescent="0.2">
      <c r="A1011" t="s">
        <v>1026</v>
      </c>
      <c r="B1011" t="s">
        <v>40</v>
      </c>
      <c r="C1011" t="s">
        <v>1010</v>
      </c>
      <c r="D1011" t="s">
        <v>42</v>
      </c>
      <c r="E1011" t="s">
        <v>43</v>
      </c>
      <c r="F1011" t="s">
        <v>44</v>
      </c>
      <c r="G1011" t="s">
        <v>45</v>
      </c>
      <c r="AH1011" t="s">
        <v>42</v>
      </c>
      <c r="AI1011" t="str">
        <f>"CA275/300X17DURO"</f>
        <v>CA275/300X17DURO</v>
      </c>
      <c r="AJ1011" t="str">
        <f>"CA275/300X17DURO"</f>
        <v>CA275/300X17DURO</v>
      </c>
      <c r="AK1011" t="s">
        <v>46</v>
      </c>
      <c r="AL1011" s="1">
        <v>45062.905613425923</v>
      </c>
      <c r="AM1011" t="s">
        <v>44</v>
      </c>
    </row>
    <row r="1012" spans="1:39" x14ac:dyDescent="0.2">
      <c r="A1012" t="s">
        <v>1027</v>
      </c>
      <c r="B1012" t="s">
        <v>40</v>
      </c>
      <c r="C1012" t="s">
        <v>1010</v>
      </c>
      <c r="D1012" t="s">
        <v>42</v>
      </c>
      <c r="E1012" t="s">
        <v>43</v>
      </c>
      <c r="F1012" t="s">
        <v>44</v>
      </c>
      <c r="G1012" t="s">
        <v>45</v>
      </c>
      <c r="AH1012" t="s">
        <v>42</v>
      </c>
      <c r="AI1012" t="str">
        <f>"CA275/300X17SR"</f>
        <v>CA275/300X17SR</v>
      </c>
      <c r="AJ1012" t="str">
        <f>"CA275/300X17SR"</f>
        <v>CA275/300X17SR</v>
      </c>
      <c r="AK1012" t="s">
        <v>46</v>
      </c>
      <c r="AL1012" s="1">
        <v>44919.652037037034</v>
      </c>
      <c r="AM1012" t="s">
        <v>44</v>
      </c>
    </row>
    <row r="1013" spans="1:39" x14ac:dyDescent="0.2">
      <c r="A1013" t="s">
        <v>1028</v>
      </c>
      <c r="B1013" t="s">
        <v>40</v>
      </c>
      <c r="C1013" t="s">
        <v>1010</v>
      </c>
      <c r="D1013" t="s">
        <v>42</v>
      </c>
      <c r="E1013" t="s">
        <v>43</v>
      </c>
      <c r="F1013" t="s">
        <v>44</v>
      </c>
      <c r="G1013" t="s">
        <v>45</v>
      </c>
      <c r="AH1013" t="s">
        <v>42</v>
      </c>
      <c r="AI1013" t="str">
        <f>"66298815666626"</f>
        <v>66298815666626</v>
      </c>
      <c r="AJ1013" t="str">
        <f>"CA275/300X17VN"</f>
        <v>CA275/300X17VN</v>
      </c>
      <c r="AK1013" t="s">
        <v>46</v>
      </c>
      <c r="AL1013" s="1">
        <v>44816.548101851855</v>
      </c>
      <c r="AM1013" t="s">
        <v>44</v>
      </c>
    </row>
    <row r="1014" spans="1:39" x14ac:dyDescent="0.2">
      <c r="A1014" t="s">
        <v>1029</v>
      </c>
      <c r="B1014" t="s">
        <v>40</v>
      </c>
      <c r="C1014" t="s">
        <v>1010</v>
      </c>
      <c r="D1014" t="s">
        <v>42</v>
      </c>
      <c r="E1014" t="s">
        <v>43</v>
      </c>
      <c r="F1014" t="s">
        <v>44</v>
      </c>
      <c r="G1014" t="s">
        <v>45</v>
      </c>
      <c r="AH1014" t="s">
        <v>42</v>
      </c>
      <c r="AI1014" t="str">
        <f>"CA275/300X17"</f>
        <v>CA275/300X17</v>
      </c>
      <c r="AJ1014" t="str">
        <f>"CA275/300X17"</f>
        <v>CA275/300X17</v>
      </c>
      <c r="AK1014" t="s">
        <v>46</v>
      </c>
      <c r="AL1014" s="1">
        <v>44980.864004629628</v>
      </c>
      <c r="AM1014" t="s">
        <v>44</v>
      </c>
    </row>
    <row r="1015" spans="1:39" x14ac:dyDescent="0.2">
      <c r="A1015" t="s">
        <v>1030</v>
      </c>
      <c r="B1015" t="s">
        <v>40</v>
      </c>
      <c r="C1015" t="s">
        <v>1010</v>
      </c>
      <c r="D1015" t="s">
        <v>42</v>
      </c>
      <c r="E1015" t="s">
        <v>43</v>
      </c>
      <c r="F1015" t="s">
        <v>44</v>
      </c>
      <c r="G1015" t="s">
        <v>45</v>
      </c>
      <c r="AH1015" t="s">
        <v>42</v>
      </c>
      <c r="AI1015" t="str">
        <f>"CA350/400X17DURO"</f>
        <v>CA350/400X17DURO</v>
      </c>
      <c r="AJ1015" t="str">
        <f>"CA350/400X17DURO"</f>
        <v>CA350/400X17DURO</v>
      </c>
      <c r="AK1015" t="s">
        <v>46</v>
      </c>
      <c r="AL1015" s="1">
        <v>45089.661122685182</v>
      </c>
      <c r="AM1015" t="s">
        <v>44</v>
      </c>
    </row>
    <row r="1016" spans="1:39" x14ac:dyDescent="0.2">
      <c r="A1016" t="s">
        <v>1031</v>
      </c>
      <c r="B1016" t="s">
        <v>40</v>
      </c>
      <c r="C1016" t="s">
        <v>1010</v>
      </c>
      <c r="D1016" t="s">
        <v>42</v>
      </c>
      <c r="E1016" t="s">
        <v>43</v>
      </c>
      <c r="F1016" t="s">
        <v>44</v>
      </c>
      <c r="G1016" t="s">
        <v>45</v>
      </c>
      <c r="AH1016" t="s">
        <v>42</v>
      </c>
      <c r="AI1016" t="str">
        <f>"CA350/400X17SR"</f>
        <v>CA350/400X17SR</v>
      </c>
      <c r="AJ1016" t="str">
        <f>"CA350/400X17SR"</f>
        <v>CA350/400X17SR</v>
      </c>
      <c r="AK1016" t="s">
        <v>46</v>
      </c>
      <c r="AL1016" s="1">
        <v>44988.862361111111</v>
      </c>
      <c r="AM1016" t="s">
        <v>44</v>
      </c>
    </row>
    <row r="1017" spans="1:39" x14ac:dyDescent="0.2">
      <c r="A1017" t="s">
        <v>1032</v>
      </c>
      <c r="B1017" t="s">
        <v>40</v>
      </c>
      <c r="C1017" t="s">
        <v>1010</v>
      </c>
      <c r="D1017" t="s">
        <v>42</v>
      </c>
      <c r="E1017" t="s">
        <v>43</v>
      </c>
      <c r="F1017" t="s">
        <v>44</v>
      </c>
      <c r="G1017" t="s">
        <v>45</v>
      </c>
      <c r="AH1017" t="s">
        <v>42</v>
      </c>
      <c r="AI1017" t="str">
        <f>"CA400/450X17DURO"</f>
        <v>CA400/450X17DURO</v>
      </c>
      <c r="AJ1017" t="str">
        <f>"CA400/450X17DURO"</f>
        <v>CA400/450X17DURO</v>
      </c>
      <c r="AK1017" t="s">
        <v>46</v>
      </c>
      <c r="AL1017" s="1">
        <v>44816.548113425924</v>
      </c>
      <c r="AM1017" t="s">
        <v>44</v>
      </c>
    </row>
    <row r="1018" spans="1:39" x14ac:dyDescent="0.2">
      <c r="A1018" t="s">
        <v>1033</v>
      </c>
      <c r="B1018" t="s">
        <v>40</v>
      </c>
      <c r="C1018" t="s">
        <v>1010</v>
      </c>
      <c r="D1018" t="s">
        <v>42</v>
      </c>
      <c r="E1018" t="s">
        <v>43</v>
      </c>
      <c r="F1018" t="s">
        <v>44</v>
      </c>
      <c r="G1018" t="s">
        <v>45</v>
      </c>
      <c r="AH1018" t="s">
        <v>42</v>
      </c>
      <c r="AI1018" t="str">
        <f>"CA400/460X17SR"</f>
        <v>CA400/460X17SR</v>
      </c>
      <c r="AJ1018" t="str">
        <f>"CA400/460X17SR"</f>
        <v>CA400/460X17SR</v>
      </c>
      <c r="AK1018" t="s">
        <v>46</v>
      </c>
      <c r="AL1018" s="1">
        <v>44919.654143518521</v>
      </c>
      <c r="AM1018" t="s">
        <v>44</v>
      </c>
    </row>
    <row r="1019" spans="1:39" x14ac:dyDescent="0.2">
      <c r="A1019" t="s">
        <v>1034</v>
      </c>
      <c r="B1019" t="s">
        <v>40</v>
      </c>
      <c r="C1019" t="s">
        <v>1010</v>
      </c>
      <c r="D1019" t="s">
        <v>42</v>
      </c>
      <c r="E1019" t="s">
        <v>43</v>
      </c>
      <c r="F1019" t="s">
        <v>44</v>
      </c>
      <c r="G1019" t="s">
        <v>45</v>
      </c>
      <c r="AH1019" t="s">
        <v>42</v>
      </c>
      <c r="AI1019" t="str">
        <f>"66298815751172"</f>
        <v>66298815751172</v>
      </c>
      <c r="AJ1019" t="str">
        <f>"CA100/100-18XHD"</f>
        <v>CA100/100-18XHD</v>
      </c>
      <c r="AK1019" t="s">
        <v>46</v>
      </c>
      <c r="AL1019" s="1">
        <v>44816.548113425924</v>
      </c>
      <c r="AM1019" t="s">
        <v>44</v>
      </c>
    </row>
    <row r="1020" spans="1:39" x14ac:dyDescent="0.2">
      <c r="A1020" t="s">
        <v>1035</v>
      </c>
      <c r="B1020" t="s">
        <v>40</v>
      </c>
      <c r="C1020" t="s">
        <v>1010</v>
      </c>
      <c r="D1020" t="s">
        <v>42</v>
      </c>
      <c r="E1020" t="s">
        <v>43</v>
      </c>
      <c r="F1020" t="s">
        <v>44</v>
      </c>
      <c r="G1020" t="s">
        <v>45</v>
      </c>
      <c r="AH1020" t="s">
        <v>42</v>
      </c>
      <c r="AI1020" t="str">
        <f>"CA275/300X18CST"</f>
        <v>CA275/300X18CST</v>
      </c>
      <c r="AJ1020" t="str">
        <f>"CA275/300X18CST"</f>
        <v>CA275/300X18CST</v>
      </c>
      <c r="AK1020" t="s">
        <v>46</v>
      </c>
      <c r="AL1020" s="1">
        <v>45069.855138888888</v>
      </c>
      <c r="AM1020" t="s">
        <v>44</v>
      </c>
    </row>
    <row r="1021" spans="1:39" x14ac:dyDescent="0.2">
      <c r="A1021" t="s">
        <v>1036</v>
      </c>
      <c r="B1021" t="s">
        <v>40</v>
      </c>
      <c r="C1021" t="s">
        <v>1010</v>
      </c>
      <c r="D1021" t="s">
        <v>42</v>
      </c>
      <c r="E1021" t="s">
        <v>43</v>
      </c>
      <c r="F1021" t="s">
        <v>44</v>
      </c>
      <c r="G1021" t="s">
        <v>45</v>
      </c>
      <c r="AH1021" t="s">
        <v>42</v>
      </c>
      <c r="AI1021" t="str">
        <f>"CA275/300X18DURO"</f>
        <v>CA275/300X18DURO</v>
      </c>
      <c r="AJ1021" t="str">
        <f>"CA275/300X18DURO"</f>
        <v>CA275/300X18DURO</v>
      </c>
      <c r="AK1021" t="s">
        <v>46</v>
      </c>
      <c r="AL1021" s="1">
        <v>45089.664189814815</v>
      </c>
      <c r="AM1021" t="s">
        <v>44</v>
      </c>
    </row>
    <row r="1022" spans="1:39" x14ac:dyDescent="0.2">
      <c r="A1022" t="s">
        <v>1037</v>
      </c>
      <c r="B1022" t="s">
        <v>40</v>
      </c>
      <c r="C1022" t="s">
        <v>1010</v>
      </c>
      <c r="D1022" t="s">
        <v>42</v>
      </c>
      <c r="E1022" t="s">
        <v>43</v>
      </c>
      <c r="F1022" t="s">
        <v>44</v>
      </c>
      <c r="G1022" t="s">
        <v>45</v>
      </c>
      <c r="AH1022" t="s">
        <v>42</v>
      </c>
      <c r="AI1022" t="str">
        <f>"CA275/300X18SR"</f>
        <v>CA275/300X18SR</v>
      </c>
      <c r="AJ1022" t="str">
        <f>"CA275/300X18SR"</f>
        <v>CA275/300X18SR</v>
      </c>
      <c r="AK1022" t="s">
        <v>46</v>
      </c>
      <c r="AL1022" s="1">
        <v>44919.655266203707</v>
      </c>
      <c r="AM1022" t="s">
        <v>44</v>
      </c>
    </row>
    <row r="1023" spans="1:39" x14ac:dyDescent="0.2">
      <c r="A1023" t="s">
        <v>1038</v>
      </c>
      <c r="B1023" t="s">
        <v>40</v>
      </c>
      <c r="C1023" t="s">
        <v>1010</v>
      </c>
      <c r="D1023" t="s">
        <v>42</v>
      </c>
      <c r="E1023" t="s">
        <v>43</v>
      </c>
      <c r="F1023" t="s">
        <v>44</v>
      </c>
      <c r="G1023" t="s">
        <v>45</v>
      </c>
      <c r="AH1023" t="s">
        <v>42</v>
      </c>
      <c r="AI1023" t="str">
        <f>"66298815790477"</f>
        <v>66298815790477</v>
      </c>
      <c r="AJ1023" t="str">
        <f>"CA275/300X18VN"</f>
        <v>CA275/300X18VN</v>
      </c>
      <c r="AK1023" t="s">
        <v>46</v>
      </c>
      <c r="AL1023" s="1">
        <v>44816.548113425924</v>
      </c>
      <c r="AM1023" t="s">
        <v>44</v>
      </c>
    </row>
    <row r="1024" spans="1:39" x14ac:dyDescent="0.2">
      <c r="A1024" t="s">
        <v>1039</v>
      </c>
      <c r="B1024" t="s">
        <v>40</v>
      </c>
      <c r="C1024" t="s">
        <v>1010</v>
      </c>
      <c r="D1024" t="s">
        <v>42</v>
      </c>
      <c r="E1024" t="s">
        <v>43</v>
      </c>
      <c r="F1024" t="s">
        <v>44</v>
      </c>
      <c r="G1024" t="s">
        <v>45</v>
      </c>
      <c r="AH1024" t="s">
        <v>42</v>
      </c>
      <c r="AI1024" t="str">
        <f>"CA300/350X18DURO"</f>
        <v>CA300/350X18DURO</v>
      </c>
      <c r="AJ1024" t="str">
        <f>"CA300/350X18DURO"</f>
        <v>CA300/350X18DURO</v>
      </c>
      <c r="AK1024" t="s">
        <v>46</v>
      </c>
      <c r="AL1024" s="1">
        <v>45089.666296296295</v>
      </c>
      <c r="AM1024" t="s">
        <v>44</v>
      </c>
    </row>
    <row r="1025" spans="1:39" x14ac:dyDescent="0.2">
      <c r="A1025" t="s">
        <v>1040</v>
      </c>
      <c r="B1025" t="s">
        <v>40</v>
      </c>
      <c r="C1025" t="s">
        <v>1010</v>
      </c>
      <c r="D1025" t="s">
        <v>42</v>
      </c>
      <c r="E1025" t="s">
        <v>43</v>
      </c>
      <c r="F1025" t="s">
        <v>44</v>
      </c>
      <c r="G1025" t="s">
        <v>45</v>
      </c>
      <c r="AH1025" t="s">
        <v>42</v>
      </c>
      <c r="AI1025" t="str">
        <f>"66298815834561"</f>
        <v>66298815834561</v>
      </c>
      <c r="AJ1025" t="str">
        <f>"CA325/350X18KS"</f>
        <v>CA325/350X18KS</v>
      </c>
      <c r="AK1025" t="s">
        <v>46</v>
      </c>
      <c r="AL1025" s="1">
        <v>44816.548125000001</v>
      </c>
      <c r="AM1025" t="s">
        <v>44</v>
      </c>
    </row>
    <row r="1026" spans="1:39" x14ac:dyDescent="0.2">
      <c r="A1026" t="s">
        <v>1041</v>
      </c>
      <c r="B1026" t="s">
        <v>40</v>
      </c>
      <c r="C1026" t="s">
        <v>1010</v>
      </c>
      <c r="D1026" t="s">
        <v>42</v>
      </c>
      <c r="E1026" t="s">
        <v>43</v>
      </c>
      <c r="F1026" t="s">
        <v>44</v>
      </c>
      <c r="G1026" t="s">
        <v>45</v>
      </c>
      <c r="AH1026" t="s">
        <v>42</v>
      </c>
      <c r="AI1026" t="str">
        <f>"CA350/400X18DURO"</f>
        <v>CA350/400X18DURO</v>
      </c>
      <c r="AJ1026" t="str">
        <f>"CA350/400X18DURO"</f>
        <v>CA350/400X18DURO</v>
      </c>
      <c r="AK1026" t="s">
        <v>46</v>
      </c>
      <c r="AL1026" s="1">
        <v>44919.656898148147</v>
      </c>
      <c r="AM1026" t="s">
        <v>44</v>
      </c>
    </row>
    <row r="1027" spans="1:39" x14ac:dyDescent="0.2">
      <c r="A1027" t="s">
        <v>1042</v>
      </c>
      <c r="B1027" t="s">
        <v>40</v>
      </c>
      <c r="C1027" t="s">
        <v>1010</v>
      </c>
      <c r="D1027" t="s">
        <v>42</v>
      </c>
      <c r="E1027" t="s">
        <v>43</v>
      </c>
      <c r="F1027" t="s">
        <v>44</v>
      </c>
      <c r="G1027" t="s">
        <v>45</v>
      </c>
      <c r="AH1027" t="s">
        <v>42</v>
      </c>
      <c r="AI1027" t="str">
        <f>"CA350/400X18SR"</f>
        <v>CA350/400X18SR</v>
      </c>
      <c r="AJ1027" t="str">
        <f>"CA350/400X18SR"</f>
        <v>CA350/400X18SR</v>
      </c>
      <c r="AK1027" t="s">
        <v>46</v>
      </c>
      <c r="AL1027" s="1">
        <v>44919.691377314812</v>
      </c>
      <c r="AM1027" t="s">
        <v>44</v>
      </c>
    </row>
    <row r="1028" spans="1:39" x14ac:dyDescent="0.2">
      <c r="A1028" t="s">
        <v>1043</v>
      </c>
      <c r="B1028" t="s">
        <v>40</v>
      </c>
      <c r="C1028" t="s">
        <v>1010</v>
      </c>
      <c r="D1028" t="s">
        <v>42</v>
      </c>
      <c r="E1028" t="s">
        <v>43</v>
      </c>
      <c r="F1028" t="s">
        <v>44</v>
      </c>
      <c r="G1028" t="s">
        <v>45</v>
      </c>
      <c r="AH1028" t="s">
        <v>42</v>
      </c>
      <c r="AI1028" t="str">
        <f>"CA350X18DURO"</f>
        <v>CA350X18DURO</v>
      </c>
      <c r="AJ1028" t="str">
        <f>"CA350X18DURO"</f>
        <v>CA350X18DURO</v>
      </c>
      <c r="AK1028" t="s">
        <v>46</v>
      </c>
      <c r="AL1028" s="1">
        <v>45089.678715277776</v>
      </c>
      <c r="AM1028" t="s">
        <v>44</v>
      </c>
    </row>
    <row r="1029" spans="1:39" x14ac:dyDescent="0.2">
      <c r="A1029" t="s">
        <v>1044</v>
      </c>
      <c r="B1029" t="s">
        <v>40</v>
      </c>
      <c r="C1029" t="s">
        <v>1010</v>
      </c>
      <c r="D1029" t="s">
        <v>42</v>
      </c>
      <c r="E1029" t="s">
        <v>43</v>
      </c>
      <c r="F1029" t="s">
        <v>44</v>
      </c>
      <c r="G1029" t="s">
        <v>45</v>
      </c>
      <c r="AH1029" t="s">
        <v>42</v>
      </c>
      <c r="AI1029" t="str">
        <f>"CA400/450X18DURO"</f>
        <v>CA400/450X18DURO</v>
      </c>
      <c r="AJ1029" t="str">
        <f>"CA400/450X18DURO"</f>
        <v>CA400/450X18DURO</v>
      </c>
      <c r="AK1029" t="s">
        <v>46</v>
      </c>
      <c r="AL1029" s="1">
        <v>45089.679745370369</v>
      </c>
      <c r="AM1029" t="s">
        <v>44</v>
      </c>
    </row>
    <row r="1030" spans="1:39" x14ac:dyDescent="0.2">
      <c r="A1030" t="s">
        <v>1045</v>
      </c>
      <c r="B1030" t="s">
        <v>40</v>
      </c>
      <c r="C1030" t="s">
        <v>1010</v>
      </c>
      <c r="D1030" t="s">
        <v>42</v>
      </c>
      <c r="E1030" t="s">
        <v>43</v>
      </c>
      <c r="F1030" t="s">
        <v>44</v>
      </c>
      <c r="G1030" t="s">
        <v>45</v>
      </c>
      <c r="AH1030" t="s">
        <v>42</v>
      </c>
      <c r="AI1030" t="str">
        <f>"66298815873489"</f>
        <v>66298815873489</v>
      </c>
      <c r="AJ1030" t="str">
        <f>"CA400/450X18VN"</f>
        <v>CA400/450X18VN</v>
      </c>
      <c r="AK1030" t="s">
        <v>46</v>
      </c>
      <c r="AL1030" s="1">
        <v>44816.548125000001</v>
      </c>
      <c r="AM1030" t="s">
        <v>44</v>
      </c>
    </row>
    <row r="1031" spans="1:39" x14ac:dyDescent="0.2">
      <c r="A1031" t="s">
        <v>1046</v>
      </c>
      <c r="B1031" t="s">
        <v>40</v>
      </c>
      <c r="C1031" t="s">
        <v>1010</v>
      </c>
      <c r="D1031" t="s">
        <v>42</v>
      </c>
      <c r="E1031" t="s">
        <v>43</v>
      </c>
      <c r="F1031" t="s">
        <v>44</v>
      </c>
      <c r="G1031" t="s">
        <v>45</v>
      </c>
      <c r="AH1031" t="s">
        <v>42</v>
      </c>
      <c r="AI1031" t="str">
        <f>"CA410/460X18SR"</f>
        <v>CA410/460X18SR</v>
      </c>
      <c r="AJ1031" t="str">
        <f>"CA410/460X18SR"</f>
        <v>CA410/460X18SR</v>
      </c>
      <c r="AK1031" t="s">
        <v>46</v>
      </c>
      <c r="AL1031" s="1">
        <v>44919.692384259259</v>
      </c>
      <c r="AM1031" t="s">
        <v>44</v>
      </c>
    </row>
    <row r="1032" spans="1:39" x14ac:dyDescent="0.2">
      <c r="A1032" t="s">
        <v>1047</v>
      </c>
      <c r="B1032" t="s">
        <v>40</v>
      </c>
      <c r="C1032" t="s">
        <v>1010</v>
      </c>
      <c r="D1032" t="s">
        <v>42</v>
      </c>
      <c r="E1032" t="s">
        <v>43</v>
      </c>
      <c r="F1032" t="s">
        <v>44</v>
      </c>
      <c r="G1032" t="s">
        <v>45</v>
      </c>
      <c r="AH1032" t="s">
        <v>42</v>
      </c>
      <c r="AI1032" t="str">
        <f>"CA410X18DURO"</f>
        <v>CA410X18DURO</v>
      </c>
      <c r="AJ1032" t="str">
        <f>"CA410X18DURO"</f>
        <v>CA410X18DURO</v>
      </c>
      <c r="AK1032" t="s">
        <v>46</v>
      </c>
      <c r="AL1032" s="1">
        <v>45089.682083333333</v>
      </c>
      <c r="AM1032" t="s">
        <v>44</v>
      </c>
    </row>
    <row r="1033" spans="1:39" x14ac:dyDescent="0.2">
      <c r="A1033" t="s">
        <v>1048</v>
      </c>
      <c r="B1033" t="s">
        <v>40</v>
      </c>
      <c r="C1033" t="s">
        <v>1010</v>
      </c>
      <c r="D1033" t="s">
        <v>42</v>
      </c>
      <c r="E1033" t="s">
        <v>43</v>
      </c>
      <c r="F1033" t="s">
        <v>44</v>
      </c>
      <c r="G1033" t="s">
        <v>45</v>
      </c>
      <c r="AH1033" t="s">
        <v>42</v>
      </c>
      <c r="AI1033" t="str">
        <f>"66298815954727"</f>
        <v>66298815954727</v>
      </c>
      <c r="AJ1033" t="str">
        <f>"CA460/510X18"</f>
        <v>CA460/510X18</v>
      </c>
      <c r="AK1033" t="s">
        <v>46</v>
      </c>
      <c r="AL1033" s="1">
        <v>44816.548136574071</v>
      </c>
      <c r="AM1033" t="s">
        <v>44</v>
      </c>
    </row>
    <row r="1034" spans="1:39" x14ac:dyDescent="0.2">
      <c r="A1034" t="s">
        <v>1049</v>
      </c>
      <c r="B1034" t="s">
        <v>40</v>
      </c>
      <c r="C1034" t="s">
        <v>1010</v>
      </c>
      <c r="D1034" t="s">
        <v>42</v>
      </c>
      <c r="E1034" t="s">
        <v>43</v>
      </c>
      <c r="F1034" t="s">
        <v>44</v>
      </c>
      <c r="G1034" t="s">
        <v>45</v>
      </c>
      <c r="AH1034" t="s">
        <v>42</v>
      </c>
      <c r="AI1034" t="str">
        <f>"CA460/510X18DURO"</f>
        <v>CA460/510X18DURO</v>
      </c>
      <c r="AJ1034" t="str">
        <f>"CA460/510X18DURO"</f>
        <v>CA460/510X18DURO</v>
      </c>
      <c r="AK1034" t="s">
        <v>46</v>
      </c>
      <c r="AL1034" s="1">
        <v>45089.696585648147</v>
      </c>
      <c r="AM1034" t="s">
        <v>44</v>
      </c>
    </row>
    <row r="1035" spans="1:39" x14ac:dyDescent="0.2">
      <c r="A1035" t="s">
        <v>1050</v>
      </c>
      <c r="B1035" t="s">
        <v>40</v>
      </c>
      <c r="C1035" t="s">
        <v>1010</v>
      </c>
      <c r="D1035" t="s">
        <v>42</v>
      </c>
      <c r="E1035" t="s">
        <v>43</v>
      </c>
      <c r="F1035" t="s">
        <v>44</v>
      </c>
      <c r="G1035" t="s">
        <v>45</v>
      </c>
      <c r="AH1035" t="s">
        <v>42</v>
      </c>
      <c r="AI1035" t="str">
        <f>"CA460/510X18SR"</f>
        <v>CA460/510X18SR</v>
      </c>
      <c r="AJ1035" t="str">
        <f>"CA460/510X18SR"</f>
        <v>CA460/510X18SR</v>
      </c>
      <c r="AK1035" t="s">
        <v>46</v>
      </c>
      <c r="AL1035" s="1">
        <v>44816.548136574071</v>
      </c>
      <c r="AM1035" t="s">
        <v>44</v>
      </c>
    </row>
    <row r="1036" spans="1:39" x14ac:dyDescent="0.2">
      <c r="A1036" t="s">
        <v>1051</v>
      </c>
      <c r="B1036" t="s">
        <v>40</v>
      </c>
      <c r="C1036" t="s">
        <v>1010</v>
      </c>
      <c r="D1036" t="s">
        <v>42</v>
      </c>
      <c r="E1036" t="s">
        <v>43</v>
      </c>
      <c r="F1036" t="s">
        <v>44</v>
      </c>
      <c r="G1036" t="s">
        <v>45</v>
      </c>
      <c r="AH1036" t="s">
        <v>42</v>
      </c>
      <c r="AI1036" t="str">
        <f>"66298815911516"</f>
        <v>66298815911516</v>
      </c>
      <c r="AJ1036" t="str">
        <f>"CA460/510X18EV"</f>
        <v>CA460/510X18EV</v>
      </c>
      <c r="AK1036" t="s">
        <v>46</v>
      </c>
      <c r="AL1036" s="1">
        <v>44816.548136574071</v>
      </c>
      <c r="AM1036" t="s">
        <v>44</v>
      </c>
    </row>
    <row r="1037" spans="1:39" x14ac:dyDescent="0.2">
      <c r="A1037" t="s">
        <v>1052</v>
      </c>
      <c r="B1037" t="s">
        <v>40</v>
      </c>
      <c r="C1037" t="s">
        <v>1010</v>
      </c>
      <c r="D1037" t="s">
        <v>42</v>
      </c>
      <c r="E1037" t="s">
        <v>43</v>
      </c>
      <c r="F1037" t="s">
        <v>44</v>
      </c>
      <c r="G1037" t="s">
        <v>45</v>
      </c>
      <c r="AH1037" t="s">
        <v>42</v>
      </c>
      <c r="AI1037" t="str">
        <f>"66298830946914"</f>
        <v>66298830946914</v>
      </c>
      <c r="AJ1037" t="str">
        <f>"CA460X18TS"</f>
        <v>CA460X18TS</v>
      </c>
      <c r="AK1037" t="s">
        <v>46</v>
      </c>
      <c r="AL1037" s="1">
        <v>44816.549872685187</v>
      </c>
      <c r="AM1037" t="s">
        <v>44</v>
      </c>
    </row>
    <row r="1038" spans="1:39" x14ac:dyDescent="0.2">
      <c r="A1038" t="s">
        <v>1053</v>
      </c>
      <c r="B1038" t="s">
        <v>40</v>
      </c>
      <c r="C1038" t="s">
        <v>1010</v>
      </c>
      <c r="D1038" t="s">
        <v>42</v>
      </c>
      <c r="E1038" t="s">
        <v>43</v>
      </c>
      <c r="F1038" t="s">
        <v>44</v>
      </c>
      <c r="G1038" t="s">
        <v>45</v>
      </c>
      <c r="AH1038" t="s">
        <v>42</v>
      </c>
      <c r="AI1038" t="str">
        <f>"66298830985742"</f>
        <v>66298830985742</v>
      </c>
      <c r="AJ1038" t="str">
        <f>"CA110/80-19TS"</f>
        <v>CA110/80-19TS</v>
      </c>
      <c r="AK1038" t="s">
        <v>46</v>
      </c>
      <c r="AL1038" s="1">
        <v>44816.549872685187</v>
      </c>
      <c r="AM1038" t="s">
        <v>44</v>
      </c>
    </row>
    <row r="1039" spans="1:39" x14ac:dyDescent="0.2">
      <c r="A1039" t="s">
        <v>1054</v>
      </c>
      <c r="B1039" t="s">
        <v>40</v>
      </c>
      <c r="C1039" t="s">
        <v>1010</v>
      </c>
      <c r="D1039" t="s">
        <v>42</v>
      </c>
      <c r="E1039" t="s">
        <v>43</v>
      </c>
      <c r="F1039" t="s">
        <v>44</v>
      </c>
      <c r="G1039" t="s">
        <v>45</v>
      </c>
      <c r="AH1039" t="s">
        <v>42</v>
      </c>
      <c r="AI1039" t="str">
        <f>"66298831025016"</f>
        <v>66298831025016</v>
      </c>
      <c r="AJ1039" t="str">
        <f>"CA275/300X19DUR"</f>
        <v>CA275/300X19DUR</v>
      </c>
      <c r="AK1039" t="s">
        <v>46</v>
      </c>
      <c r="AL1039" s="1">
        <v>44816.549884259257</v>
      </c>
      <c r="AM1039" t="s">
        <v>44</v>
      </c>
    </row>
    <row r="1040" spans="1:39" x14ac:dyDescent="0.2">
      <c r="A1040" t="s">
        <v>1055</v>
      </c>
      <c r="B1040" t="s">
        <v>40</v>
      </c>
      <c r="C1040" t="s">
        <v>1010</v>
      </c>
      <c r="D1040" t="s">
        <v>42</v>
      </c>
      <c r="E1040" t="s">
        <v>43</v>
      </c>
      <c r="F1040" t="s">
        <v>44</v>
      </c>
      <c r="G1040" t="s">
        <v>45</v>
      </c>
      <c r="AH1040" t="s">
        <v>42</v>
      </c>
      <c r="AI1040" t="str">
        <f>"66298831067859"</f>
        <v>66298831067859</v>
      </c>
      <c r="AJ1040" t="str">
        <f>"CA275/300X19KS"</f>
        <v>CA275/300X19KS</v>
      </c>
      <c r="AK1040" t="s">
        <v>46</v>
      </c>
      <c r="AL1040" s="1">
        <v>44816.549884259257</v>
      </c>
      <c r="AM1040" t="s">
        <v>44</v>
      </c>
    </row>
    <row r="1041" spans="1:39" x14ac:dyDescent="0.2">
      <c r="A1041" t="s">
        <v>1056</v>
      </c>
      <c r="B1041" t="s">
        <v>40</v>
      </c>
      <c r="C1041" t="s">
        <v>1010</v>
      </c>
      <c r="D1041" t="s">
        <v>42</v>
      </c>
      <c r="E1041" t="s">
        <v>43</v>
      </c>
      <c r="F1041" t="s">
        <v>44</v>
      </c>
      <c r="G1041" t="s">
        <v>45</v>
      </c>
      <c r="AH1041" t="s">
        <v>42</v>
      </c>
      <c r="AI1041" t="str">
        <f>"66298831109113"</f>
        <v>66298831109113</v>
      </c>
      <c r="AJ1041" t="str">
        <f>"CA275/300X19SR"</f>
        <v>CA275/300X19SR</v>
      </c>
      <c r="AK1041" t="s">
        <v>46</v>
      </c>
      <c r="AL1041" s="1">
        <v>44816.549895833334</v>
      </c>
      <c r="AM1041" t="s">
        <v>44</v>
      </c>
    </row>
    <row r="1042" spans="1:39" x14ac:dyDescent="0.2">
      <c r="A1042" t="s">
        <v>1057</v>
      </c>
      <c r="B1042" t="s">
        <v>40</v>
      </c>
      <c r="C1042" t="s">
        <v>1010</v>
      </c>
      <c r="D1042" t="s">
        <v>42</v>
      </c>
      <c r="E1042" t="s">
        <v>43</v>
      </c>
      <c r="F1042" t="s">
        <v>44</v>
      </c>
      <c r="G1042" t="s">
        <v>45</v>
      </c>
      <c r="AH1042" t="s">
        <v>42</v>
      </c>
      <c r="AI1042" t="str">
        <f>"CA350/400X19DURO"</f>
        <v>CA350/400X19DURO</v>
      </c>
      <c r="AJ1042" t="str">
        <f>"CA350/400X19DURO"</f>
        <v>CA350/400X19DURO</v>
      </c>
      <c r="AK1042" t="s">
        <v>46</v>
      </c>
      <c r="AL1042" s="1">
        <v>44816.549895833334</v>
      </c>
      <c r="AM1042" t="s">
        <v>44</v>
      </c>
    </row>
    <row r="1043" spans="1:39" x14ac:dyDescent="0.2">
      <c r="A1043" t="s">
        <v>1058</v>
      </c>
      <c r="B1043" t="s">
        <v>40</v>
      </c>
      <c r="C1043" t="s">
        <v>1010</v>
      </c>
      <c r="D1043" t="s">
        <v>42</v>
      </c>
      <c r="E1043" t="s">
        <v>43</v>
      </c>
      <c r="F1043" t="s">
        <v>44</v>
      </c>
      <c r="G1043" t="s">
        <v>45</v>
      </c>
      <c r="AH1043" t="s">
        <v>42</v>
      </c>
      <c r="AI1043" t="str">
        <f>"66298831189386"</f>
        <v>66298831189386</v>
      </c>
      <c r="AJ1043" t="str">
        <f>"CA350/400X19KS"</f>
        <v>CA350/400X19KS</v>
      </c>
      <c r="AK1043" t="s">
        <v>46</v>
      </c>
      <c r="AL1043" s="1">
        <v>44816.549895833334</v>
      </c>
      <c r="AM1043" t="s">
        <v>44</v>
      </c>
    </row>
    <row r="1044" spans="1:39" x14ac:dyDescent="0.2">
      <c r="A1044" t="s">
        <v>1059</v>
      </c>
      <c r="B1044" t="s">
        <v>40</v>
      </c>
      <c r="C1044" t="s">
        <v>1010</v>
      </c>
      <c r="D1044" t="s">
        <v>42</v>
      </c>
      <c r="E1044" t="s">
        <v>43</v>
      </c>
      <c r="F1044" t="s">
        <v>44</v>
      </c>
      <c r="G1044" t="s">
        <v>45</v>
      </c>
      <c r="AH1044" t="s">
        <v>42</v>
      </c>
      <c r="AI1044" t="str">
        <f>"CA350X19DURO"</f>
        <v>CA350X19DURO</v>
      </c>
      <c r="AJ1044" t="str">
        <f>"CA350X19DURO"</f>
        <v>CA350X19DURO</v>
      </c>
      <c r="AK1044" t="s">
        <v>46</v>
      </c>
      <c r="AL1044" s="1">
        <v>45089.699872685182</v>
      </c>
      <c r="AM1044" t="s">
        <v>44</v>
      </c>
    </row>
    <row r="1045" spans="1:39" x14ac:dyDescent="0.2">
      <c r="A1045" t="s">
        <v>1060</v>
      </c>
      <c r="B1045" t="s">
        <v>40</v>
      </c>
      <c r="C1045" t="s">
        <v>1010</v>
      </c>
      <c r="D1045" t="s">
        <v>42</v>
      </c>
      <c r="E1045" t="s">
        <v>43</v>
      </c>
      <c r="F1045" t="s">
        <v>44</v>
      </c>
      <c r="G1045" t="s">
        <v>45</v>
      </c>
      <c r="AH1045" t="s">
        <v>42</v>
      </c>
      <c r="AI1045" t="str">
        <f>"CA400/460X19SR"</f>
        <v>CA400/460X19SR</v>
      </c>
      <c r="AJ1045" t="str">
        <f>"CA400/460X19SR"</f>
        <v>CA400/460X19SR</v>
      </c>
      <c r="AK1045" t="s">
        <v>46</v>
      </c>
      <c r="AL1045" s="1">
        <v>44988.863020833334</v>
      </c>
      <c r="AM1045" t="s">
        <v>44</v>
      </c>
    </row>
    <row r="1046" spans="1:39" x14ac:dyDescent="0.2">
      <c r="A1046" t="s">
        <v>1061</v>
      </c>
      <c r="B1046" t="s">
        <v>40</v>
      </c>
      <c r="C1046" t="s">
        <v>1010</v>
      </c>
      <c r="D1046" t="s">
        <v>42</v>
      </c>
      <c r="E1046" t="s">
        <v>43</v>
      </c>
      <c r="F1046" t="s">
        <v>44</v>
      </c>
      <c r="G1046" t="s">
        <v>45</v>
      </c>
      <c r="AH1046" t="s">
        <v>42</v>
      </c>
      <c r="AI1046" t="str">
        <f>"66298831717906"</f>
        <v>66298831717906</v>
      </c>
      <c r="AJ1046" t="str">
        <f>"CA275/300X21"</f>
        <v>CA275/300X21</v>
      </c>
      <c r="AK1046" t="s">
        <v>46</v>
      </c>
      <c r="AL1046" s="1">
        <v>44816.54996527778</v>
      </c>
      <c r="AM1046" t="s">
        <v>44</v>
      </c>
    </row>
    <row r="1047" spans="1:39" x14ac:dyDescent="0.2">
      <c r="A1047" t="s">
        <v>1062</v>
      </c>
      <c r="B1047" t="s">
        <v>40</v>
      </c>
      <c r="C1047" t="s">
        <v>1010</v>
      </c>
      <c r="D1047" t="s">
        <v>42</v>
      </c>
      <c r="E1047" t="s">
        <v>43</v>
      </c>
      <c r="F1047" t="s">
        <v>44</v>
      </c>
      <c r="G1047" t="s">
        <v>45</v>
      </c>
      <c r="AH1047" t="s">
        <v>42</v>
      </c>
      <c r="AI1047" t="str">
        <f>"CA275/300X21DURO"</f>
        <v>CA275/300X21DURO</v>
      </c>
      <c r="AJ1047" t="str">
        <f>"CA275/300X21DURO"</f>
        <v>CA275/300X21DURO</v>
      </c>
      <c r="AK1047" t="s">
        <v>46</v>
      </c>
      <c r="AL1047" s="1">
        <v>45089.705972222226</v>
      </c>
      <c r="AM1047" t="s">
        <v>44</v>
      </c>
    </row>
    <row r="1048" spans="1:39" x14ac:dyDescent="0.2">
      <c r="A1048" t="s">
        <v>1063</v>
      </c>
      <c r="B1048" t="s">
        <v>40</v>
      </c>
      <c r="C1048" t="s">
        <v>1010</v>
      </c>
      <c r="D1048" t="s">
        <v>42</v>
      </c>
      <c r="E1048" t="s">
        <v>43</v>
      </c>
      <c r="F1048" t="s">
        <v>44</v>
      </c>
      <c r="G1048" t="s">
        <v>45</v>
      </c>
      <c r="AH1048" t="s">
        <v>42</v>
      </c>
      <c r="AI1048" t="str">
        <f>"CA275/300X21JALYN"</f>
        <v>CA275/300X21JALYN</v>
      </c>
      <c r="AJ1048" t="str">
        <f>"CA275/300X21JALYN"</f>
        <v>CA275/300X21JALYN</v>
      </c>
      <c r="AK1048" t="s">
        <v>46</v>
      </c>
      <c r="AL1048" s="1">
        <v>45093.88689814815</v>
      </c>
      <c r="AM1048" t="s">
        <v>44</v>
      </c>
    </row>
    <row r="1049" spans="1:39" x14ac:dyDescent="0.2">
      <c r="A1049" t="s">
        <v>1064</v>
      </c>
      <c r="B1049" t="s">
        <v>40</v>
      </c>
      <c r="C1049" t="s">
        <v>1010</v>
      </c>
      <c r="D1049" t="s">
        <v>42</v>
      </c>
      <c r="E1049" t="s">
        <v>43</v>
      </c>
      <c r="F1049" t="s">
        <v>44</v>
      </c>
      <c r="G1049" t="s">
        <v>45</v>
      </c>
      <c r="AH1049" t="s">
        <v>42</v>
      </c>
      <c r="AI1049" t="str">
        <f>"CA275/300X21SR"</f>
        <v>CA275/300X21SR</v>
      </c>
      <c r="AJ1049" t="str">
        <f>"CA275/300X21SR"</f>
        <v>CA275/300X21SR</v>
      </c>
      <c r="AK1049" t="s">
        <v>46</v>
      </c>
      <c r="AL1049" s="1">
        <v>44919.694965277777</v>
      </c>
      <c r="AM1049" t="s">
        <v>44</v>
      </c>
    </row>
    <row r="1050" spans="1:39" x14ac:dyDescent="0.2">
      <c r="A1050" t="s">
        <v>1065</v>
      </c>
      <c r="B1050" t="s">
        <v>40</v>
      </c>
      <c r="C1050" t="s">
        <v>1010</v>
      </c>
      <c r="D1050" t="s">
        <v>42</v>
      </c>
      <c r="E1050" t="s">
        <v>43</v>
      </c>
      <c r="F1050" t="s">
        <v>44</v>
      </c>
      <c r="G1050" t="s">
        <v>45</v>
      </c>
      <c r="AH1050" t="s">
        <v>42</v>
      </c>
      <c r="AI1050" t="str">
        <f>"66298832175150"</f>
        <v>66298832175150</v>
      </c>
      <c r="AJ1050" t="str">
        <f>"CA275/300X21VN"</f>
        <v>CA275/300X21VN</v>
      </c>
      <c r="AK1050" t="s">
        <v>46</v>
      </c>
      <c r="AL1050" s="1">
        <v>44816.550011574072</v>
      </c>
      <c r="AM1050" t="s">
        <v>44</v>
      </c>
    </row>
    <row r="1051" spans="1:39" x14ac:dyDescent="0.2">
      <c r="A1051" t="s">
        <v>1066</v>
      </c>
      <c r="B1051" t="s">
        <v>48</v>
      </c>
      <c r="C1051" t="s">
        <v>1067</v>
      </c>
      <c r="D1051" t="s">
        <v>42</v>
      </c>
      <c r="E1051" t="s">
        <v>42</v>
      </c>
      <c r="F1051" t="s">
        <v>44</v>
      </c>
      <c r="G1051" t="s">
        <v>45</v>
      </c>
      <c r="H1051" t="s">
        <v>1068</v>
      </c>
      <c r="AH1051" t="s">
        <v>42</v>
      </c>
      <c r="AI1051" t="str">
        <f>"CM-AC-0-150"</f>
        <v>CM-AC-0-150</v>
      </c>
      <c r="AJ1051" t="str">
        <f>"CM-AC-0-150"</f>
        <v>CM-AC-0-150</v>
      </c>
      <c r="AK1051" t="s">
        <v>46</v>
      </c>
      <c r="AL1051" s="1">
        <v>44816.695173611108</v>
      </c>
      <c r="AM1051" t="s">
        <v>44</v>
      </c>
    </row>
    <row r="1052" spans="1:39" x14ac:dyDescent="0.2">
      <c r="A1052" t="s">
        <v>1066</v>
      </c>
      <c r="B1052" t="s">
        <v>48</v>
      </c>
      <c r="C1052" t="s">
        <v>1067</v>
      </c>
      <c r="D1052" t="s">
        <v>42</v>
      </c>
      <c r="E1052" t="s">
        <v>42</v>
      </c>
      <c r="F1052" t="s">
        <v>44</v>
      </c>
      <c r="G1052" t="s">
        <v>45</v>
      </c>
      <c r="H1052" t="s">
        <v>1069</v>
      </c>
      <c r="AH1052" t="s">
        <v>42</v>
      </c>
      <c r="AI1052" t="str">
        <f>"CM-AC-160-400"</f>
        <v>CM-AC-160-400</v>
      </c>
      <c r="AJ1052" t="str">
        <f>"CM-AC-160-400"</f>
        <v>CM-AC-160-400</v>
      </c>
      <c r="AK1052" t="s">
        <v>46</v>
      </c>
      <c r="AL1052" s="1">
        <v>44816.695405092592</v>
      </c>
      <c r="AM1052" t="s">
        <v>44</v>
      </c>
    </row>
    <row r="1053" spans="1:39" x14ac:dyDescent="0.2">
      <c r="A1053" t="s">
        <v>1066</v>
      </c>
      <c r="B1053" t="s">
        <v>48</v>
      </c>
      <c r="C1053" t="s">
        <v>1067</v>
      </c>
      <c r="D1053" t="s">
        <v>42</v>
      </c>
      <c r="E1053" t="s">
        <v>42</v>
      </c>
      <c r="F1053" t="s">
        <v>44</v>
      </c>
      <c r="G1053" t="s">
        <v>45</v>
      </c>
      <c r="H1053" t="s">
        <v>1070</v>
      </c>
      <c r="AH1053" t="s">
        <v>42</v>
      </c>
      <c r="AI1053" t="str">
        <f>"CM-AC-450-1000CC"</f>
        <v>CM-AC-450-1000CC</v>
      </c>
      <c r="AJ1053" t="str">
        <f>"CM-AC-450-1000CC"</f>
        <v>CM-AC-450-1000CC</v>
      </c>
      <c r="AK1053" t="s">
        <v>46</v>
      </c>
      <c r="AL1053" s="1">
        <v>44816.69568287037</v>
      </c>
      <c r="AM1053" t="s">
        <v>44</v>
      </c>
    </row>
    <row r="1054" spans="1:39" x14ac:dyDescent="0.2">
      <c r="A1054" t="s">
        <v>1071</v>
      </c>
      <c r="B1054" t="s">
        <v>48</v>
      </c>
      <c r="C1054" t="s">
        <v>1067</v>
      </c>
      <c r="D1054" t="s">
        <v>42</v>
      </c>
      <c r="E1054" t="s">
        <v>42</v>
      </c>
      <c r="F1054" t="s">
        <v>44</v>
      </c>
      <c r="G1054" t="s">
        <v>45</v>
      </c>
      <c r="H1054" t="s">
        <v>1068</v>
      </c>
      <c r="AH1054" t="s">
        <v>42</v>
      </c>
      <c r="AI1054" t="str">
        <f>"CM-AM-FD-0-150"</f>
        <v>CM-AM-FD-0-150</v>
      </c>
      <c r="AJ1054" t="str">
        <f>"CM-AM-FD-0-150"</f>
        <v>CM-AM-FD-0-150</v>
      </c>
      <c r="AK1054" t="s">
        <v>46</v>
      </c>
      <c r="AL1054" s="1">
        <v>44816.798680555556</v>
      </c>
      <c r="AM1054" t="s">
        <v>44</v>
      </c>
    </row>
    <row r="1055" spans="1:39" x14ac:dyDescent="0.2">
      <c r="A1055" t="s">
        <v>1071</v>
      </c>
      <c r="B1055" t="s">
        <v>48</v>
      </c>
      <c r="C1055" t="s">
        <v>1067</v>
      </c>
      <c r="D1055" t="s">
        <v>42</v>
      </c>
      <c r="E1055" t="s">
        <v>42</v>
      </c>
      <c r="F1055" t="s">
        <v>44</v>
      </c>
      <c r="G1055" t="s">
        <v>45</v>
      </c>
      <c r="H1055" t="s">
        <v>1069</v>
      </c>
      <c r="AH1055" t="s">
        <v>42</v>
      </c>
      <c r="AI1055" t="str">
        <f>"CM-AM-FD-160-400"</f>
        <v>CM-AM-FD-160-400</v>
      </c>
      <c r="AJ1055" t="str">
        <f>"CM-AM-FD-160-400"</f>
        <v>CM-AM-FD-160-400</v>
      </c>
      <c r="AK1055" t="s">
        <v>46</v>
      </c>
      <c r="AL1055" s="1">
        <v>44816.800208333334</v>
      </c>
      <c r="AM1055" t="s">
        <v>44</v>
      </c>
    </row>
    <row r="1056" spans="1:39" x14ac:dyDescent="0.2">
      <c r="A1056" t="s">
        <v>1071</v>
      </c>
      <c r="B1056" t="s">
        <v>48</v>
      </c>
      <c r="C1056" t="s">
        <v>1067</v>
      </c>
      <c r="D1056" t="s">
        <v>42</v>
      </c>
      <c r="E1056" t="s">
        <v>42</v>
      </c>
      <c r="F1056" t="s">
        <v>44</v>
      </c>
      <c r="G1056" t="s">
        <v>45</v>
      </c>
      <c r="H1056" t="s">
        <v>1070</v>
      </c>
      <c r="AH1056" t="s">
        <v>42</v>
      </c>
      <c r="AI1056" t="str">
        <f>"CM-AM-FD-450-1000"</f>
        <v>CM-AM-FD-450-1000</v>
      </c>
      <c r="AJ1056" t="str">
        <f>"CM-AM-FD-450-1000"</f>
        <v>CM-AM-FD-450-1000</v>
      </c>
      <c r="AK1056" t="s">
        <v>46</v>
      </c>
      <c r="AL1056" s="1">
        <v>44816.800486111111</v>
      </c>
      <c r="AM1056" t="s">
        <v>44</v>
      </c>
    </row>
    <row r="1057" spans="1:39" x14ac:dyDescent="0.2">
      <c r="A1057" t="s">
        <v>1072</v>
      </c>
      <c r="B1057" t="s">
        <v>40</v>
      </c>
      <c r="C1057" t="s">
        <v>1067</v>
      </c>
      <c r="D1057" t="s">
        <v>42</v>
      </c>
      <c r="E1057" t="s">
        <v>43</v>
      </c>
      <c r="F1057" t="s">
        <v>44</v>
      </c>
      <c r="G1057" t="s">
        <v>45</v>
      </c>
      <c r="H1057" t="s">
        <v>1068</v>
      </c>
      <c r="AH1057" t="s">
        <v>42</v>
      </c>
      <c r="AI1057" t="str">
        <f>"CM-BM-FR-0-150"</f>
        <v>CM-BM-FR-0-150</v>
      </c>
      <c r="AJ1057" t="str">
        <f>"CM-BM-FR-0-150"</f>
        <v>CM-BM-FR-0-150</v>
      </c>
      <c r="AK1057" t="s">
        <v>46</v>
      </c>
      <c r="AL1057" s="1">
        <v>44816.795972222222</v>
      </c>
      <c r="AM1057" t="s">
        <v>44</v>
      </c>
    </row>
    <row r="1058" spans="1:39" x14ac:dyDescent="0.2">
      <c r="A1058" t="s">
        <v>1072</v>
      </c>
      <c r="B1058" t="s">
        <v>40</v>
      </c>
      <c r="C1058" t="s">
        <v>1067</v>
      </c>
      <c r="D1058" t="s">
        <v>42</v>
      </c>
      <c r="E1058" t="s">
        <v>43</v>
      </c>
      <c r="F1058" t="s">
        <v>44</v>
      </c>
      <c r="G1058" t="s">
        <v>45</v>
      </c>
      <c r="H1058" t="s">
        <v>1069</v>
      </c>
      <c r="AH1058" t="s">
        <v>42</v>
      </c>
      <c r="AI1058" t="str">
        <f>"CM-BM-FR-160-400"</f>
        <v>CM-BM-FR-160-400</v>
      </c>
      <c r="AJ1058" t="str">
        <f>"CM-BM-FR-160-400"</f>
        <v>CM-BM-FR-160-400</v>
      </c>
      <c r="AK1058" t="s">
        <v>46</v>
      </c>
      <c r="AL1058" s="1">
        <v>44816.796435185184</v>
      </c>
      <c r="AM1058" t="s">
        <v>44</v>
      </c>
    </row>
    <row r="1059" spans="1:39" x14ac:dyDescent="0.2">
      <c r="A1059" t="s">
        <v>1072</v>
      </c>
      <c r="B1059" t="s">
        <v>40</v>
      </c>
      <c r="C1059" t="s">
        <v>1067</v>
      </c>
      <c r="D1059" t="s">
        <v>42</v>
      </c>
      <c r="E1059" t="s">
        <v>43</v>
      </c>
      <c r="F1059" t="s">
        <v>44</v>
      </c>
      <c r="G1059" t="s">
        <v>45</v>
      </c>
      <c r="H1059" t="s">
        <v>1070</v>
      </c>
      <c r="AH1059" t="s">
        <v>42</v>
      </c>
      <c r="AI1059" t="str">
        <f>"CM-BM-FR-450-1000"</f>
        <v>CM-BM-FR-450-1000</v>
      </c>
      <c r="AJ1059" t="str">
        <f>"CM-BM-FR-450-1000"</f>
        <v>CM-BM-FR-450-1000</v>
      </c>
      <c r="AK1059" t="s">
        <v>46</v>
      </c>
      <c r="AL1059" s="1">
        <v>44816.796712962961</v>
      </c>
      <c r="AM1059" t="s">
        <v>44</v>
      </c>
    </row>
    <row r="1060" spans="1:39" x14ac:dyDescent="0.2">
      <c r="A1060" t="s">
        <v>1073</v>
      </c>
      <c r="B1060" t="s">
        <v>48</v>
      </c>
      <c r="C1060" t="s">
        <v>1067</v>
      </c>
      <c r="D1060" t="s">
        <v>42</v>
      </c>
      <c r="E1060" t="s">
        <v>42</v>
      </c>
      <c r="F1060" t="s">
        <v>44</v>
      </c>
      <c r="G1060" t="s">
        <v>45</v>
      </c>
      <c r="H1060" t="s">
        <v>1068</v>
      </c>
      <c r="AH1060" t="s">
        <v>42</v>
      </c>
      <c r="AI1060" t="str">
        <f>"CM-CB-FR-DL-0-150"</f>
        <v>CM-CB-FR-DL-0-150</v>
      </c>
      <c r="AJ1060" t="str">
        <f>"CM-CB-FR-DL-0-150"</f>
        <v>CM-CB-FR-DL-0-150</v>
      </c>
      <c r="AK1060" t="s">
        <v>46</v>
      </c>
      <c r="AL1060" s="1">
        <v>44816.766979166663</v>
      </c>
      <c r="AM1060" t="s">
        <v>44</v>
      </c>
    </row>
    <row r="1061" spans="1:39" x14ac:dyDescent="0.2">
      <c r="A1061" t="s">
        <v>1073</v>
      </c>
      <c r="B1061" t="s">
        <v>48</v>
      </c>
      <c r="C1061" t="s">
        <v>1067</v>
      </c>
      <c r="D1061" t="s">
        <v>42</v>
      </c>
      <c r="E1061" t="s">
        <v>42</v>
      </c>
      <c r="F1061" t="s">
        <v>44</v>
      </c>
      <c r="G1061" t="s">
        <v>45</v>
      </c>
      <c r="H1061" t="s">
        <v>1069</v>
      </c>
      <c r="AH1061" t="s">
        <v>42</v>
      </c>
      <c r="AI1061" t="str">
        <f>"CM-CB-FR-DL-160-400"</f>
        <v>CM-CB-FR-DL-160-400</v>
      </c>
      <c r="AJ1061" t="str">
        <f>"CM-CB-FR-DL-160-400"</f>
        <v>CM-CB-FR-DL-160-400</v>
      </c>
      <c r="AK1061" t="s">
        <v>46</v>
      </c>
      <c r="AL1061" s="1">
        <v>44816.767210648148</v>
      </c>
      <c r="AM1061" t="s">
        <v>44</v>
      </c>
    </row>
    <row r="1062" spans="1:39" x14ac:dyDescent="0.2">
      <c r="A1062" t="s">
        <v>1074</v>
      </c>
      <c r="B1062" t="s">
        <v>48</v>
      </c>
      <c r="C1062" t="s">
        <v>1067</v>
      </c>
      <c r="D1062" t="s">
        <v>42</v>
      </c>
      <c r="E1062" t="s">
        <v>42</v>
      </c>
      <c r="F1062" t="s">
        <v>44</v>
      </c>
      <c r="G1062" t="s">
        <v>45</v>
      </c>
      <c r="H1062" t="s">
        <v>1068</v>
      </c>
      <c r="AH1062" t="s">
        <v>42</v>
      </c>
      <c r="AI1062" t="str">
        <f>"CM-CB-FR-TR-SC-0-150"</f>
        <v>CM-CB-FR-TR-SC-0-150</v>
      </c>
      <c r="AJ1062" t="str">
        <f>"CM-CB-FR-TR-SC-0-150"</f>
        <v>CM-CB-FR-TR-SC-0-150</v>
      </c>
      <c r="AK1062" t="s">
        <v>46</v>
      </c>
      <c r="AL1062" s="1">
        <v>44816.76835648148</v>
      </c>
      <c r="AM1062" t="s">
        <v>44</v>
      </c>
    </row>
    <row r="1063" spans="1:39" x14ac:dyDescent="0.2">
      <c r="A1063" t="s">
        <v>1074</v>
      </c>
      <c r="B1063" t="s">
        <v>48</v>
      </c>
      <c r="C1063" t="s">
        <v>1067</v>
      </c>
      <c r="D1063" t="s">
        <v>42</v>
      </c>
      <c r="E1063" t="s">
        <v>42</v>
      </c>
      <c r="F1063" t="s">
        <v>44</v>
      </c>
      <c r="G1063" t="s">
        <v>45</v>
      </c>
      <c r="H1063" t="s">
        <v>1069</v>
      </c>
      <c r="AH1063" t="s">
        <v>42</v>
      </c>
      <c r="AI1063" t="str">
        <f>"CM-CB-FR-TR-SC-160-400"</f>
        <v>CM-CB-FR-TR-SC-160-400</v>
      </c>
      <c r="AJ1063" t="str">
        <f>"CM-CB-FR-TR-SC-160-400"</f>
        <v>CM-CB-FR-TR-SC-160-400</v>
      </c>
      <c r="AK1063" t="s">
        <v>46</v>
      </c>
      <c r="AL1063" s="1">
        <v>44816.768541666665</v>
      </c>
      <c r="AM1063" t="s">
        <v>44</v>
      </c>
    </row>
    <row r="1064" spans="1:39" x14ac:dyDescent="0.2">
      <c r="A1064" t="s">
        <v>1075</v>
      </c>
      <c r="B1064" t="s">
        <v>48</v>
      </c>
      <c r="C1064" t="s">
        <v>1067</v>
      </c>
      <c r="D1064" t="s">
        <v>42</v>
      </c>
      <c r="E1064" t="s">
        <v>42</v>
      </c>
      <c r="F1064" t="s">
        <v>44</v>
      </c>
      <c r="G1064" t="s">
        <v>45</v>
      </c>
      <c r="H1064" t="s">
        <v>1068</v>
      </c>
      <c r="AH1064" t="s">
        <v>42</v>
      </c>
      <c r="AI1064" t="str">
        <f>"CM-FL-AR-0-150"</f>
        <v>CM-FL-AR-0-150</v>
      </c>
      <c r="AJ1064" t="str">
        <f>"CM-FL-AR-0-150"</f>
        <v>CM-FL-AR-0-150</v>
      </c>
      <c r="AK1064" t="s">
        <v>46</v>
      </c>
      <c r="AL1064" s="1">
        <v>44816.815532407411</v>
      </c>
      <c r="AM1064" t="s">
        <v>44</v>
      </c>
    </row>
    <row r="1065" spans="1:39" x14ac:dyDescent="0.2">
      <c r="A1065" t="s">
        <v>1075</v>
      </c>
      <c r="B1065" t="s">
        <v>48</v>
      </c>
      <c r="C1065" t="s">
        <v>1067</v>
      </c>
      <c r="D1065" t="s">
        <v>42</v>
      </c>
      <c r="E1065" t="s">
        <v>42</v>
      </c>
      <c r="F1065" t="s">
        <v>44</v>
      </c>
      <c r="G1065" t="s">
        <v>45</v>
      </c>
      <c r="H1065" t="s">
        <v>1069</v>
      </c>
      <c r="AH1065" t="s">
        <v>42</v>
      </c>
      <c r="AI1065" t="str">
        <f>"CM-FL-AR-160-400"</f>
        <v>CM-FL-AR-160-400</v>
      </c>
      <c r="AJ1065" t="str">
        <f>"CM-FL-AR-160-400"</f>
        <v>CM-FL-AR-160-400</v>
      </c>
      <c r="AK1065" t="s">
        <v>46</v>
      </c>
      <c r="AL1065" s="1">
        <v>44816.815775462965</v>
      </c>
      <c r="AM1065" t="s">
        <v>44</v>
      </c>
    </row>
    <row r="1066" spans="1:39" x14ac:dyDescent="0.2">
      <c r="A1066" t="s">
        <v>1075</v>
      </c>
      <c r="B1066" t="s">
        <v>48</v>
      </c>
      <c r="C1066" t="s">
        <v>1067</v>
      </c>
      <c r="D1066" t="s">
        <v>42</v>
      </c>
      <c r="E1066" t="s">
        <v>42</v>
      </c>
      <c r="F1066" t="s">
        <v>44</v>
      </c>
      <c r="G1066" t="s">
        <v>45</v>
      </c>
      <c r="H1066" t="s">
        <v>1070</v>
      </c>
      <c r="AH1066" t="s">
        <v>42</v>
      </c>
      <c r="AI1066" t="str">
        <f>"CM-FL-AR-450-1000"</f>
        <v>CM-FL-AR-450-1000</v>
      </c>
      <c r="AJ1066" t="str">
        <f>"CM-FL-AR-450-1000"</f>
        <v>CM-FL-AR-450-1000</v>
      </c>
      <c r="AK1066" t="s">
        <v>46</v>
      </c>
      <c r="AL1066" s="1">
        <v>44816.816041666665</v>
      </c>
      <c r="AM1066" t="s">
        <v>44</v>
      </c>
    </row>
    <row r="1067" spans="1:39" x14ac:dyDescent="0.2">
      <c r="A1067" t="s">
        <v>1076</v>
      </c>
      <c r="B1067" t="s">
        <v>48</v>
      </c>
      <c r="C1067" t="s">
        <v>1067</v>
      </c>
      <c r="D1067" t="s">
        <v>42</v>
      </c>
      <c r="E1067" t="s">
        <v>42</v>
      </c>
      <c r="F1067" t="s">
        <v>44</v>
      </c>
      <c r="G1067" t="s">
        <v>45</v>
      </c>
      <c r="H1067" t="s">
        <v>1068</v>
      </c>
      <c r="AH1067" t="s">
        <v>42</v>
      </c>
      <c r="AI1067" t="str">
        <f>"CM-FC-DL-0-150"</f>
        <v>CM-FC-DL-0-150</v>
      </c>
      <c r="AJ1067" t="str">
        <f>"CM-FC-DL-0-150"</f>
        <v>CM-FC-DL-0-150</v>
      </c>
      <c r="AK1067" t="s">
        <v>46</v>
      </c>
      <c r="AL1067" s="1">
        <v>44816.808749999997</v>
      </c>
      <c r="AM1067" t="s">
        <v>44</v>
      </c>
    </row>
    <row r="1068" spans="1:39" x14ac:dyDescent="0.2">
      <c r="A1068" t="s">
        <v>1076</v>
      </c>
      <c r="B1068" t="s">
        <v>48</v>
      </c>
      <c r="C1068" t="s">
        <v>1067</v>
      </c>
      <c r="D1068" t="s">
        <v>42</v>
      </c>
      <c r="E1068" t="s">
        <v>42</v>
      </c>
      <c r="F1068" t="s">
        <v>44</v>
      </c>
      <c r="G1068" t="s">
        <v>45</v>
      </c>
      <c r="H1068" t="s">
        <v>1069</v>
      </c>
      <c r="AH1068" t="s">
        <v>42</v>
      </c>
      <c r="AI1068" t="str">
        <f>"CM-FC-DL-160-400"</f>
        <v>CM-FC-DL-160-400</v>
      </c>
      <c r="AJ1068" t="str">
        <f>"CM-FC-DL-160-400"</f>
        <v>CM-FC-DL-160-400</v>
      </c>
      <c r="AK1068" t="s">
        <v>46</v>
      </c>
      <c r="AL1068" s="1">
        <v>44816.80909722222</v>
      </c>
      <c r="AM1068" t="s">
        <v>44</v>
      </c>
    </row>
    <row r="1069" spans="1:39" x14ac:dyDescent="0.2">
      <c r="A1069" t="s">
        <v>1076</v>
      </c>
      <c r="B1069" t="s">
        <v>48</v>
      </c>
      <c r="C1069" t="s">
        <v>1067</v>
      </c>
      <c r="D1069" t="s">
        <v>42</v>
      </c>
      <c r="E1069" t="s">
        <v>42</v>
      </c>
      <c r="F1069" t="s">
        <v>44</v>
      </c>
      <c r="G1069" t="s">
        <v>45</v>
      </c>
      <c r="H1069" t="s">
        <v>1070</v>
      </c>
      <c r="AH1069" t="s">
        <v>42</v>
      </c>
      <c r="AI1069" t="str">
        <f>"CM-FC-DL-450-1000"</f>
        <v>CM-FC-DL-450-1000</v>
      </c>
      <c r="AJ1069" t="str">
        <f>"CM-FC-DL-450-1000"</f>
        <v>CM-FC-DL-450-1000</v>
      </c>
      <c r="AK1069" t="s">
        <v>46</v>
      </c>
      <c r="AL1069" s="1">
        <v>44816.809351851851</v>
      </c>
      <c r="AM1069" t="s">
        <v>44</v>
      </c>
    </row>
    <row r="1070" spans="1:39" x14ac:dyDescent="0.2">
      <c r="A1070" t="s">
        <v>1077</v>
      </c>
      <c r="B1070" t="s">
        <v>40</v>
      </c>
      <c r="C1070" t="s">
        <v>1067</v>
      </c>
      <c r="D1070" t="s">
        <v>42</v>
      </c>
      <c r="E1070" t="s">
        <v>43</v>
      </c>
      <c r="F1070" t="s">
        <v>44</v>
      </c>
      <c r="G1070" t="s">
        <v>45</v>
      </c>
      <c r="H1070" t="s">
        <v>1068</v>
      </c>
      <c r="AH1070" t="s">
        <v>42</v>
      </c>
      <c r="AI1070" t="str">
        <f>"CM-FS-CR-0-150"</f>
        <v>CM-FS-CR-0-150</v>
      </c>
      <c r="AJ1070" t="str">
        <f>"CM-FS-CR-0-150"</f>
        <v>CM-FS-CR-0-150</v>
      </c>
      <c r="AK1070" t="s">
        <v>46</v>
      </c>
      <c r="AL1070" s="1">
        <v>44816.812060185184</v>
      </c>
      <c r="AM1070" t="s">
        <v>44</v>
      </c>
    </row>
    <row r="1071" spans="1:39" x14ac:dyDescent="0.2">
      <c r="A1071" t="s">
        <v>1077</v>
      </c>
      <c r="B1071" t="s">
        <v>40</v>
      </c>
      <c r="C1071" t="s">
        <v>1067</v>
      </c>
      <c r="D1071" t="s">
        <v>42</v>
      </c>
      <c r="E1071" t="s">
        <v>43</v>
      </c>
      <c r="F1071" t="s">
        <v>44</v>
      </c>
      <c r="G1071" t="s">
        <v>45</v>
      </c>
      <c r="H1071" t="s">
        <v>1069</v>
      </c>
      <c r="AH1071" t="s">
        <v>42</v>
      </c>
      <c r="AI1071" t="str">
        <f>"CM-FS-CR-160-400"</f>
        <v>CM-FS-CR-160-400</v>
      </c>
      <c r="AJ1071" t="str">
        <f>"CM-FS-CR-160-400"</f>
        <v>CM-FS-CR-160-400</v>
      </c>
      <c r="AK1071" t="s">
        <v>46</v>
      </c>
      <c r="AL1071" s="1">
        <v>44816.813715277778</v>
      </c>
      <c r="AM1071" t="s">
        <v>44</v>
      </c>
    </row>
    <row r="1072" spans="1:39" x14ac:dyDescent="0.2">
      <c r="A1072" t="s">
        <v>1077</v>
      </c>
      <c r="B1072" t="s">
        <v>40</v>
      </c>
      <c r="C1072" t="s">
        <v>1067</v>
      </c>
      <c r="D1072" t="s">
        <v>42</v>
      </c>
      <c r="E1072" t="s">
        <v>43</v>
      </c>
      <c r="F1072" t="s">
        <v>44</v>
      </c>
      <c r="G1072" t="s">
        <v>45</v>
      </c>
      <c r="H1072" t="s">
        <v>1070</v>
      </c>
      <c r="AH1072" t="s">
        <v>42</v>
      </c>
      <c r="AI1072" t="str">
        <f>"CM-FS-CR-450-1000"</f>
        <v>CM-FS-CR-450-1000</v>
      </c>
      <c r="AJ1072" t="str">
        <f>"CM-FS-CR-450-1000"</f>
        <v>CM-FS-CR-450-1000</v>
      </c>
      <c r="AK1072" t="s">
        <v>46</v>
      </c>
      <c r="AL1072" s="1">
        <v>44816.814895833333</v>
      </c>
      <c r="AM1072" t="s">
        <v>44</v>
      </c>
    </row>
    <row r="1073" spans="1:39" x14ac:dyDescent="0.2">
      <c r="A1073" t="s">
        <v>1078</v>
      </c>
      <c r="B1073" t="s">
        <v>48</v>
      </c>
      <c r="C1073" t="s">
        <v>1067</v>
      </c>
      <c r="D1073" t="s">
        <v>42</v>
      </c>
      <c r="E1073" t="s">
        <v>42</v>
      </c>
      <c r="F1073" t="s">
        <v>44</v>
      </c>
      <c r="G1073" t="s">
        <v>45</v>
      </c>
      <c r="H1073" t="s">
        <v>1068</v>
      </c>
      <c r="AH1073" t="s">
        <v>42</v>
      </c>
      <c r="AI1073" t="str">
        <f>"CM-FC-SN-0-150"</f>
        <v>CM-FC-SN-0-150</v>
      </c>
      <c r="AJ1073" t="str">
        <f>"CM-FC-SN-0-150"</f>
        <v>CM-FC-SN-0-150</v>
      </c>
      <c r="AK1073" t="s">
        <v>46</v>
      </c>
      <c r="AL1073" s="1">
        <v>44816.811145833337</v>
      </c>
      <c r="AM1073" t="s">
        <v>44</v>
      </c>
    </row>
    <row r="1074" spans="1:39" x14ac:dyDescent="0.2">
      <c r="A1074" t="s">
        <v>1078</v>
      </c>
      <c r="B1074" t="s">
        <v>48</v>
      </c>
      <c r="C1074" t="s">
        <v>1067</v>
      </c>
      <c r="D1074" t="s">
        <v>42</v>
      </c>
      <c r="E1074" t="s">
        <v>42</v>
      </c>
      <c r="F1074" t="s">
        <v>44</v>
      </c>
      <c r="G1074" t="s">
        <v>45</v>
      </c>
      <c r="H1074" t="s">
        <v>1069</v>
      </c>
      <c r="AH1074" t="s">
        <v>42</v>
      </c>
      <c r="AI1074" t="str">
        <f>"CM-FC-SN-160-400"</f>
        <v>CM-FC-SN-160-400</v>
      </c>
      <c r="AJ1074" t="str">
        <f>"CM-FC-SN-160-400"</f>
        <v>CM-FC-SN-160-400</v>
      </c>
      <c r="AK1074" t="s">
        <v>46</v>
      </c>
      <c r="AL1074" s="1">
        <v>44816.811342592591</v>
      </c>
      <c r="AM1074" t="s">
        <v>44</v>
      </c>
    </row>
    <row r="1075" spans="1:39" x14ac:dyDescent="0.2">
      <c r="A1075" t="s">
        <v>1078</v>
      </c>
      <c r="B1075" t="s">
        <v>48</v>
      </c>
      <c r="C1075" t="s">
        <v>1067</v>
      </c>
      <c r="D1075" t="s">
        <v>42</v>
      </c>
      <c r="E1075" t="s">
        <v>42</v>
      </c>
      <c r="F1075" t="s">
        <v>44</v>
      </c>
      <c r="G1075" t="s">
        <v>45</v>
      </c>
      <c r="H1075" t="s">
        <v>1070</v>
      </c>
      <c r="AH1075" t="s">
        <v>42</v>
      </c>
      <c r="AI1075" t="str">
        <f>"CM-FC-SN-450-1000"</f>
        <v>CM-FC-SN-450-1000</v>
      </c>
      <c r="AJ1075" t="str">
        <f>"CM-FC-SN-450-1000"</f>
        <v>CM-FC-SN-450-1000</v>
      </c>
      <c r="AK1075" t="s">
        <v>46</v>
      </c>
      <c r="AL1075" s="1">
        <v>44816.811516203707</v>
      </c>
      <c r="AM1075" t="s">
        <v>44</v>
      </c>
    </row>
    <row r="1076" spans="1:39" x14ac:dyDescent="0.2">
      <c r="A1076" t="s">
        <v>1079</v>
      </c>
      <c r="B1076" t="s">
        <v>40</v>
      </c>
      <c r="C1076" t="s">
        <v>1067</v>
      </c>
      <c r="D1076" t="s">
        <v>42</v>
      </c>
      <c r="E1076" t="s">
        <v>43</v>
      </c>
      <c r="F1076" t="s">
        <v>44</v>
      </c>
      <c r="G1076" t="s">
        <v>45</v>
      </c>
      <c r="H1076" t="s">
        <v>1068</v>
      </c>
      <c r="AH1076" t="s">
        <v>42</v>
      </c>
      <c r="AI1076" t="str">
        <f>"CM-MN-FE-0-150"</f>
        <v>CM-MN-FE-0-150</v>
      </c>
      <c r="AJ1076" t="str">
        <f>"CM-MN-FE-0-150"</f>
        <v>CM-MN-FE-0-150</v>
      </c>
      <c r="AK1076" t="s">
        <v>46</v>
      </c>
      <c r="AL1076" s="1">
        <v>44816.791087962964</v>
      </c>
      <c r="AM1076" t="s">
        <v>44</v>
      </c>
    </row>
    <row r="1077" spans="1:39" x14ac:dyDescent="0.2">
      <c r="A1077" t="s">
        <v>1079</v>
      </c>
      <c r="B1077" t="s">
        <v>40</v>
      </c>
      <c r="C1077" t="s">
        <v>1067</v>
      </c>
      <c r="D1077" t="s">
        <v>42</v>
      </c>
      <c r="E1077" t="s">
        <v>43</v>
      </c>
      <c r="F1077" t="s">
        <v>44</v>
      </c>
      <c r="G1077" t="s">
        <v>45</v>
      </c>
      <c r="H1077" t="s">
        <v>1069</v>
      </c>
      <c r="AH1077" t="s">
        <v>42</v>
      </c>
      <c r="AI1077" t="str">
        <f>"CM-MN-FE-160-400"</f>
        <v>CM-MN-FE-160-400</v>
      </c>
      <c r="AJ1077" t="str">
        <f>"CM-MN-FE-160-400"</f>
        <v>CM-MN-FE-160-400</v>
      </c>
      <c r="AK1077" t="s">
        <v>46</v>
      </c>
      <c r="AL1077" s="1">
        <v>44816.791273148148</v>
      </c>
      <c r="AM1077" t="s">
        <v>44</v>
      </c>
    </row>
    <row r="1078" spans="1:39" x14ac:dyDescent="0.2">
      <c r="A1078" t="s">
        <v>1079</v>
      </c>
      <c r="B1078" t="s">
        <v>40</v>
      </c>
      <c r="C1078" t="s">
        <v>1067</v>
      </c>
      <c r="D1078" t="s">
        <v>42</v>
      </c>
      <c r="E1078" t="s">
        <v>43</v>
      </c>
      <c r="F1078" t="s">
        <v>44</v>
      </c>
      <c r="G1078" t="s">
        <v>45</v>
      </c>
      <c r="H1078" t="s">
        <v>1070</v>
      </c>
      <c r="AH1078" t="s">
        <v>42</v>
      </c>
      <c r="AI1078" t="str">
        <f>"CM-MN-FE-450-1000"</f>
        <v>CM-MN-FE-450-1000</v>
      </c>
      <c r="AJ1078" t="str">
        <f>"CM-MN-FE-450-1000"</f>
        <v>CM-MN-FE-450-1000</v>
      </c>
      <c r="AK1078" t="s">
        <v>46</v>
      </c>
      <c r="AL1078" s="1">
        <v>44816.79146990741</v>
      </c>
      <c r="AM1078" t="s">
        <v>44</v>
      </c>
    </row>
    <row r="1079" spans="1:39" x14ac:dyDescent="0.2">
      <c r="A1079" t="s">
        <v>1080</v>
      </c>
      <c r="B1079" t="s">
        <v>40</v>
      </c>
      <c r="C1079" t="s">
        <v>1067</v>
      </c>
      <c r="D1079" t="s">
        <v>42</v>
      </c>
      <c r="E1079" t="s">
        <v>43</v>
      </c>
      <c r="F1079" t="s">
        <v>44</v>
      </c>
      <c r="G1079" t="s">
        <v>45</v>
      </c>
      <c r="H1079" t="s">
        <v>1068</v>
      </c>
      <c r="AH1079" t="s">
        <v>42</v>
      </c>
      <c r="AI1079" t="str">
        <f>"CM-MR-EF-0-150"</f>
        <v>CM-MR-EF-0-150</v>
      </c>
      <c r="AJ1079" t="str">
        <f>"CM-MR-EF-0-150"</f>
        <v>CM-MR-EF-0-150</v>
      </c>
      <c r="AK1079" t="s">
        <v>46</v>
      </c>
      <c r="AL1079" s="1">
        <v>44816.792430555557</v>
      </c>
      <c r="AM1079" t="s">
        <v>44</v>
      </c>
    </row>
    <row r="1080" spans="1:39" x14ac:dyDescent="0.2">
      <c r="A1080" t="s">
        <v>1080</v>
      </c>
      <c r="B1080" t="s">
        <v>40</v>
      </c>
      <c r="C1080" t="s">
        <v>1067</v>
      </c>
      <c r="D1080" t="s">
        <v>42</v>
      </c>
      <c r="E1080" t="s">
        <v>43</v>
      </c>
      <c r="F1080" t="s">
        <v>44</v>
      </c>
      <c r="G1080" t="s">
        <v>45</v>
      </c>
      <c r="H1080" t="s">
        <v>1069</v>
      </c>
      <c r="AH1080" t="s">
        <v>42</v>
      </c>
      <c r="AI1080" t="str">
        <f>"CM-MR-EF-160-400"</f>
        <v>CM-MR-EF-160-400</v>
      </c>
      <c r="AJ1080" t="str">
        <f>"CM-MR-EF-160-400"</f>
        <v>CM-MR-EF-160-400</v>
      </c>
      <c r="AK1080" t="s">
        <v>46</v>
      </c>
      <c r="AL1080" s="1">
        <v>44816.792962962965</v>
      </c>
      <c r="AM1080" t="s">
        <v>44</v>
      </c>
    </row>
    <row r="1081" spans="1:39" x14ac:dyDescent="0.2">
      <c r="A1081" t="s">
        <v>1080</v>
      </c>
      <c r="B1081" t="s">
        <v>40</v>
      </c>
      <c r="C1081" t="s">
        <v>1067</v>
      </c>
      <c r="D1081" t="s">
        <v>42</v>
      </c>
      <c r="E1081" t="s">
        <v>43</v>
      </c>
      <c r="F1081" t="s">
        <v>44</v>
      </c>
      <c r="G1081" t="s">
        <v>45</v>
      </c>
      <c r="H1081" t="s">
        <v>1070</v>
      </c>
      <c r="AH1081" t="s">
        <v>42</v>
      </c>
      <c r="AI1081" t="str">
        <f>"CM-MR-EF-450-1000"</f>
        <v>CM-MR-EF-450-1000</v>
      </c>
      <c r="AJ1081" t="str">
        <f>"CM-MR-EF-450-1000"</f>
        <v>CM-MR-EF-450-1000</v>
      </c>
      <c r="AK1081" t="s">
        <v>46</v>
      </c>
      <c r="AL1081" s="1">
        <v>44816.793379629627</v>
      </c>
      <c r="AM1081" t="s">
        <v>44</v>
      </c>
    </row>
    <row r="1082" spans="1:39" x14ac:dyDescent="0.2">
      <c r="A1082" t="s">
        <v>1081</v>
      </c>
      <c r="B1082" t="s">
        <v>48</v>
      </c>
      <c r="C1082" t="s">
        <v>1067</v>
      </c>
      <c r="D1082" t="s">
        <v>42</v>
      </c>
      <c r="E1082" t="s">
        <v>42</v>
      </c>
      <c r="F1082" t="s">
        <v>44</v>
      </c>
      <c r="G1082" t="s">
        <v>45</v>
      </c>
      <c r="H1082" t="s">
        <v>1068</v>
      </c>
      <c r="AH1082" t="s">
        <v>42</v>
      </c>
      <c r="AI1082" t="str">
        <f>"CM-NC-DL-0-150"</f>
        <v>CM-NC-DL-0-150</v>
      </c>
      <c r="AJ1082" t="str">
        <f>"CM-NC-DL-0-150"</f>
        <v>CM-NC-DL-0-150</v>
      </c>
      <c r="AK1082" t="s">
        <v>46</v>
      </c>
      <c r="AL1082" s="1">
        <v>44816.69940972222</v>
      </c>
      <c r="AM1082" t="s">
        <v>44</v>
      </c>
    </row>
    <row r="1083" spans="1:39" x14ac:dyDescent="0.2">
      <c r="A1083" t="s">
        <v>1081</v>
      </c>
      <c r="B1083" t="s">
        <v>48</v>
      </c>
      <c r="C1083" t="s">
        <v>1067</v>
      </c>
      <c r="D1083" t="s">
        <v>42</v>
      </c>
      <c r="E1083" t="s">
        <v>42</v>
      </c>
      <c r="F1083" t="s">
        <v>44</v>
      </c>
      <c r="G1083" t="s">
        <v>45</v>
      </c>
      <c r="H1083" t="s">
        <v>1069</v>
      </c>
      <c r="AH1083" t="s">
        <v>42</v>
      </c>
      <c r="AI1083" t="str">
        <f>"CM-NC-DL-160-400"</f>
        <v>CM-NC-DL-160-400</v>
      </c>
      <c r="AJ1083" t="str">
        <f>"CM-NC-DL-160-400"</f>
        <v>CM-NC-DL-160-400</v>
      </c>
      <c r="AK1083" t="s">
        <v>46</v>
      </c>
      <c r="AL1083" s="1">
        <v>44816.699699074074</v>
      </c>
      <c r="AM1083" t="s">
        <v>44</v>
      </c>
    </row>
    <row r="1084" spans="1:39" x14ac:dyDescent="0.2">
      <c r="A1084" t="s">
        <v>1081</v>
      </c>
      <c r="B1084" t="s">
        <v>48</v>
      </c>
      <c r="C1084" t="s">
        <v>1067</v>
      </c>
      <c r="D1084" t="s">
        <v>42</v>
      </c>
      <c r="E1084" t="s">
        <v>42</v>
      </c>
      <c r="F1084" t="s">
        <v>44</v>
      </c>
      <c r="G1084" t="s">
        <v>45</v>
      </c>
      <c r="H1084" t="s">
        <v>1070</v>
      </c>
      <c r="AH1084" t="s">
        <v>42</v>
      </c>
      <c r="AI1084" t="str">
        <f>"CM-NC-DL-450-1000"</f>
        <v>CM-NC-DL-450-1000</v>
      </c>
      <c r="AJ1084" t="str">
        <f>"CM-NC-DL-450-1000"</f>
        <v>CM-NC-DL-450-1000</v>
      </c>
      <c r="AK1084" t="s">
        <v>46</v>
      </c>
      <c r="AL1084" s="1">
        <v>44816.699930555558</v>
      </c>
      <c r="AM1084" t="s">
        <v>44</v>
      </c>
    </row>
    <row r="1085" spans="1:39" x14ac:dyDescent="0.2">
      <c r="A1085" t="s">
        <v>1082</v>
      </c>
      <c r="B1085" t="s">
        <v>48</v>
      </c>
      <c r="C1085" t="s">
        <v>1067</v>
      </c>
      <c r="D1085" t="s">
        <v>42</v>
      </c>
      <c r="E1085" t="s">
        <v>42</v>
      </c>
      <c r="F1085" t="s">
        <v>44</v>
      </c>
      <c r="G1085" t="s">
        <v>45</v>
      </c>
      <c r="H1085" t="s">
        <v>1068</v>
      </c>
      <c r="AH1085" t="s">
        <v>42</v>
      </c>
      <c r="AI1085" t="str">
        <f>"CM-NC-TR-0-150	"</f>
        <v xml:space="preserve">CM-NC-TR-0-150	</v>
      </c>
      <c r="AJ1085" t="str">
        <f>"CM-NC-TR-0-150	"</f>
        <v xml:space="preserve">CM-NC-TR-0-150	</v>
      </c>
      <c r="AK1085" t="s">
        <v>46</v>
      </c>
      <c r="AL1085" s="1">
        <v>44816.702013888891</v>
      </c>
      <c r="AM1085" t="s">
        <v>44</v>
      </c>
    </row>
    <row r="1086" spans="1:39" x14ac:dyDescent="0.2">
      <c r="A1086" t="s">
        <v>1082</v>
      </c>
      <c r="B1086" t="s">
        <v>48</v>
      </c>
      <c r="C1086" t="s">
        <v>1067</v>
      </c>
      <c r="D1086" t="s">
        <v>42</v>
      </c>
      <c r="E1086" t="s">
        <v>42</v>
      </c>
      <c r="F1086" t="s">
        <v>44</v>
      </c>
      <c r="G1086" t="s">
        <v>45</v>
      </c>
      <c r="H1086" t="s">
        <v>1069</v>
      </c>
      <c r="AH1086" t="s">
        <v>42</v>
      </c>
      <c r="AI1086" t="str">
        <f>"CM-NC-TR-160-400"</f>
        <v>CM-NC-TR-160-400</v>
      </c>
      <c r="AJ1086" t="str">
        <f>"CM-NC-TR-160-400"</f>
        <v>CM-NC-TR-160-400</v>
      </c>
      <c r="AK1086" t="s">
        <v>46</v>
      </c>
      <c r="AL1086" s="1">
        <v>44816.702187499999</v>
      </c>
      <c r="AM1086" t="s">
        <v>44</v>
      </c>
    </row>
    <row r="1087" spans="1:39" x14ac:dyDescent="0.2">
      <c r="A1087" t="s">
        <v>1082</v>
      </c>
      <c r="B1087" t="s">
        <v>48</v>
      </c>
      <c r="C1087" t="s">
        <v>1067</v>
      </c>
      <c r="D1087" t="s">
        <v>42</v>
      </c>
      <c r="E1087" t="s">
        <v>42</v>
      </c>
      <c r="F1087" t="s">
        <v>44</v>
      </c>
      <c r="G1087" t="s">
        <v>45</v>
      </c>
      <c r="H1087" t="s">
        <v>1070</v>
      </c>
      <c r="AH1087" t="s">
        <v>42</v>
      </c>
      <c r="AI1087" t="str">
        <f>"CM-NC-TR-450-1000"</f>
        <v>CM-NC-TR-450-1000</v>
      </c>
      <c r="AJ1087" t="str">
        <f>"CM-NC-TR-450-1000"</f>
        <v>CM-NC-TR-450-1000</v>
      </c>
      <c r="AK1087" t="s">
        <v>46</v>
      </c>
      <c r="AL1087" s="1">
        <v>44816.702361111114</v>
      </c>
      <c r="AM1087" t="s">
        <v>44</v>
      </c>
    </row>
    <row r="1088" spans="1:39" x14ac:dyDescent="0.2">
      <c r="A1088" t="s">
        <v>1083</v>
      </c>
      <c r="B1088" t="s">
        <v>48</v>
      </c>
      <c r="C1088" t="s">
        <v>1067</v>
      </c>
      <c r="D1088" t="s">
        <v>42</v>
      </c>
      <c r="E1088" t="s">
        <v>42</v>
      </c>
      <c r="F1088" t="s">
        <v>44</v>
      </c>
      <c r="G1088" t="s">
        <v>45</v>
      </c>
      <c r="H1088" t="s">
        <v>1068</v>
      </c>
      <c r="AH1088" t="s">
        <v>42</v>
      </c>
      <c r="AI1088" t="str">
        <f>"CM-PT-DL-0-150"</f>
        <v>CM-PT-DL-0-150</v>
      </c>
      <c r="AJ1088" t="str">
        <f>"CM-PT-DL-0-150"</f>
        <v>CM-PT-DL-0-150</v>
      </c>
      <c r="AK1088" t="s">
        <v>46</v>
      </c>
      <c r="AL1088" s="1">
        <v>44816.70590277778</v>
      </c>
      <c r="AM1088" t="s">
        <v>44</v>
      </c>
    </row>
    <row r="1089" spans="1:39" x14ac:dyDescent="0.2">
      <c r="A1089" t="s">
        <v>1083</v>
      </c>
      <c r="B1089" t="s">
        <v>48</v>
      </c>
      <c r="C1089" t="s">
        <v>1067</v>
      </c>
      <c r="D1089" t="s">
        <v>42</v>
      </c>
      <c r="E1089" t="s">
        <v>42</v>
      </c>
      <c r="F1089" t="s">
        <v>44</v>
      </c>
      <c r="G1089" t="s">
        <v>45</v>
      </c>
      <c r="H1089" t="s">
        <v>1069</v>
      </c>
      <c r="AH1089" t="s">
        <v>42</v>
      </c>
      <c r="AI1089" t="str">
        <f>"CM-PT-DL-160-400"</f>
        <v>CM-PT-DL-160-400</v>
      </c>
      <c r="AJ1089" t="str">
        <f>"CM-PT-DL-160-400"</f>
        <v>CM-PT-DL-160-400</v>
      </c>
      <c r="AK1089" t="s">
        <v>46</v>
      </c>
      <c r="AL1089" s="1">
        <v>44816.706064814818</v>
      </c>
      <c r="AM1089" t="s">
        <v>44</v>
      </c>
    </row>
    <row r="1090" spans="1:39" x14ac:dyDescent="0.2">
      <c r="A1090" t="s">
        <v>1083</v>
      </c>
      <c r="B1090" t="s">
        <v>48</v>
      </c>
      <c r="C1090" t="s">
        <v>1067</v>
      </c>
      <c r="D1090" t="s">
        <v>42</v>
      </c>
      <c r="E1090" t="s">
        <v>42</v>
      </c>
      <c r="F1090" t="s">
        <v>44</v>
      </c>
      <c r="G1090" t="s">
        <v>45</v>
      </c>
      <c r="H1090" t="s">
        <v>1070</v>
      </c>
      <c r="AH1090" t="s">
        <v>42</v>
      </c>
      <c r="AI1090" t="str">
        <f>"CM-PT-DL-450-1000"</f>
        <v>CM-PT-DL-450-1000</v>
      </c>
      <c r="AJ1090" t="str">
        <f>"CM-PT-DL-450-1000"</f>
        <v>CM-PT-DL-450-1000</v>
      </c>
      <c r="AK1090" t="s">
        <v>46</v>
      </c>
      <c r="AL1090" s="1">
        <v>44816.706365740742</v>
      </c>
      <c r="AM1090" t="s">
        <v>44</v>
      </c>
    </row>
    <row r="1091" spans="1:39" x14ac:dyDescent="0.2">
      <c r="A1091" t="s">
        <v>1084</v>
      </c>
      <c r="B1091" t="s">
        <v>48</v>
      </c>
      <c r="C1091" t="s">
        <v>1067</v>
      </c>
      <c r="D1091" t="s">
        <v>42</v>
      </c>
      <c r="E1091" t="s">
        <v>42</v>
      </c>
      <c r="F1091" t="s">
        <v>44</v>
      </c>
      <c r="G1091" t="s">
        <v>45</v>
      </c>
      <c r="H1091" t="s">
        <v>1068</v>
      </c>
      <c r="AH1091" t="s">
        <v>42</v>
      </c>
      <c r="AI1091" t="str">
        <f>"CM-PT-TR-0-150"</f>
        <v>CM-PT-TR-0-150</v>
      </c>
      <c r="AJ1091" t="str">
        <f>"CM-PT-TR-0-150"</f>
        <v>CM-PT-TR-0-150</v>
      </c>
      <c r="AK1091" t="s">
        <v>46</v>
      </c>
      <c r="AL1091" s="1">
        <v>44816.707106481481</v>
      </c>
      <c r="AM1091" t="s">
        <v>44</v>
      </c>
    </row>
    <row r="1092" spans="1:39" x14ac:dyDescent="0.2">
      <c r="A1092" t="s">
        <v>1084</v>
      </c>
      <c r="B1092" t="s">
        <v>48</v>
      </c>
      <c r="C1092" t="s">
        <v>1067</v>
      </c>
      <c r="D1092" t="s">
        <v>42</v>
      </c>
      <c r="E1092" t="s">
        <v>42</v>
      </c>
      <c r="F1092" t="s">
        <v>44</v>
      </c>
      <c r="G1092" t="s">
        <v>45</v>
      </c>
      <c r="H1092" t="s">
        <v>1069</v>
      </c>
      <c r="AH1092" t="s">
        <v>42</v>
      </c>
      <c r="AI1092" t="str">
        <f>"CM-PT-TR-160-400"</f>
        <v>CM-PT-TR-160-400</v>
      </c>
      <c r="AJ1092" t="str">
        <f>"CM-PT-TR-160-400"</f>
        <v>CM-PT-TR-160-400</v>
      </c>
      <c r="AK1092" t="s">
        <v>46</v>
      </c>
      <c r="AL1092" s="1">
        <v>44816.708078703705</v>
      </c>
      <c r="AM1092" t="s">
        <v>44</v>
      </c>
    </row>
    <row r="1093" spans="1:39" x14ac:dyDescent="0.2">
      <c r="A1093" t="s">
        <v>1084</v>
      </c>
      <c r="B1093" t="s">
        <v>48</v>
      </c>
      <c r="C1093" t="s">
        <v>1067</v>
      </c>
      <c r="D1093" t="s">
        <v>42</v>
      </c>
      <c r="E1093" t="s">
        <v>42</v>
      </c>
      <c r="F1093" t="s">
        <v>44</v>
      </c>
      <c r="G1093" t="s">
        <v>45</v>
      </c>
      <c r="H1093" t="s">
        <v>1070</v>
      </c>
      <c r="AH1093" t="s">
        <v>42</v>
      </c>
      <c r="AI1093" t="str">
        <f>"CM-PT-TR-450-1000"</f>
        <v>CM-PT-TR-450-1000</v>
      </c>
      <c r="AJ1093" t="str">
        <f>"CM-PT-TR-450-1000"</f>
        <v>CM-PT-TR-450-1000</v>
      </c>
      <c r="AK1093" t="s">
        <v>46</v>
      </c>
      <c r="AL1093" s="1">
        <v>44816.708275462966</v>
      </c>
      <c r="AM1093" t="s">
        <v>44</v>
      </c>
    </row>
    <row r="1094" spans="1:39" x14ac:dyDescent="0.2">
      <c r="A1094" t="s">
        <v>1085</v>
      </c>
      <c r="B1094" t="s">
        <v>48</v>
      </c>
      <c r="C1094" t="s">
        <v>1067</v>
      </c>
      <c r="D1094" t="s">
        <v>42</v>
      </c>
      <c r="E1094" t="s">
        <v>42</v>
      </c>
      <c r="F1094" t="s">
        <v>44</v>
      </c>
      <c r="G1094" t="s">
        <v>45</v>
      </c>
      <c r="H1094" t="s">
        <v>1068</v>
      </c>
      <c r="AH1094" t="s">
        <v>42</v>
      </c>
      <c r="AI1094" t="str">
        <f>"CM-PS-DL-0-150"</f>
        <v>CM-PS-DL-0-150</v>
      </c>
      <c r="AJ1094" t="str">
        <f>"CM-PS-DL-0-150"</f>
        <v>CM-PS-DL-0-150</v>
      </c>
      <c r="AK1094" t="s">
        <v>46</v>
      </c>
      <c r="AL1094" s="1">
        <v>44816.732928240737</v>
      </c>
      <c r="AM1094" t="s">
        <v>44</v>
      </c>
    </row>
    <row r="1095" spans="1:39" x14ac:dyDescent="0.2">
      <c r="A1095" t="s">
        <v>1085</v>
      </c>
      <c r="B1095" t="s">
        <v>48</v>
      </c>
      <c r="C1095" t="s">
        <v>1067</v>
      </c>
      <c r="D1095" t="s">
        <v>42</v>
      </c>
      <c r="E1095" t="s">
        <v>42</v>
      </c>
      <c r="F1095" t="s">
        <v>44</v>
      </c>
      <c r="G1095" t="s">
        <v>45</v>
      </c>
      <c r="H1095" t="s">
        <v>1069</v>
      </c>
      <c r="AH1095" t="s">
        <v>42</v>
      </c>
      <c r="AI1095" t="str">
        <f>"CM-PS-DL-160-400"</f>
        <v>CM-PS-DL-160-400</v>
      </c>
      <c r="AJ1095" t="str">
        <f>"CM-PS-DL-160-400"</f>
        <v>CM-PS-DL-160-400</v>
      </c>
      <c r="AK1095" t="s">
        <v>46</v>
      </c>
      <c r="AL1095" s="1">
        <v>44816.733124999999</v>
      </c>
      <c r="AM1095" t="s">
        <v>44</v>
      </c>
    </row>
    <row r="1096" spans="1:39" x14ac:dyDescent="0.2">
      <c r="A1096" t="s">
        <v>1086</v>
      </c>
      <c r="B1096" t="s">
        <v>40</v>
      </c>
      <c r="C1096" t="s">
        <v>1067</v>
      </c>
      <c r="D1096" t="s">
        <v>42</v>
      </c>
      <c r="E1096" t="s">
        <v>43</v>
      </c>
      <c r="F1096" t="s">
        <v>44</v>
      </c>
      <c r="G1096" t="s">
        <v>45</v>
      </c>
      <c r="H1096" t="s">
        <v>1068</v>
      </c>
      <c r="AH1096" t="s">
        <v>42</v>
      </c>
      <c r="AI1096" t="str">
        <f>"CM-PS-TR-0-150"</f>
        <v>CM-PS-TR-0-150</v>
      </c>
      <c r="AJ1096" t="str">
        <f>"CM-PS-TR-0-150"</f>
        <v>CM-PS-TR-0-150</v>
      </c>
      <c r="AK1096" t="s">
        <v>46</v>
      </c>
      <c r="AL1096" s="1">
        <v>44816.733807870369</v>
      </c>
      <c r="AM1096" t="s">
        <v>44</v>
      </c>
    </row>
    <row r="1097" spans="1:39" x14ac:dyDescent="0.2">
      <c r="A1097" t="s">
        <v>1086</v>
      </c>
      <c r="B1097" t="s">
        <v>40</v>
      </c>
      <c r="C1097" t="s">
        <v>1067</v>
      </c>
      <c r="D1097" t="s">
        <v>42</v>
      </c>
      <c r="E1097" t="s">
        <v>43</v>
      </c>
      <c r="F1097" t="s">
        <v>44</v>
      </c>
      <c r="G1097" t="s">
        <v>45</v>
      </c>
      <c r="H1097" t="s">
        <v>1069</v>
      </c>
      <c r="AH1097" t="s">
        <v>42</v>
      </c>
      <c r="AI1097" t="str">
        <f>"CM-PS-TR-160-400"</f>
        <v>CM-PS-TR-160-400</v>
      </c>
      <c r="AJ1097" t="str">
        <f>"CM-PS-TR-160-400"</f>
        <v>CM-PS-TR-160-400</v>
      </c>
      <c r="AK1097" t="s">
        <v>46</v>
      </c>
      <c r="AL1097" s="1">
        <v>44816.735393518517</v>
      </c>
      <c r="AM1097" t="s">
        <v>44</v>
      </c>
    </row>
    <row r="1098" spans="1:39" x14ac:dyDescent="0.2">
      <c r="A1098" t="s">
        <v>1087</v>
      </c>
      <c r="B1098" t="s">
        <v>48</v>
      </c>
      <c r="C1098" t="s">
        <v>1067</v>
      </c>
      <c r="D1098" t="s">
        <v>42</v>
      </c>
      <c r="E1098" t="s">
        <v>42</v>
      </c>
      <c r="F1098" t="s">
        <v>44</v>
      </c>
      <c r="G1098" t="s">
        <v>45</v>
      </c>
      <c r="H1098" t="s">
        <v>1068</v>
      </c>
      <c r="AH1098" t="s">
        <v>42</v>
      </c>
      <c r="AI1098" t="str">
        <f>"CM-RT-HQ-0-150"</f>
        <v>CM-RT-HQ-0-150</v>
      </c>
      <c r="AJ1098" t="str">
        <f>"CM-RT-HQ-0-150"</f>
        <v>CM-RT-HQ-0-150</v>
      </c>
      <c r="AK1098" t="s">
        <v>46</v>
      </c>
      <c r="AL1098" s="1">
        <v>44816.680914351855</v>
      </c>
      <c r="AM1098" t="s">
        <v>44</v>
      </c>
    </row>
    <row r="1099" spans="1:39" x14ac:dyDescent="0.2">
      <c r="A1099" t="s">
        <v>1087</v>
      </c>
      <c r="B1099" t="s">
        <v>48</v>
      </c>
      <c r="C1099" t="s">
        <v>1067</v>
      </c>
      <c r="D1099" t="s">
        <v>42</v>
      </c>
      <c r="E1099" t="s">
        <v>42</v>
      </c>
      <c r="F1099" t="s">
        <v>44</v>
      </c>
      <c r="G1099" t="s">
        <v>45</v>
      </c>
      <c r="H1099" t="s">
        <v>1069</v>
      </c>
      <c r="AH1099" t="s">
        <v>42</v>
      </c>
      <c r="AI1099" t="str">
        <f>"CM-RT-HQ-160-400"</f>
        <v>CM-RT-HQ-160-400</v>
      </c>
      <c r="AJ1099" t="str">
        <f>"CM-RT-HQ-160-400"</f>
        <v>CM-RT-HQ-160-400</v>
      </c>
      <c r="AK1099" t="s">
        <v>46</v>
      </c>
      <c r="AL1099" s="1">
        <v>44816.684976851851</v>
      </c>
      <c r="AM1099" t="s">
        <v>44</v>
      </c>
    </row>
    <row r="1100" spans="1:39" x14ac:dyDescent="0.2">
      <c r="A1100" t="s">
        <v>1087</v>
      </c>
      <c r="B1100" t="s">
        <v>48</v>
      </c>
      <c r="C1100" t="s">
        <v>1067</v>
      </c>
      <c r="D1100" t="s">
        <v>42</v>
      </c>
      <c r="E1100" t="s">
        <v>42</v>
      </c>
      <c r="F1100" t="s">
        <v>44</v>
      </c>
      <c r="G1100" t="s">
        <v>45</v>
      </c>
      <c r="H1100" t="s">
        <v>1070</v>
      </c>
      <c r="AH1100" t="s">
        <v>42</v>
      </c>
      <c r="AI1100" t="str">
        <f>"CM-RT-HQ-450-1000"</f>
        <v>CM-RT-HQ-450-1000</v>
      </c>
      <c r="AJ1100" t="str">
        <f>"CM-RT-HQ-450-1000"</f>
        <v>CM-RT-HQ-450-1000</v>
      </c>
      <c r="AK1100" t="s">
        <v>46</v>
      </c>
      <c r="AL1100" s="1">
        <v>44816.685266203705</v>
      </c>
      <c r="AM1100" t="s">
        <v>44</v>
      </c>
    </row>
    <row r="1101" spans="1:39" x14ac:dyDescent="0.2">
      <c r="A1101" t="s">
        <v>1088</v>
      </c>
      <c r="B1101" t="s">
        <v>48</v>
      </c>
      <c r="C1101" t="s">
        <v>1067</v>
      </c>
      <c r="D1101" t="s">
        <v>42</v>
      </c>
      <c r="E1101" t="s">
        <v>42</v>
      </c>
      <c r="F1101" t="s">
        <v>44</v>
      </c>
      <c r="G1101" t="s">
        <v>45</v>
      </c>
      <c r="H1101" t="s">
        <v>1068</v>
      </c>
      <c r="AH1101" t="s">
        <v>42</v>
      </c>
      <c r="AI1101" t="str">
        <f>"CM-TR-0-150"</f>
        <v>CM-TR-0-150</v>
      </c>
      <c r="AJ1101" t="str">
        <f>"CM-TR-0-150"</f>
        <v>CM-TR-0-150</v>
      </c>
      <c r="AK1101" t="s">
        <v>46</v>
      </c>
      <c r="AL1101" s="1">
        <v>44816.696226851855</v>
      </c>
      <c r="AM1101" t="s">
        <v>44</v>
      </c>
    </row>
    <row r="1102" spans="1:39" x14ac:dyDescent="0.2">
      <c r="A1102" t="s">
        <v>1088</v>
      </c>
      <c r="B1102" t="s">
        <v>48</v>
      </c>
      <c r="C1102" t="s">
        <v>1067</v>
      </c>
      <c r="D1102" t="s">
        <v>42</v>
      </c>
      <c r="E1102" t="s">
        <v>42</v>
      </c>
      <c r="F1102" t="s">
        <v>44</v>
      </c>
      <c r="G1102" t="s">
        <v>45</v>
      </c>
      <c r="H1102" t="s">
        <v>1069</v>
      </c>
      <c r="AH1102" t="s">
        <v>42</v>
      </c>
      <c r="AI1102" t="str">
        <f>"CM-TR-160-400"</f>
        <v>CM-TR-160-400</v>
      </c>
      <c r="AJ1102" t="str">
        <f>"CM-TR-160-400"</f>
        <v>CM-TR-160-400</v>
      </c>
      <c r="AK1102" t="s">
        <v>46</v>
      </c>
      <c r="AL1102" s="1">
        <v>44816.696562500001</v>
      </c>
      <c r="AM1102" t="s">
        <v>44</v>
      </c>
    </row>
    <row r="1103" spans="1:39" x14ac:dyDescent="0.2">
      <c r="A1103" t="s">
        <v>1088</v>
      </c>
      <c r="B1103" t="s">
        <v>48</v>
      </c>
      <c r="C1103" t="s">
        <v>1067</v>
      </c>
      <c r="D1103" t="s">
        <v>42</v>
      </c>
      <c r="E1103" t="s">
        <v>42</v>
      </c>
      <c r="F1103" t="s">
        <v>44</v>
      </c>
      <c r="G1103" t="s">
        <v>45</v>
      </c>
      <c r="H1103" t="s">
        <v>1089</v>
      </c>
      <c r="AH1103" t="s">
        <v>42</v>
      </c>
      <c r="AI1103" t="str">
        <f>"CM-TR-450-1000"</f>
        <v>CM-TR-450-1000</v>
      </c>
      <c r="AJ1103" t="str">
        <f>"CM-TR-450-1000"</f>
        <v>CM-TR-450-1000</v>
      </c>
      <c r="AK1103" t="s">
        <v>46</v>
      </c>
      <c r="AL1103" s="1">
        <v>44816.698483796295</v>
      </c>
      <c r="AM1103" t="s">
        <v>44</v>
      </c>
    </row>
    <row r="1104" spans="1:39" x14ac:dyDescent="0.2">
      <c r="A1104" t="s">
        <v>1090</v>
      </c>
      <c r="B1104" t="s">
        <v>48</v>
      </c>
      <c r="C1104" t="s">
        <v>1067</v>
      </c>
      <c r="D1104" t="s">
        <v>42</v>
      </c>
      <c r="E1104" t="s">
        <v>42</v>
      </c>
      <c r="F1104" t="s">
        <v>44</v>
      </c>
      <c r="G1104" t="s">
        <v>45</v>
      </c>
      <c r="H1104" t="s">
        <v>1068</v>
      </c>
      <c r="AH1104" t="s">
        <v>42</v>
      </c>
      <c r="AI1104" t="str">
        <f>"CM-VR-FR-0-150"</f>
        <v>CM-VR-FR-0-150</v>
      </c>
      <c r="AJ1104" t="str">
        <f>"CM-VR-FR-0-150"</f>
        <v>CM-VR-FR-0-150</v>
      </c>
      <c r="AK1104" t="s">
        <v>46</v>
      </c>
      <c r="AL1104" s="1">
        <v>44816.76902777778</v>
      </c>
      <c r="AM1104" t="s">
        <v>44</v>
      </c>
    </row>
    <row r="1105" spans="1:39" x14ac:dyDescent="0.2">
      <c r="A1105" t="s">
        <v>1090</v>
      </c>
      <c r="B1105" t="s">
        <v>48</v>
      </c>
      <c r="C1105" t="s">
        <v>1067</v>
      </c>
      <c r="D1105" t="s">
        <v>42</v>
      </c>
      <c r="E1105" t="s">
        <v>42</v>
      </c>
      <c r="F1105" t="s">
        <v>44</v>
      </c>
      <c r="G1105" t="s">
        <v>45</v>
      </c>
      <c r="H1105" t="s">
        <v>1069</v>
      </c>
      <c r="AH1105" t="s">
        <v>42</v>
      </c>
      <c r="AI1105" t="str">
        <f>"CM-VR-FR-160-400"</f>
        <v>CM-VR-FR-160-400</v>
      </c>
      <c r="AJ1105" t="str">
        <f>"CM-VR-FR-160-400"</f>
        <v>CM-VR-FR-160-400</v>
      </c>
      <c r="AK1105" t="s">
        <v>46</v>
      </c>
      <c r="AL1105" s="1">
        <v>44816.770208333335</v>
      </c>
      <c r="AM1105" t="s">
        <v>44</v>
      </c>
    </row>
    <row r="1106" spans="1:39" x14ac:dyDescent="0.2">
      <c r="A1106" t="s">
        <v>1091</v>
      </c>
      <c r="B1106" t="s">
        <v>40</v>
      </c>
      <c r="C1106" t="s">
        <v>1092</v>
      </c>
      <c r="D1106" t="s">
        <v>42</v>
      </c>
      <c r="E1106" t="s">
        <v>43</v>
      </c>
      <c r="F1106" t="s">
        <v>44</v>
      </c>
      <c r="G1106" t="s">
        <v>45</v>
      </c>
      <c r="AH1106" t="s">
        <v>42</v>
      </c>
      <c r="AI1106" t="str">
        <f>"10493"</f>
        <v>10493</v>
      </c>
      <c r="AJ1106" t="str">
        <f>"10493"</f>
        <v>10493</v>
      </c>
      <c r="AK1106" t="s">
        <v>46</v>
      </c>
      <c r="AL1106" s="1">
        <v>45108.694236111114</v>
      </c>
      <c r="AM1106" t="s">
        <v>44</v>
      </c>
    </row>
    <row r="1107" spans="1:39" x14ac:dyDescent="0.2">
      <c r="A1107" t="s">
        <v>1093</v>
      </c>
      <c r="B1107" t="s">
        <v>40</v>
      </c>
      <c r="C1107" t="s">
        <v>1092</v>
      </c>
      <c r="D1107" t="s">
        <v>42</v>
      </c>
      <c r="E1107" t="s">
        <v>43</v>
      </c>
      <c r="F1107" t="s">
        <v>44</v>
      </c>
      <c r="G1107" t="s">
        <v>45</v>
      </c>
      <c r="AH1107" t="s">
        <v>42</v>
      </c>
      <c r="AI1107" t="str">
        <f>"P2305005"</f>
        <v>P2305005</v>
      </c>
      <c r="AJ1107" t="str">
        <f>"P2305005"</f>
        <v>P2305005</v>
      </c>
      <c r="AK1107" t="s">
        <v>46</v>
      </c>
      <c r="AL1107" s="1">
        <v>45164.659525462965</v>
      </c>
      <c r="AM1107" t="s">
        <v>44</v>
      </c>
    </row>
    <row r="1108" spans="1:39" x14ac:dyDescent="0.2">
      <c r="A1108" t="s">
        <v>1094</v>
      </c>
      <c r="B1108" t="s">
        <v>40</v>
      </c>
      <c r="C1108" t="s">
        <v>1092</v>
      </c>
      <c r="D1108" t="s">
        <v>42</v>
      </c>
      <c r="E1108" t="s">
        <v>43</v>
      </c>
      <c r="F1108" t="s">
        <v>44</v>
      </c>
      <c r="G1108" t="s">
        <v>45</v>
      </c>
      <c r="AH1108" t="s">
        <v>42</v>
      </c>
      <c r="AI1108" t="str">
        <f>"C211"</f>
        <v>C211</v>
      </c>
      <c r="AJ1108" t="str">
        <f>"C211"</f>
        <v>C211</v>
      </c>
      <c r="AK1108" t="s">
        <v>46</v>
      </c>
      <c r="AL1108" s="1">
        <v>44816.550023148149</v>
      </c>
      <c r="AM1108" t="s">
        <v>44</v>
      </c>
    </row>
    <row r="1109" spans="1:39" x14ac:dyDescent="0.2">
      <c r="A1109" t="s">
        <v>1095</v>
      </c>
      <c r="B1109" t="s">
        <v>40</v>
      </c>
      <c r="C1109" t="s">
        <v>1092</v>
      </c>
      <c r="D1109" t="s">
        <v>42</v>
      </c>
      <c r="E1109" t="s">
        <v>43</v>
      </c>
      <c r="F1109" t="s">
        <v>44</v>
      </c>
      <c r="G1109" t="s">
        <v>45</v>
      </c>
      <c r="AH1109" t="s">
        <v>42</v>
      </c>
      <c r="AI1109" t="str">
        <f>"66298832269236"</f>
        <v>66298832269236</v>
      </c>
      <c r="AJ1109" t="str">
        <f>"C208"</f>
        <v>C208</v>
      </c>
      <c r="AK1109" t="s">
        <v>46</v>
      </c>
      <c r="AL1109" s="1">
        <v>44816.550023148149</v>
      </c>
      <c r="AM1109" t="s">
        <v>44</v>
      </c>
    </row>
    <row r="1110" spans="1:39" x14ac:dyDescent="0.2">
      <c r="A1110" t="s">
        <v>1096</v>
      </c>
      <c r="B1110" t="s">
        <v>40</v>
      </c>
      <c r="C1110" t="s">
        <v>1092</v>
      </c>
      <c r="D1110" t="s">
        <v>42</v>
      </c>
      <c r="E1110" t="s">
        <v>43</v>
      </c>
      <c r="F1110" t="s">
        <v>44</v>
      </c>
      <c r="G1110" t="s">
        <v>45</v>
      </c>
      <c r="AH1110" t="s">
        <v>42</v>
      </c>
      <c r="AI1110" t="str">
        <f>"66298832318787"</f>
        <v>66298832318787</v>
      </c>
      <c r="AJ1110" t="str">
        <f>"22101-M9Q-0003"</f>
        <v>22101-M9Q-0003</v>
      </c>
      <c r="AK1110" t="s">
        <v>46</v>
      </c>
      <c r="AL1110" s="1">
        <v>44816.550034722219</v>
      </c>
      <c r="AM1110" t="s">
        <v>44</v>
      </c>
    </row>
    <row r="1111" spans="1:39" x14ac:dyDescent="0.2">
      <c r="A1111" t="s">
        <v>1097</v>
      </c>
      <c r="B1111" t="s">
        <v>40</v>
      </c>
      <c r="C1111" t="s">
        <v>1092</v>
      </c>
      <c r="D1111" t="s">
        <v>42</v>
      </c>
      <c r="E1111" t="s">
        <v>43</v>
      </c>
      <c r="F1111" t="s">
        <v>44</v>
      </c>
      <c r="G1111" t="s">
        <v>45</v>
      </c>
      <c r="AH1111" t="s">
        <v>42</v>
      </c>
      <c r="AI1111" t="str">
        <f>"C203"</f>
        <v>C203</v>
      </c>
      <c r="AJ1111" t="str">
        <f>"C203"</f>
        <v>C203</v>
      </c>
      <c r="AK1111" t="s">
        <v>46</v>
      </c>
      <c r="AL1111" s="1">
        <v>44912.621238425927</v>
      </c>
      <c r="AM1111" t="s">
        <v>44</v>
      </c>
    </row>
    <row r="1112" spans="1:39" x14ac:dyDescent="0.2">
      <c r="A1112" t="s">
        <v>1098</v>
      </c>
      <c r="B1112" t="s">
        <v>40</v>
      </c>
      <c r="C1112" t="s">
        <v>1092</v>
      </c>
      <c r="D1112" t="s">
        <v>42</v>
      </c>
      <c r="E1112" t="s">
        <v>43</v>
      </c>
      <c r="F1112" t="s">
        <v>44</v>
      </c>
      <c r="G1112" t="s">
        <v>45</v>
      </c>
      <c r="AH1112" t="s">
        <v>42</v>
      </c>
      <c r="AI1112" t="str">
        <f>"66298832367661"</f>
        <v>66298832367661</v>
      </c>
      <c r="AJ1112" t="str">
        <f>"C213"</f>
        <v>C213</v>
      </c>
      <c r="AK1112" t="s">
        <v>46</v>
      </c>
      <c r="AL1112" s="1">
        <v>44816.550034722219</v>
      </c>
      <c r="AM1112" t="s">
        <v>44</v>
      </c>
    </row>
    <row r="1113" spans="1:39" x14ac:dyDescent="0.2">
      <c r="A1113" t="s">
        <v>1099</v>
      </c>
      <c r="B1113" t="s">
        <v>40</v>
      </c>
      <c r="C1113" t="s">
        <v>1092</v>
      </c>
      <c r="D1113" t="s">
        <v>42</v>
      </c>
      <c r="E1113" t="s">
        <v>43</v>
      </c>
      <c r="F1113" t="s">
        <v>44</v>
      </c>
      <c r="G1113" t="s">
        <v>45</v>
      </c>
      <c r="AH1113" t="s">
        <v>42</v>
      </c>
      <c r="AI1113" t="str">
        <f>"P21040037"</f>
        <v>P21040037</v>
      </c>
      <c r="AJ1113" t="str">
        <f>"P21040037"</f>
        <v>P21040037</v>
      </c>
      <c r="AK1113" t="s">
        <v>46</v>
      </c>
      <c r="AL1113" s="1">
        <v>45112.763124999998</v>
      </c>
      <c r="AM1113" t="s">
        <v>44</v>
      </c>
    </row>
    <row r="1114" spans="1:39" x14ac:dyDescent="0.2">
      <c r="A1114" t="s">
        <v>1100</v>
      </c>
      <c r="B1114" t="s">
        <v>40</v>
      </c>
      <c r="C1114" t="s">
        <v>1092</v>
      </c>
      <c r="D1114" t="s">
        <v>42</v>
      </c>
      <c r="E1114" t="s">
        <v>43</v>
      </c>
      <c r="F1114" t="s">
        <v>44</v>
      </c>
      <c r="G1114" t="s">
        <v>45</v>
      </c>
      <c r="AH1114" t="s">
        <v>42</v>
      </c>
      <c r="AI1114" t="str">
        <f>"2889"</f>
        <v>2889</v>
      </c>
      <c r="AJ1114" t="str">
        <f>"2889"</f>
        <v>2889</v>
      </c>
      <c r="AK1114" t="s">
        <v>46</v>
      </c>
      <c r="AL1114" s="1">
        <v>45120.848055555558</v>
      </c>
      <c r="AM1114" t="s">
        <v>44</v>
      </c>
    </row>
    <row r="1115" spans="1:39" x14ac:dyDescent="0.2">
      <c r="A1115" t="s">
        <v>1101</v>
      </c>
      <c r="B1115" t="s">
        <v>40</v>
      </c>
      <c r="C1115" t="s">
        <v>392</v>
      </c>
      <c r="D1115" t="s">
        <v>42</v>
      </c>
      <c r="E1115" t="s">
        <v>43</v>
      </c>
      <c r="F1115" t="s">
        <v>44</v>
      </c>
      <c r="G1115" t="s">
        <v>45</v>
      </c>
      <c r="AH1115" t="s">
        <v>42</v>
      </c>
      <c r="AI1115" t="str">
        <f>"66298832411705"</f>
        <v>66298832411705</v>
      </c>
      <c r="AJ1115" t="str">
        <f>"93310-418E9JP"</f>
        <v>93310-418E9JP</v>
      </c>
      <c r="AK1115" t="s">
        <v>46</v>
      </c>
      <c r="AL1115" s="1">
        <v>44816.550046296295</v>
      </c>
      <c r="AM1115" t="s">
        <v>44</v>
      </c>
    </row>
    <row r="1116" spans="1:39" x14ac:dyDescent="0.2">
      <c r="A1116" t="s">
        <v>1102</v>
      </c>
      <c r="B1116" t="s">
        <v>40</v>
      </c>
      <c r="C1116" t="s">
        <v>392</v>
      </c>
      <c r="D1116" t="s">
        <v>42</v>
      </c>
      <c r="E1116" t="s">
        <v>43</v>
      </c>
      <c r="F1116" t="s">
        <v>44</v>
      </c>
      <c r="G1116" t="s">
        <v>45</v>
      </c>
      <c r="AH1116" t="s">
        <v>42</v>
      </c>
      <c r="AI1116" t="str">
        <f>"66298832455586"</f>
        <v>66298832455586</v>
      </c>
      <c r="AJ1116" t="str">
        <f>"91105-KW3-003JP"</f>
        <v>91105-KW3-003JP</v>
      </c>
      <c r="AK1116" t="s">
        <v>46</v>
      </c>
      <c r="AL1116" s="1">
        <v>44816.550046296295</v>
      </c>
      <c r="AM1116" t="s">
        <v>44</v>
      </c>
    </row>
    <row r="1117" spans="1:39" x14ac:dyDescent="0.2">
      <c r="A1117" t="s">
        <v>1102</v>
      </c>
      <c r="B1117" t="s">
        <v>40</v>
      </c>
      <c r="C1117" t="s">
        <v>392</v>
      </c>
      <c r="D1117" t="s">
        <v>42</v>
      </c>
      <c r="E1117" t="s">
        <v>43</v>
      </c>
      <c r="F1117" t="s">
        <v>44</v>
      </c>
      <c r="G1117" t="s">
        <v>45</v>
      </c>
      <c r="AH1117" t="s">
        <v>42</v>
      </c>
      <c r="AI1117" t="str">
        <f>"66298832463486"</f>
        <v>66298832463486</v>
      </c>
      <c r="AJ1117" t="str">
        <f>"91105-KPF-900JP"</f>
        <v>91105-KPF-900JP</v>
      </c>
      <c r="AK1117" t="s">
        <v>46</v>
      </c>
      <c r="AL1117" s="1">
        <v>44816.550046296295</v>
      </c>
      <c r="AM1117" t="s">
        <v>44</v>
      </c>
    </row>
    <row r="1118" spans="1:39" x14ac:dyDescent="0.2">
      <c r="A1118" t="s">
        <v>1103</v>
      </c>
      <c r="B1118" t="s">
        <v>40</v>
      </c>
      <c r="C1118" t="s">
        <v>392</v>
      </c>
      <c r="D1118" t="s">
        <v>42</v>
      </c>
      <c r="E1118" t="s">
        <v>43</v>
      </c>
      <c r="F1118" t="s">
        <v>44</v>
      </c>
      <c r="G1118" t="s">
        <v>45</v>
      </c>
      <c r="AH1118" t="s">
        <v>42</v>
      </c>
      <c r="AI1118" t="str">
        <f>"66298832524296"</f>
        <v>66298832524296</v>
      </c>
      <c r="AJ1118" t="str">
        <f>"91101-KGH-901JP"</f>
        <v>91101-KGH-901JP</v>
      </c>
      <c r="AK1118" t="s">
        <v>46</v>
      </c>
      <c r="AL1118" s="1">
        <v>44816.550057870372</v>
      </c>
      <c r="AM1118" t="s">
        <v>44</v>
      </c>
    </row>
    <row r="1119" spans="1:39" x14ac:dyDescent="0.2">
      <c r="A1119" t="s">
        <v>1104</v>
      </c>
      <c r="B1119" t="s">
        <v>40</v>
      </c>
      <c r="C1119" t="s">
        <v>129</v>
      </c>
      <c r="D1119" t="s">
        <v>42</v>
      </c>
      <c r="E1119" t="s">
        <v>43</v>
      </c>
      <c r="F1119" t="s">
        <v>44</v>
      </c>
      <c r="G1119" t="s">
        <v>45</v>
      </c>
      <c r="AH1119" t="s">
        <v>42</v>
      </c>
      <c r="AI1119" t="str">
        <f>"66298832567258"</f>
        <v>66298832567258</v>
      </c>
      <c r="AJ1119" t="str">
        <f>"CE009"</f>
        <v>CE009</v>
      </c>
      <c r="AK1119" t="s">
        <v>46</v>
      </c>
      <c r="AL1119" s="1">
        <v>44816.550057870372</v>
      </c>
      <c r="AM1119" t="s">
        <v>44</v>
      </c>
    </row>
    <row r="1120" spans="1:39" x14ac:dyDescent="0.2">
      <c r="A1120" t="s">
        <v>1105</v>
      </c>
      <c r="B1120" t="s">
        <v>40</v>
      </c>
      <c r="C1120" t="s">
        <v>1106</v>
      </c>
      <c r="D1120" t="s">
        <v>42</v>
      </c>
      <c r="E1120" t="s">
        <v>43</v>
      </c>
      <c r="F1120" t="s">
        <v>44</v>
      </c>
      <c r="G1120" t="s">
        <v>45</v>
      </c>
      <c r="AH1120" t="s">
        <v>42</v>
      </c>
      <c r="AI1120" t="str">
        <f>"C-420"</f>
        <v>C-420</v>
      </c>
      <c r="AJ1120" t="str">
        <f>"C-420"</f>
        <v>C-420</v>
      </c>
      <c r="AK1120" t="s">
        <v>46</v>
      </c>
      <c r="AL1120" s="1">
        <v>44999.683553240742</v>
      </c>
      <c r="AM1120" t="s">
        <v>44</v>
      </c>
    </row>
    <row r="1121" spans="1:39" x14ac:dyDescent="0.2">
      <c r="A1121" t="s">
        <v>1107</v>
      </c>
      <c r="B1121" t="s">
        <v>40</v>
      </c>
      <c r="C1121" t="s">
        <v>1106</v>
      </c>
      <c r="D1121" t="s">
        <v>42</v>
      </c>
      <c r="E1121" t="s">
        <v>43</v>
      </c>
      <c r="F1121" t="s">
        <v>44</v>
      </c>
      <c r="G1121" t="s">
        <v>45</v>
      </c>
      <c r="AH1121" t="s">
        <v>42</v>
      </c>
      <c r="AI1121" t="str">
        <f>"C-428"</f>
        <v>C-428</v>
      </c>
      <c r="AJ1121" t="str">
        <f>"C-428"</f>
        <v>C-428</v>
      </c>
      <c r="AK1121" t="s">
        <v>46</v>
      </c>
      <c r="AL1121" s="1">
        <v>44999.685717592591</v>
      </c>
      <c r="AM1121" t="s">
        <v>44</v>
      </c>
    </row>
    <row r="1122" spans="1:39" x14ac:dyDescent="0.2">
      <c r="A1122" t="s">
        <v>1108</v>
      </c>
      <c r="B1122" t="s">
        <v>40</v>
      </c>
      <c r="C1122" t="s">
        <v>1106</v>
      </c>
      <c r="D1122" t="s">
        <v>42</v>
      </c>
      <c r="E1122" t="s">
        <v>43</v>
      </c>
      <c r="F1122" t="s">
        <v>44</v>
      </c>
      <c r="G1122" t="s">
        <v>45</v>
      </c>
      <c r="AH1122" t="s">
        <v>42</v>
      </c>
      <c r="AI1122" t="str">
        <f>"66298832609459"</f>
        <v>66298832609459</v>
      </c>
      <c r="AJ1122" t="str">
        <f>"NB005"</f>
        <v>NB005</v>
      </c>
      <c r="AK1122" t="s">
        <v>46</v>
      </c>
      <c r="AL1122" s="1">
        <v>44816.550069444442</v>
      </c>
      <c r="AM1122" t="s">
        <v>44</v>
      </c>
    </row>
    <row r="1123" spans="1:39" x14ac:dyDescent="0.2">
      <c r="A1123" t="s">
        <v>1109</v>
      </c>
      <c r="B1123" t="s">
        <v>40</v>
      </c>
      <c r="C1123" t="s">
        <v>908</v>
      </c>
      <c r="D1123" t="s">
        <v>42</v>
      </c>
      <c r="E1123" t="s">
        <v>43</v>
      </c>
      <c r="F1123" t="s">
        <v>44</v>
      </c>
      <c r="G1123" t="s">
        <v>45</v>
      </c>
      <c r="AH1123" t="s">
        <v>42</v>
      </c>
      <c r="AI1123" t="str">
        <f>"100000M223"</f>
        <v>100000M223</v>
      </c>
      <c r="AJ1123" t="str">
        <f>"100000M223"</f>
        <v>100000M223</v>
      </c>
      <c r="AK1123" t="s">
        <v>46</v>
      </c>
      <c r="AL1123" s="1">
        <v>45126.796539351853</v>
      </c>
      <c r="AM1123" t="s">
        <v>44</v>
      </c>
    </row>
    <row r="1124" spans="1:39" x14ac:dyDescent="0.2">
      <c r="A1124" t="s">
        <v>1110</v>
      </c>
      <c r="B1124" t="s">
        <v>40</v>
      </c>
      <c r="C1124" t="s">
        <v>1106</v>
      </c>
      <c r="D1124" t="s">
        <v>42</v>
      </c>
      <c r="E1124" t="s">
        <v>43</v>
      </c>
      <c r="F1124" t="s">
        <v>44</v>
      </c>
      <c r="G1124" t="s">
        <v>45</v>
      </c>
      <c r="AH1124" t="s">
        <v>42</v>
      </c>
      <c r="AI1124" t="str">
        <f>"66298832653195"</f>
        <v>66298832653195</v>
      </c>
      <c r="AJ1124" t="str">
        <f>"207"</f>
        <v>207</v>
      </c>
      <c r="AK1124" t="s">
        <v>46</v>
      </c>
      <c r="AL1124" s="1">
        <v>44816.550069444442</v>
      </c>
      <c r="AM1124" t="s">
        <v>44</v>
      </c>
    </row>
    <row r="1125" spans="1:39" x14ac:dyDescent="0.2">
      <c r="A1125" t="s">
        <v>1111</v>
      </c>
      <c r="B1125" t="s">
        <v>40</v>
      </c>
      <c r="C1125" t="s">
        <v>50</v>
      </c>
      <c r="D1125" t="s">
        <v>42</v>
      </c>
      <c r="E1125" t="s">
        <v>43</v>
      </c>
      <c r="F1125" t="s">
        <v>44</v>
      </c>
      <c r="G1125" t="s">
        <v>45</v>
      </c>
      <c r="H1125" t="s">
        <v>1112</v>
      </c>
      <c r="AH1125" t="s">
        <v>42</v>
      </c>
      <c r="AI1125" t="str">
        <f>"17793"</f>
        <v>17793</v>
      </c>
      <c r="AJ1125" t="str">
        <f>"17793"</f>
        <v>17793</v>
      </c>
      <c r="AK1125" t="s">
        <v>46</v>
      </c>
      <c r="AL1125" s="1">
        <v>44847.607777777775</v>
      </c>
      <c r="AM1125" t="s">
        <v>44</v>
      </c>
    </row>
    <row r="1126" spans="1:39" x14ac:dyDescent="0.2">
      <c r="A1126" t="s">
        <v>1113</v>
      </c>
      <c r="B1126" t="s">
        <v>40</v>
      </c>
      <c r="C1126" t="s">
        <v>50</v>
      </c>
      <c r="D1126" t="s">
        <v>42</v>
      </c>
      <c r="E1126" t="s">
        <v>43</v>
      </c>
      <c r="F1126" t="s">
        <v>44</v>
      </c>
      <c r="G1126" t="s">
        <v>45</v>
      </c>
      <c r="H1126" t="s">
        <v>1114</v>
      </c>
      <c r="AH1126" t="s">
        <v>42</v>
      </c>
      <c r="AI1126" t="str">
        <f>"18285"</f>
        <v>18285</v>
      </c>
      <c r="AJ1126" t="str">
        <f>"18285"</f>
        <v>18285</v>
      </c>
      <c r="AK1126" t="s">
        <v>46</v>
      </c>
      <c r="AL1126" s="1">
        <v>44847.606354166666</v>
      </c>
      <c r="AM1126" t="s">
        <v>44</v>
      </c>
    </row>
    <row r="1127" spans="1:39" x14ac:dyDescent="0.2">
      <c r="A1127" t="s">
        <v>1115</v>
      </c>
      <c r="B1127" t="s">
        <v>40</v>
      </c>
      <c r="C1127" t="s">
        <v>50</v>
      </c>
      <c r="D1127" t="s">
        <v>42</v>
      </c>
      <c r="E1127" t="s">
        <v>43</v>
      </c>
      <c r="F1127" t="s">
        <v>44</v>
      </c>
      <c r="G1127" t="s">
        <v>45</v>
      </c>
      <c r="H1127" t="s">
        <v>1114</v>
      </c>
      <c r="AH1127" t="s">
        <v>42</v>
      </c>
      <c r="AI1127" t="str">
        <f>"18288"</f>
        <v>18288</v>
      </c>
      <c r="AJ1127" t="str">
        <f>"18288"</f>
        <v>18288</v>
      </c>
      <c r="AK1127" t="s">
        <v>46</v>
      </c>
      <c r="AL1127" s="1">
        <v>44847.604189814818</v>
      </c>
      <c r="AM1127" t="s">
        <v>44</v>
      </c>
    </row>
    <row r="1128" spans="1:39" x14ac:dyDescent="0.2">
      <c r="A1128" t="s">
        <v>1115</v>
      </c>
      <c r="B1128" t="s">
        <v>40</v>
      </c>
      <c r="C1128" t="s">
        <v>50</v>
      </c>
      <c r="D1128" t="s">
        <v>42</v>
      </c>
      <c r="E1128" t="s">
        <v>43</v>
      </c>
      <c r="F1128" t="s">
        <v>44</v>
      </c>
      <c r="G1128" t="s">
        <v>45</v>
      </c>
      <c r="H1128" t="s">
        <v>1116</v>
      </c>
      <c r="AH1128" t="s">
        <v>42</v>
      </c>
      <c r="AI1128" t="str">
        <f>"18290"</f>
        <v>18290</v>
      </c>
      <c r="AJ1128" t="str">
        <f>"18290"</f>
        <v>18290</v>
      </c>
      <c r="AK1128" t="s">
        <v>46</v>
      </c>
      <c r="AL1128" s="1">
        <v>44847.604479166665</v>
      </c>
      <c r="AM1128" t="s">
        <v>44</v>
      </c>
    </row>
    <row r="1129" spans="1:39" x14ac:dyDescent="0.2">
      <c r="A1129" t="s">
        <v>1117</v>
      </c>
      <c r="B1129" t="s">
        <v>40</v>
      </c>
      <c r="C1129" t="s">
        <v>50</v>
      </c>
      <c r="D1129" t="s">
        <v>42</v>
      </c>
      <c r="E1129" t="s">
        <v>43</v>
      </c>
      <c r="F1129" t="s">
        <v>44</v>
      </c>
      <c r="G1129" t="s">
        <v>45</v>
      </c>
      <c r="H1129" t="s">
        <v>1118</v>
      </c>
      <c r="AH1129" t="s">
        <v>42</v>
      </c>
      <c r="AI1129" t="str">
        <f>"18314"</f>
        <v>18314</v>
      </c>
      <c r="AJ1129" t="str">
        <f>"18314"</f>
        <v>18314</v>
      </c>
      <c r="AK1129" t="s">
        <v>46</v>
      </c>
      <c r="AL1129" s="1">
        <v>44846.882928240739</v>
      </c>
      <c r="AM1129" t="s">
        <v>44</v>
      </c>
    </row>
    <row r="1130" spans="1:39" x14ac:dyDescent="0.2">
      <c r="A1130" t="s">
        <v>1119</v>
      </c>
      <c r="B1130" t="s">
        <v>40</v>
      </c>
      <c r="C1130" t="s">
        <v>50</v>
      </c>
      <c r="D1130" t="s">
        <v>42</v>
      </c>
      <c r="E1130" t="s">
        <v>43</v>
      </c>
      <c r="F1130" t="s">
        <v>44</v>
      </c>
      <c r="G1130" t="s">
        <v>45</v>
      </c>
      <c r="AH1130" t="s">
        <v>42</v>
      </c>
      <c r="AI1130" t="str">
        <f>"66298832695353"</f>
        <v>66298832695353</v>
      </c>
      <c r="AJ1130" t="str">
        <f>"676-AMARILLO"</f>
        <v>676-AMARILLO</v>
      </c>
      <c r="AK1130" t="s">
        <v>46</v>
      </c>
      <c r="AL1130" s="1">
        <v>44816.550069444442</v>
      </c>
      <c r="AM1130" t="s">
        <v>44</v>
      </c>
    </row>
    <row r="1131" spans="1:39" x14ac:dyDescent="0.2">
      <c r="A1131" t="s">
        <v>1120</v>
      </c>
      <c r="B1131" t="s">
        <v>40</v>
      </c>
      <c r="C1131" t="s">
        <v>50</v>
      </c>
      <c r="D1131" t="s">
        <v>42</v>
      </c>
      <c r="E1131" t="s">
        <v>43</v>
      </c>
      <c r="F1131" t="s">
        <v>44</v>
      </c>
      <c r="G1131" t="s">
        <v>45</v>
      </c>
      <c r="AH1131" t="s">
        <v>42</v>
      </c>
      <c r="AI1131" t="str">
        <f>"66298832733578"</f>
        <v>66298832733578</v>
      </c>
      <c r="AJ1131" t="str">
        <f>"676-ROJO"</f>
        <v>676-ROJO</v>
      </c>
      <c r="AK1131" t="s">
        <v>46</v>
      </c>
      <c r="AL1131" s="1">
        <v>44816.550081018519</v>
      </c>
      <c r="AM1131" t="s">
        <v>44</v>
      </c>
    </row>
    <row r="1132" spans="1:39" x14ac:dyDescent="0.2">
      <c r="A1132" t="s">
        <v>1121</v>
      </c>
      <c r="B1132" t="s">
        <v>40</v>
      </c>
      <c r="C1132" t="s">
        <v>50</v>
      </c>
      <c r="D1132" t="s">
        <v>42</v>
      </c>
      <c r="E1132" t="s">
        <v>43</v>
      </c>
      <c r="F1132" t="s">
        <v>44</v>
      </c>
      <c r="G1132" t="s">
        <v>45</v>
      </c>
      <c r="H1132" t="s">
        <v>1122</v>
      </c>
      <c r="AH1132" t="s">
        <v>42</v>
      </c>
      <c r="AI1132" t="str">
        <f>"127126-FLUOR"</f>
        <v>127126-FLUOR</v>
      </c>
      <c r="AJ1132" t="str">
        <f>"127126-FLUOR"</f>
        <v>127126-FLUOR</v>
      </c>
      <c r="AK1132" t="s">
        <v>46</v>
      </c>
      <c r="AL1132" s="1">
        <v>45070.93241898148</v>
      </c>
      <c r="AM1132" t="s">
        <v>44</v>
      </c>
    </row>
    <row r="1133" spans="1:39" x14ac:dyDescent="0.2">
      <c r="A1133" t="s">
        <v>1121</v>
      </c>
      <c r="B1133" t="s">
        <v>40</v>
      </c>
      <c r="C1133" t="s">
        <v>50</v>
      </c>
      <c r="D1133" t="s">
        <v>42</v>
      </c>
      <c r="E1133" t="s">
        <v>43</v>
      </c>
      <c r="F1133" t="s">
        <v>44</v>
      </c>
      <c r="G1133" t="s">
        <v>45</v>
      </c>
      <c r="H1133" t="s">
        <v>1123</v>
      </c>
      <c r="AH1133" t="s">
        <v>42</v>
      </c>
      <c r="AI1133" t="str">
        <f>"127126-ROJO"</f>
        <v>127126-ROJO</v>
      </c>
      <c r="AJ1133" t="str">
        <f>"127126-ROJO"</f>
        <v>127126-ROJO</v>
      </c>
      <c r="AK1133" t="s">
        <v>46</v>
      </c>
      <c r="AL1133" s="1">
        <v>45070.932627314818</v>
      </c>
      <c r="AM1133" t="s">
        <v>44</v>
      </c>
    </row>
    <row r="1134" spans="1:39" x14ac:dyDescent="0.2">
      <c r="A1134" t="s">
        <v>1124</v>
      </c>
      <c r="B1134" t="s">
        <v>40</v>
      </c>
      <c r="C1134" t="s">
        <v>50</v>
      </c>
      <c r="D1134" t="s">
        <v>42</v>
      </c>
      <c r="E1134" t="s">
        <v>43</v>
      </c>
      <c r="F1134" t="s">
        <v>44</v>
      </c>
      <c r="G1134" t="s">
        <v>45</v>
      </c>
      <c r="AH1134" t="s">
        <v>43</v>
      </c>
      <c r="AI1134" t="str">
        <f>"AE003"</f>
        <v>AE003</v>
      </c>
      <c r="AJ1134" t="str">
        <f>"AE003"</f>
        <v>AE003</v>
      </c>
      <c r="AK1134" t="s">
        <v>46</v>
      </c>
      <c r="AL1134" s="1">
        <v>44971.894143518519</v>
      </c>
      <c r="AM1134" t="s">
        <v>44</v>
      </c>
    </row>
    <row r="1135" spans="1:39" x14ac:dyDescent="0.2">
      <c r="A1135" t="s">
        <v>1124</v>
      </c>
      <c r="B1135" t="s">
        <v>40</v>
      </c>
      <c r="C1135" t="s">
        <v>50</v>
      </c>
      <c r="D1135" t="s">
        <v>42</v>
      </c>
      <c r="E1135" t="s">
        <v>43</v>
      </c>
      <c r="F1135" t="s">
        <v>44</v>
      </c>
      <c r="G1135" t="s">
        <v>45</v>
      </c>
      <c r="AH1135" t="s">
        <v>42</v>
      </c>
      <c r="AI1135" t="str">
        <f>"817-C"</f>
        <v>817-C</v>
      </c>
      <c r="AJ1135" t="str">
        <f>"817-C"</f>
        <v>817-C</v>
      </c>
      <c r="AK1135" t="s">
        <v>46</v>
      </c>
      <c r="AL1135" s="1">
        <v>44995.572800925926</v>
      </c>
      <c r="AM1135" t="s">
        <v>44</v>
      </c>
    </row>
    <row r="1136" spans="1:39" x14ac:dyDescent="0.2">
      <c r="A1136" t="s">
        <v>1124</v>
      </c>
      <c r="B1136" t="s">
        <v>40</v>
      </c>
      <c r="C1136" t="s">
        <v>50</v>
      </c>
      <c r="D1136" t="s">
        <v>42</v>
      </c>
      <c r="E1136" t="s">
        <v>43</v>
      </c>
      <c r="F1136" t="s">
        <v>44</v>
      </c>
      <c r="G1136" t="s">
        <v>45</v>
      </c>
      <c r="AH1136" t="s">
        <v>42</v>
      </c>
      <c r="AI1136" t="str">
        <f>"681"</f>
        <v>681</v>
      </c>
      <c r="AJ1136" t="str">
        <f>"681"</f>
        <v>681</v>
      </c>
      <c r="AK1136" t="s">
        <v>46</v>
      </c>
      <c r="AL1136" s="1">
        <v>44995.750127314815</v>
      </c>
      <c r="AM1136" t="s">
        <v>44</v>
      </c>
    </row>
    <row r="1137" spans="1:39" x14ac:dyDescent="0.2">
      <c r="A1137" t="s">
        <v>1124</v>
      </c>
      <c r="B1137" t="s">
        <v>40</v>
      </c>
      <c r="C1137" t="s">
        <v>50</v>
      </c>
      <c r="D1137" t="s">
        <v>42</v>
      </c>
      <c r="E1137" t="s">
        <v>43</v>
      </c>
      <c r="F1137" t="s">
        <v>44</v>
      </c>
      <c r="G1137" t="s">
        <v>45</v>
      </c>
      <c r="AH1137" t="s">
        <v>42</v>
      </c>
      <c r="AI1137" t="str">
        <f>"LK603"</f>
        <v>LK603</v>
      </c>
      <c r="AJ1137" t="str">
        <f>"LK603"</f>
        <v>LK603</v>
      </c>
      <c r="AK1137" t="s">
        <v>46</v>
      </c>
      <c r="AL1137" s="1">
        <v>45070.913217592592</v>
      </c>
      <c r="AM1137" t="s">
        <v>44</v>
      </c>
    </row>
    <row r="1138" spans="1:39" x14ac:dyDescent="0.2">
      <c r="A1138" t="s">
        <v>1125</v>
      </c>
      <c r="B1138" t="s">
        <v>40</v>
      </c>
      <c r="C1138" t="s">
        <v>1106</v>
      </c>
      <c r="D1138" t="s">
        <v>42</v>
      </c>
      <c r="E1138" t="s">
        <v>43</v>
      </c>
      <c r="F1138" t="s">
        <v>44</v>
      </c>
      <c r="G1138" t="s">
        <v>45</v>
      </c>
      <c r="AH1138" t="s">
        <v>42</v>
      </c>
      <c r="AI1138" t="str">
        <f>"66298832774091"</f>
        <v>66298832774091</v>
      </c>
      <c r="AJ1138" t="str">
        <f>"AE005"</f>
        <v>AE005</v>
      </c>
      <c r="AK1138" t="s">
        <v>46</v>
      </c>
      <c r="AL1138" s="1">
        <v>44816.550081018519</v>
      </c>
      <c r="AM1138" t="s">
        <v>44</v>
      </c>
    </row>
    <row r="1139" spans="1:39" x14ac:dyDescent="0.2">
      <c r="A1139" t="s">
        <v>1126</v>
      </c>
      <c r="B1139" t="s">
        <v>40</v>
      </c>
      <c r="C1139" t="s">
        <v>1106</v>
      </c>
      <c r="D1139" t="s">
        <v>42</v>
      </c>
      <c r="E1139" t="s">
        <v>43</v>
      </c>
      <c r="F1139" t="s">
        <v>44</v>
      </c>
      <c r="G1139" t="s">
        <v>45</v>
      </c>
      <c r="AH1139" t="s">
        <v>42</v>
      </c>
      <c r="AI1139" t="str">
        <f>"66298832814606"</f>
        <v>66298832814606</v>
      </c>
      <c r="AJ1139" t="str">
        <f>"AE008-AZUL"</f>
        <v>AE008-AZUL</v>
      </c>
      <c r="AK1139" t="s">
        <v>46</v>
      </c>
      <c r="AL1139" s="1">
        <v>44816.550092592595</v>
      </c>
      <c r="AM1139" t="s">
        <v>44</v>
      </c>
    </row>
    <row r="1140" spans="1:39" x14ac:dyDescent="0.2">
      <c r="A1140" t="s">
        <v>1127</v>
      </c>
      <c r="B1140" t="s">
        <v>40</v>
      </c>
      <c r="C1140" t="s">
        <v>1106</v>
      </c>
      <c r="D1140" t="s">
        <v>42</v>
      </c>
      <c r="E1140" t="s">
        <v>43</v>
      </c>
      <c r="F1140" t="s">
        <v>44</v>
      </c>
      <c r="G1140" t="s">
        <v>45</v>
      </c>
      <c r="AH1140" t="s">
        <v>42</v>
      </c>
      <c r="AI1140" t="str">
        <f>"66298832852479"</f>
        <v>66298832852479</v>
      </c>
      <c r="AJ1140" t="str">
        <f>"AE008-CROMADO"</f>
        <v>AE008-CROMADO</v>
      </c>
      <c r="AK1140" t="s">
        <v>46</v>
      </c>
      <c r="AL1140" s="1">
        <v>44816.550092592595</v>
      </c>
      <c r="AM1140" t="s">
        <v>44</v>
      </c>
    </row>
    <row r="1141" spans="1:39" x14ac:dyDescent="0.2">
      <c r="A1141" t="s">
        <v>1128</v>
      </c>
      <c r="B1141" t="s">
        <v>40</v>
      </c>
      <c r="C1141" t="s">
        <v>1106</v>
      </c>
      <c r="D1141" t="s">
        <v>42</v>
      </c>
      <c r="E1141" t="s">
        <v>43</v>
      </c>
      <c r="F1141" t="s">
        <v>44</v>
      </c>
      <c r="G1141" t="s">
        <v>45</v>
      </c>
      <c r="AH1141" t="s">
        <v>42</v>
      </c>
      <c r="AI1141" t="str">
        <f>"66298832890476"</f>
        <v>66298832890476</v>
      </c>
      <c r="AJ1141" t="str">
        <f>"AE008-DORADO"</f>
        <v>AE008-DORADO</v>
      </c>
      <c r="AK1141" t="s">
        <v>46</v>
      </c>
      <c r="AL1141" s="1">
        <v>44816.550092592595</v>
      </c>
      <c r="AM1141" t="s">
        <v>44</v>
      </c>
    </row>
    <row r="1142" spans="1:39" x14ac:dyDescent="0.2">
      <c r="A1142" t="s">
        <v>1129</v>
      </c>
      <c r="B1142" t="s">
        <v>40</v>
      </c>
      <c r="C1142" t="s">
        <v>1106</v>
      </c>
      <c r="D1142" t="s">
        <v>42</v>
      </c>
      <c r="E1142" t="s">
        <v>43</v>
      </c>
      <c r="F1142" t="s">
        <v>44</v>
      </c>
      <c r="G1142" t="s">
        <v>45</v>
      </c>
      <c r="AH1142" t="s">
        <v>42</v>
      </c>
      <c r="AI1142" t="str">
        <f>"66298832936447"</f>
        <v>66298832936447</v>
      </c>
      <c r="AJ1142" t="str">
        <f>"AE008-NEGRO"</f>
        <v>AE008-NEGRO</v>
      </c>
      <c r="AK1142" t="s">
        <v>46</v>
      </c>
      <c r="AL1142" s="1">
        <v>44816.550104166665</v>
      </c>
      <c r="AM1142" t="s">
        <v>44</v>
      </c>
    </row>
    <row r="1143" spans="1:39" x14ac:dyDescent="0.2">
      <c r="A1143" t="s">
        <v>1130</v>
      </c>
      <c r="B1143" t="s">
        <v>40</v>
      </c>
      <c r="C1143" t="s">
        <v>1106</v>
      </c>
      <c r="D1143" t="s">
        <v>42</v>
      </c>
      <c r="E1143" t="s">
        <v>43</v>
      </c>
      <c r="F1143" t="s">
        <v>44</v>
      </c>
      <c r="G1143" t="s">
        <v>45</v>
      </c>
      <c r="AH1143" t="s">
        <v>42</v>
      </c>
      <c r="AI1143" t="str">
        <f>"66298832981775"</f>
        <v>66298832981775</v>
      </c>
      <c r="AJ1143" t="str">
        <f>"AE008-ROJO"</f>
        <v>AE008-ROJO</v>
      </c>
      <c r="AK1143" t="s">
        <v>46</v>
      </c>
      <c r="AL1143" s="1">
        <v>44816.550104166665</v>
      </c>
      <c r="AM1143" t="s">
        <v>44</v>
      </c>
    </row>
    <row r="1144" spans="1:39" x14ac:dyDescent="0.2">
      <c r="A1144" t="s">
        <v>1131</v>
      </c>
      <c r="B1144" t="s">
        <v>40</v>
      </c>
      <c r="C1144" t="s">
        <v>1106</v>
      </c>
      <c r="D1144" t="s">
        <v>42</v>
      </c>
      <c r="E1144" t="s">
        <v>43</v>
      </c>
      <c r="F1144" t="s">
        <v>44</v>
      </c>
      <c r="G1144" t="s">
        <v>45</v>
      </c>
      <c r="AH1144" t="s">
        <v>42</v>
      </c>
      <c r="AI1144" t="str">
        <f>"66298833029480"</f>
        <v>66298833029480</v>
      </c>
      <c r="AJ1144" t="str">
        <f>"AE008-A"</f>
        <v>AE008-A</v>
      </c>
      <c r="AK1144" t="s">
        <v>46</v>
      </c>
      <c r="AL1144" s="1">
        <v>44816.550115740742</v>
      </c>
      <c r="AM1144" t="s">
        <v>44</v>
      </c>
    </row>
    <row r="1145" spans="1:39" x14ac:dyDescent="0.2">
      <c r="A1145" t="s">
        <v>1132</v>
      </c>
      <c r="B1145" t="s">
        <v>40</v>
      </c>
      <c r="C1145" t="s">
        <v>1133</v>
      </c>
      <c r="D1145" t="s">
        <v>42</v>
      </c>
      <c r="E1145" t="s">
        <v>43</v>
      </c>
      <c r="F1145" t="s">
        <v>44</v>
      </c>
      <c r="G1145" t="s">
        <v>45</v>
      </c>
      <c r="AH1145" t="s">
        <v>42</v>
      </c>
      <c r="AI1145" t="str">
        <f>"66298833069290"</f>
        <v>66298833069290</v>
      </c>
      <c r="AJ1145" t="str">
        <f>"400672"</f>
        <v>400672</v>
      </c>
      <c r="AK1145" t="s">
        <v>46</v>
      </c>
      <c r="AL1145" s="1">
        <v>44816.550115740742</v>
      </c>
      <c r="AM1145" t="s">
        <v>44</v>
      </c>
    </row>
    <row r="1146" spans="1:39" x14ac:dyDescent="0.2">
      <c r="A1146" t="s">
        <v>1134</v>
      </c>
      <c r="B1146" t="s">
        <v>40</v>
      </c>
      <c r="C1146" t="s">
        <v>1133</v>
      </c>
      <c r="D1146" t="s">
        <v>42</v>
      </c>
      <c r="E1146" t="s">
        <v>43</v>
      </c>
      <c r="F1146" t="s">
        <v>44</v>
      </c>
      <c r="G1146" t="s">
        <v>45</v>
      </c>
      <c r="AH1146" t="s">
        <v>42</v>
      </c>
      <c r="AI1146" t="str">
        <f>"66298833110945"</f>
        <v>66298833110945</v>
      </c>
      <c r="AJ1146" t="str">
        <f>"400668"</f>
        <v>400668</v>
      </c>
      <c r="AK1146" t="s">
        <v>46</v>
      </c>
      <c r="AL1146" s="1">
        <v>44816.550127314818</v>
      </c>
      <c r="AM1146" t="s">
        <v>44</v>
      </c>
    </row>
    <row r="1147" spans="1:39" x14ac:dyDescent="0.2">
      <c r="A1147" t="s">
        <v>1135</v>
      </c>
      <c r="B1147" t="s">
        <v>40</v>
      </c>
      <c r="C1147" t="s">
        <v>1133</v>
      </c>
      <c r="D1147" t="s">
        <v>42</v>
      </c>
      <c r="E1147" t="s">
        <v>43</v>
      </c>
      <c r="F1147" t="s">
        <v>44</v>
      </c>
      <c r="G1147" t="s">
        <v>45</v>
      </c>
      <c r="AH1147" t="s">
        <v>42</v>
      </c>
      <c r="AI1147" t="str">
        <f>"66298833155004"</f>
        <v>66298833155004</v>
      </c>
      <c r="AJ1147" t="str">
        <f>"400675"</f>
        <v>400675</v>
      </c>
      <c r="AK1147" t="s">
        <v>46</v>
      </c>
      <c r="AL1147" s="1">
        <v>44816.550127314818</v>
      </c>
      <c r="AM1147" t="s">
        <v>44</v>
      </c>
    </row>
    <row r="1148" spans="1:39" x14ac:dyDescent="0.2">
      <c r="A1148" t="s">
        <v>1136</v>
      </c>
      <c r="B1148" t="s">
        <v>40</v>
      </c>
      <c r="C1148" t="s">
        <v>1133</v>
      </c>
      <c r="D1148" t="s">
        <v>42</v>
      </c>
      <c r="E1148" t="s">
        <v>43</v>
      </c>
      <c r="F1148" t="s">
        <v>44</v>
      </c>
      <c r="G1148" t="s">
        <v>45</v>
      </c>
      <c r="AH1148" t="s">
        <v>42</v>
      </c>
      <c r="AI1148" t="str">
        <f>"66298833206042"</f>
        <v>66298833206042</v>
      </c>
      <c r="AJ1148" t="str">
        <f>"400674"</f>
        <v>400674</v>
      </c>
      <c r="AK1148" t="s">
        <v>46</v>
      </c>
      <c r="AL1148" s="1">
        <v>44816.550138888888</v>
      </c>
      <c r="AM1148" t="s">
        <v>44</v>
      </c>
    </row>
    <row r="1149" spans="1:39" x14ac:dyDescent="0.2">
      <c r="A1149" t="s">
        <v>1137</v>
      </c>
      <c r="B1149" t="s">
        <v>40</v>
      </c>
      <c r="C1149" t="s">
        <v>1133</v>
      </c>
      <c r="D1149" t="s">
        <v>42</v>
      </c>
      <c r="E1149" t="s">
        <v>43</v>
      </c>
      <c r="F1149" t="s">
        <v>44</v>
      </c>
      <c r="G1149" t="s">
        <v>45</v>
      </c>
      <c r="AH1149" t="s">
        <v>42</v>
      </c>
      <c r="AI1149" t="str">
        <f>"66298833243993"</f>
        <v>66298833243993</v>
      </c>
      <c r="AJ1149" t="str">
        <f>"400669"</f>
        <v>400669</v>
      </c>
      <c r="AK1149" t="s">
        <v>46</v>
      </c>
      <c r="AL1149" s="1">
        <v>44816.550138888888</v>
      </c>
      <c r="AM1149" t="s">
        <v>44</v>
      </c>
    </row>
    <row r="1150" spans="1:39" x14ac:dyDescent="0.2">
      <c r="A1150" t="s">
        <v>1138</v>
      </c>
      <c r="B1150" t="s">
        <v>40</v>
      </c>
      <c r="C1150" t="s">
        <v>1133</v>
      </c>
      <c r="D1150" t="s">
        <v>42</v>
      </c>
      <c r="E1150" t="s">
        <v>43</v>
      </c>
      <c r="F1150" t="s">
        <v>44</v>
      </c>
      <c r="G1150" t="s">
        <v>45</v>
      </c>
      <c r="AH1150" t="s">
        <v>42</v>
      </c>
      <c r="AI1150" t="str">
        <f>"66298833286696"</f>
        <v>66298833286696</v>
      </c>
      <c r="AJ1150" t="str">
        <f>"400670"</f>
        <v>400670</v>
      </c>
      <c r="AK1150" t="s">
        <v>46</v>
      </c>
      <c r="AL1150" s="1">
        <v>44816.550138888888</v>
      </c>
      <c r="AM1150" t="s">
        <v>44</v>
      </c>
    </row>
    <row r="1151" spans="1:39" x14ac:dyDescent="0.2">
      <c r="A1151" t="s">
        <v>1139</v>
      </c>
      <c r="B1151" t="s">
        <v>40</v>
      </c>
      <c r="C1151" t="s">
        <v>1133</v>
      </c>
      <c r="D1151" t="s">
        <v>42</v>
      </c>
      <c r="E1151" t="s">
        <v>43</v>
      </c>
      <c r="F1151" t="s">
        <v>44</v>
      </c>
      <c r="G1151" t="s">
        <v>45</v>
      </c>
      <c r="AH1151" t="s">
        <v>42</v>
      </c>
      <c r="AI1151" t="str">
        <f>"66298833325312"</f>
        <v>66298833325312</v>
      </c>
      <c r="AJ1151" t="str">
        <f>"400671"</f>
        <v>400671</v>
      </c>
      <c r="AK1151" t="s">
        <v>46</v>
      </c>
      <c r="AL1151" s="1">
        <v>44816.550150462965</v>
      </c>
      <c r="AM1151" t="s">
        <v>44</v>
      </c>
    </row>
    <row r="1152" spans="1:39" x14ac:dyDescent="0.2">
      <c r="A1152" t="s">
        <v>1140</v>
      </c>
      <c r="B1152" t="s">
        <v>48</v>
      </c>
      <c r="C1152" t="s">
        <v>1141</v>
      </c>
      <c r="D1152" t="s">
        <v>42</v>
      </c>
      <c r="E1152" t="s">
        <v>43</v>
      </c>
      <c r="F1152" t="s">
        <v>44</v>
      </c>
      <c r="G1152" t="s">
        <v>45</v>
      </c>
      <c r="AH1152" t="s">
        <v>42</v>
      </c>
      <c r="AI1152" t="str">
        <f>"X023"</f>
        <v>X023</v>
      </c>
      <c r="AJ1152" t="str">
        <f>"X023"</f>
        <v>X023</v>
      </c>
      <c r="AK1152" t="s">
        <v>46</v>
      </c>
      <c r="AL1152" s="1">
        <v>45014.807303240741</v>
      </c>
      <c r="AM1152" t="s">
        <v>44</v>
      </c>
    </row>
    <row r="1153" spans="1:39" x14ac:dyDescent="0.2">
      <c r="A1153" t="s">
        <v>1142</v>
      </c>
      <c r="B1153" t="s">
        <v>40</v>
      </c>
      <c r="C1153" t="s">
        <v>1143</v>
      </c>
      <c r="D1153" t="s">
        <v>42</v>
      </c>
      <c r="E1153" t="s">
        <v>43</v>
      </c>
      <c r="F1153" t="s">
        <v>44</v>
      </c>
      <c r="G1153" t="s">
        <v>45</v>
      </c>
      <c r="AH1153" t="s">
        <v>42</v>
      </c>
      <c r="AI1153" t="str">
        <f>"66298833406251"</f>
        <v>66298833406251</v>
      </c>
      <c r="AJ1153" t="str">
        <f>"400574"</f>
        <v>400574</v>
      </c>
      <c r="AK1153" t="s">
        <v>46</v>
      </c>
      <c r="AL1153" s="1">
        <v>44816.550162037034</v>
      </c>
      <c r="AM1153" t="s">
        <v>44</v>
      </c>
    </row>
    <row r="1154" spans="1:39" x14ac:dyDescent="0.2">
      <c r="A1154" t="s">
        <v>1144</v>
      </c>
      <c r="B1154" t="s">
        <v>40</v>
      </c>
      <c r="C1154" t="s">
        <v>1143</v>
      </c>
      <c r="D1154" t="s">
        <v>42</v>
      </c>
      <c r="E1154" t="s">
        <v>43</v>
      </c>
      <c r="F1154" t="s">
        <v>44</v>
      </c>
      <c r="G1154" t="s">
        <v>45</v>
      </c>
      <c r="AH1154" t="s">
        <v>42</v>
      </c>
      <c r="AI1154" t="str">
        <f>"66298833365851"</f>
        <v>66298833365851</v>
      </c>
      <c r="AJ1154" t="str">
        <f>"400535"</f>
        <v>400535</v>
      </c>
      <c r="AK1154" t="s">
        <v>46</v>
      </c>
      <c r="AL1154" s="1">
        <v>44816.550150462965</v>
      </c>
      <c r="AM1154" t="s">
        <v>44</v>
      </c>
    </row>
    <row r="1155" spans="1:39" x14ac:dyDescent="0.2">
      <c r="A1155" t="s">
        <v>1145</v>
      </c>
      <c r="B1155" t="s">
        <v>40</v>
      </c>
      <c r="C1155" t="s">
        <v>1143</v>
      </c>
      <c r="D1155" t="s">
        <v>42</v>
      </c>
      <c r="E1155" t="s">
        <v>43</v>
      </c>
      <c r="F1155" t="s">
        <v>44</v>
      </c>
      <c r="G1155" t="s">
        <v>45</v>
      </c>
      <c r="AH1155" t="s">
        <v>42</v>
      </c>
      <c r="AI1155" t="str">
        <f>"66298833448615"</f>
        <v>66298833448615</v>
      </c>
      <c r="AJ1155" t="str">
        <f>"400538"</f>
        <v>400538</v>
      </c>
      <c r="AK1155" t="s">
        <v>46</v>
      </c>
      <c r="AL1155" s="1">
        <v>44816.550162037034</v>
      </c>
      <c r="AM1155" t="s">
        <v>44</v>
      </c>
    </row>
    <row r="1156" spans="1:39" x14ac:dyDescent="0.2">
      <c r="A1156" t="s">
        <v>1146</v>
      </c>
      <c r="B1156" t="s">
        <v>40</v>
      </c>
      <c r="C1156" t="s">
        <v>1143</v>
      </c>
      <c r="D1156" t="s">
        <v>42</v>
      </c>
      <c r="E1156" t="s">
        <v>43</v>
      </c>
      <c r="F1156" t="s">
        <v>44</v>
      </c>
      <c r="G1156" t="s">
        <v>45</v>
      </c>
      <c r="AH1156" t="s">
        <v>42</v>
      </c>
      <c r="AI1156" t="str">
        <f>"66298833490218"</f>
        <v>66298833490218</v>
      </c>
      <c r="AJ1156" t="str">
        <f>"JPC1801-068"</f>
        <v>JPC1801-068</v>
      </c>
      <c r="AK1156" t="s">
        <v>46</v>
      </c>
      <c r="AL1156" s="1">
        <v>44816.550162037034</v>
      </c>
      <c r="AM1156" t="s">
        <v>44</v>
      </c>
    </row>
    <row r="1157" spans="1:39" x14ac:dyDescent="0.2">
      <c r="A1157" t="s">
        <v>1147</v>
      </c>
      <c r="B1157" t="s">
        <v>40</v>
      </c>
      <c r="C1157" t="s">
        <v>1143</v>
      </c>
      <c r="D1157" t="s">
        <v>42</v>
      </c>
      <c r="E1157" t="s">
        <v>43</v>
      </c>
      <c r="F1157" t="s">
        <v>44</v>
      </c>
      <c r="G1157" t="s">
        <v>45</v>
      </c>
      <c r="AH1157" t="s">
        <v>42</v>
      </c>
      <c r="AI1157" t="str">
        <f>"66298833527824"</f>
        <v>66298833527824</v>
      </c>
      <c r="AJ1157" t="str">
        <f>"JPC1801-069"</f>
        <v>JPC1801-069</v>
      </c>
      <c r="AK1157" t="s">
        <v>46</v>
      </c>
      <c r="AL1157" s="1">
        <v>44816.550173611111</v>
      </c>
      <c r="AM1157" t="s">
        <v>44</v>
      </c>
    </row>
    <row r="1158" spans="1:39" x14ac:dyDescent="0.2">
      <c r="A1158" t="s">
        <v>1148</v>
      </c>
      <c r="B1158" t="s">
        <v>40</v>
      </c>
      <c r="C1158" t="s">
        <v>1143</v>
      </c>
      <c r="D1158" t="s">
        <v>42</v>
      </c>
      <c r="E1158" t="s">
        <v>43</v>
      </c>
      <c r="F1158" t="s">
        <v>44</v>
      </c>
      <c r="G1158" t="s">
        <v>45</v>
      </c>
      <c r="AH1158" t="s">
        <v>42</v>
      </c>
      <c r="AI1158" t="str">
        <f>"66298833606495"</f>
        <v>66298833606495</v>
      </c>
      <c r="AJ1158" t="str">
        <f>"400539"</f>
        <v>400539</v>
      </c>
      <c r="AK1158" t="s">
        <v>46</v>
      </c>
      <c r="AL1158" s="1">
        <v>44816.550185185188</v>
      </c>
      <c r="AM1158" t="s">
        <v>44</v>
      </c>
    </row>
    <row r="1159" spans="1:39" x14ac:dyDescent="0.2">
      <c r="A1159" t="s">
        <v>1149</v>
      </c>
      <c r="B1159" t="s">
        <v>40</v>
      </c>
      <c r="C1159" t="s">
        <v>1143</v>
      </c>
      <c r="D1159" t="s">
        <v>42</v>
      </c>
      <c r="E1159" t="s">
        <v>43</v>
      </c>
      <c r="F1159" t="s">
        <v>44</v>
      </c>
      <c r="G1159" t="s">
        <v>45</v>
      </c>
      <c r="AH1159" t="s">
        <v>42</v>
      </c>
      <c r="AI1159" t="str">
        <f>"66298833569296"</f>
        <v>66298833569296</v>
      </c>
      <c r="AJ1159" t="str">
        <f>"X032"</f>
        <v>X032</v>
      </c>
      <c r="AK1159" t="s">
        <v>46</v>
      </c>
      <c r="AL1159" s="1">
        <v>44816.550173611111</v>
      </c>
      <c r="AM1159" t="s">
        <v>44</v>
      </c>
    </row>
    <row r="1160" spans="1:39" x14ac:dyDescent="0.2">
      <c r="A1160" t="s">
        <v>1150</v>
      </c>
      <c r="B1160" t="s">
        <v>40</v>
      </c>
      <c r="C1160" t="s">
        <v>1143</v>
      </c>
      <c r="D1160" t="s">
        <v>42</v>
      </c>
      <c r="E1160" t="s">
        <v>43</v>
      </c>
      <c r="F1160" t="s">
        <v>44</v>
      </c>
      <c r="G1160" t="s">
        <v>45</v>
      </c>
      <c r="AH1160" t="s">
        <v>42</v>
      </c>
      <c r="AI1160" t="str">
        <f>"X001"</f>
        <v>X001</v>
      </c>
      <c r="AJ1160" t="str">
        <f>"X001"</f>
        <v>X001</v>
      </c>
      <c r="AK1160" t="s">
        <v>46</v>
      </c>
      <c r="AL1160" s="1">
        <v>45089.712754629632</v>
      </c>
      <c r="AM1160" t="s">
        <v>44</v>
      </c>
    </row>
    <row r="1161" spans="1:39" x14ac:dyDescent="0.2">
      <c r="A1161" t="s">
        <v>1151</v>
      </c>
      <c r="B1161" t="s">
        <v>40</v>
      </c>
      <c r="C1161" t="s">
        <v>1143</v>
      </c>
      <c r="D1161" t="s">
        <v>42</v>
      </c>
      <c r="E1161" t="s">
        <v>43</v>
      </c>
      <c r="F1161" t="s">
        <v>44</v>
      </c>
      <c r="G1161" t="s">
        <v>45</v>
      </c>
      <c r="AH1161" t="s">
        <v>42</v>
      </c>
      <c r="AI1161" t="str">
        <f>"X018"</f>
        <v>X018</v>
      </c>
      <c r="AJ1161" t="str">
        <f>"X018"</f>
        <v>X018</v>
      </c>
      <c r="AK1161" t="s">
        <v>46</v>
      </c>
      <c r="AL1161" s="1">
        <v>45089.713402777779</v>
      </c>
      <c r="AM1161" t="s">
        <v>44</v>
      </c>
    </row>
    <row r="1162" spans="1:39" x14ac:dyDescent="0.2">
      <c r="A1162" t="s">
        <v>1152</v>
      </c>
      <c r="B1162" t="s">
        <v>40</v>
      </c>
      <c r="C1162" t="s">
        <v>1143</v>
      </c>
      <c r="D1162" t="s">
        <v>42</v>
      </c>
      <c r="E1162" t="s">
        <v>43</v>
      </c>
      <c r="F1162" t="s">
        <v>44</v>
      </c>
      <c r="G1162" t="s">
        <v>45</v>
      </c>
      <c r="AH1162" t="s">
        <v>42</v>
      </c>
      <c r="AI1162" t="str">
        <f>"66298833648055"</f>
        <v>66298833648055</v>
      </c>
      <c r="AJ1162" t="str">
        <f>"80386"</f>
        <v>80386</v>
      </c>
      <c r="AK1162" t="s">
        <v>46</v>
      </c>
      <c r="AL1162" s="1">
        <v>44816.550185185188</v>
      </c>
      <c r="AM1162" t="s">
        <v>44</v>
      </c>
    </row>
    <row r="1163" spans="1:39" x14ac:dyDescent="0.2">
      <c r="A1163" t="s">
        <v>1153</v>
      </c>
      <c r="B1163" t="s">
        <v>40</v>
      </c>
      <c r="C1163" t="s">
        <v>1143</v>
      </c>
      <c r="D1163" t="s">
        <v>42</v>
      </c>
      <c r="E1163" t="s">
        <v>43</v>
      </c>
      <c r="F1163" t="s">
        <v>44</v>
      </c>
      <c r="G1163" t="s">
        <v>45</v>
      </c>
      <c r="AH1163" t="s">
        <v>42</v>
      </c>
      <c r="AI1163" t="str">
        <f>"66298833706346"</f>
        <v>66298833706346</v>
      </c>
      <c r="AJ1163" t="str">
        <f>"400540"</f>
        <v>400540</v>
      </c>
      <c r="AK1163" t="s">
        <v>46</v>
      </c>
      <c r="AL1163" s="1">
        <v>44816.550196759257</v>
      </c>
      <c r="AM1163" t="s">
        <v>44</v>
      </c>
    </row>
    <row r="1164" spans="1:39" x14ac:dyDescent="0.2">
      <c r="A1164" t="s">
        <v>1154</v>
      </c>
      <c r="B1164" t="s">
        <v>40</v>
      </c>
      <c r="C1164" t="s">
        <v>1143</v>
      </c>
      <c r="D1164" t="s">
        <v>42</v>
      </c>
      <c r="E1164" t="s">
        <v>43</v>
      </c>
      <c r="F1164" t="s">
        <v>44</v>
      </c>
      <c r="G1164" t="s">
        <v>45</v>
      </c>
      <c r="AH1164" t="s">
        <v>42</v>
      </c>
      <c r="AI1164" t="str">
        <f>"66298833749382"</f>
        <v>66298833749382</v>
      </c>
      <c r="AJ1164" t="str">
        <f>"X004"</f>
        <v>X004</v>
      </c>
      <c r="AK1164" t="s">
        <v>46</v>
      </c>
      <c r="AL1164" s="1">
        <v>44816.550196759257</v>
      </c>
      <c r="AM1164" t="s">
        <v>44</v>
      </c>
    </row>
    <row r="1165" spans="1:39" x14ac:dyDescent="0.2">
      <c r="A1165" t="s">
        <v>1155</v>
      </c>
      <c r="B1165" t="s">
        <v>40</v>
      </c>
      <c r="C1165" t="s">
        <v>1143</v>
      </c>
      <c r="D1165" t="s">
        <v>42</v>
      </c>
      <c r="E1165" t="s">
        <v>43</v>
      </c>
      <c r="F1165" t="s">
        <v>44</v>
      </c>
      <c r="G1165" t="s">
        <v>45</v>
      </c>
      <c r="AH1165" t="s">
        <v>42</v>
      </c>
      <c r="AI1165" t="str">
        <f>"66298833788999"</f>
        <v>66298833788999</v>
      </c>
      <c r="AJ1165" t="str">
        <f>"X002"</f>
        <v>X002</v>
      </c>
      <c r="AK1165" t="s">
        <v>46</v>
      </c>
      <c r="AL1165" s="1">
        <v>44816.550196759257</v>
      </c>
      <c r="AM1165" t="s">
        <v>44</v>
      </c>
    </row>
    <row r="1166" spans="1:39" x14ac:dyDescent="0.2">
      <c r="A1166" t="s">
        <v>1156</v>
      </c>
      <c r="B1166" t="s">
        <v>40</v>
      </c>
      <c r="C1166" t="s">
        <v>1143</v>
      </c>
      <c r="D1166" t="s">
        <v>42</v>
      </c>
      <c r="E1166" t="s">
        <v>43</v>
      </c>
      <c r="F1166" t="s">
        <v>44</v>
      </c>
      <c r="G1166" t="s">
        <v>45</v>
      </c>
      <c r="AH1166" t="s">
        <v>42</v>
      </c>
      <c r="AI1166" t="str">
        <f>"66298833874927"</f>
        <v>66298833874927</v>
      </c>
      <c r="AJ1166" t="str">
        <f>"400537"</f>
        <v>400537</v>
      </c>
      <c r="AK1166" t="s">
        <v>46</v>
      </c>
      <c r="AL1166" s="1">
        <v>44816.550208333334</v>
      </c>
      <c r="AM1166" t="s">
        <v>44</v>
      </c>
    </row>
    <row r="1167" spans="1:39" x14ac:dyDescent="0.2">
      <c r="A1167" t="s">
        <v>1157</v>
      </c>
      <c r="B1167" t="s">
        <v>40</v>
      </c>
      <c r="C1167" t="s">
        <v>1143</v>
      </c>
      <c r="D1167" t="s">
        <v>42</v>
      </c>
      <c r="E1167" t="s">
        <v>43</v>
      </c>
      <c r="F1167" t="s">
        <v>44</v>
      </c>
      <c r="G1167" t="s">
        <v>45</v>
      </c>
      <c r="AH1167" t="s">
        <v>42</v>
      </c>
      <c r="AI1167" t="str">
        <f>"X003"</f>
        <v>X003</v>
      </c>
      <c r="AJ1167" t="str">
        <f>"X003"</f>
        <v>X003</v>
      </c>
      <c r="AK1167" t="s">
        <v>46</v>
      </c>
      <c r="AL1167" s="1">
        <v>44816.550208333334</v>
      </c>
      <c r="AM1167" t="s">
        <v>44</v>
      </c>
    </row>
    <row r="1168" spans="1:39" x14ac:dyDescent="0.2">
      <c r="A1168" t="s">
        <v>1158</v>
      </c>
      <c r="B1168" t="s">
        <v>40</v>
      </c>
      <c r="C1168" t="s">
        <v>1143</v>
      </c>
      <c r="D1168" t="s">
        <v>42</v>
      </c>
      <c r="E1168" t="s">
        <v>43</v>
      </c>
      <c r="F1168" t="s">
        <v>44</v>
      </c>
      <c r="G1168" t="s">
        <v>45</v>
      </c>
      <c r="AH1168" t="s">
        <v>42</v>
      </c>
      <c r="AI1168" t="str">
        <f>"66298833921737"</f>
        <v>66298833921737</v>
      </c>
      <c r="AJ1168" t="str">
        <f>"X010"</f>
        <v>X010</v>
      </c>
      <c r="AK1168" t="s">
        <v>46</v>
      </c>
      <c r="AL1168" s="1">
        <v>44816.550219907411</v>
      </c>
      <c r="AM1168" t="s">
        <v>44</v>
      </c>
    </row>
    <row r="1169" spans="1:39" x14ac:dyDescent="0.2">
      <c r="A1169" t="s">
        <v>1159</v>
      </c>
      <c r="B1169" t="s">
        <v>40</v>
      </c>
      <c r="C1169" t="s">
        <v>1143</v>
      </c>
      <c r="D1169" t="s">
        <v>42</v>
      </c>
      <c r="E1169" t="s">
        <v>43</v>
      </c>
      <c r="F1169" t="s">
        <v>44</v>
      </c>
      <c r="G1169" t="s">
        <v>45</v>
      </c>
      <c r="AH1169" t="s">
        <v>42</v>
      </c>
      <c r="AI1169" t="str">
        <f>"66298833961003"</f>
        <v>66298833961003</v>
      </c>
      <c r="AJ1169" t="str">
        <f>"X008"</f>
        <v>X008</v>
      </c>
      <c r="AK1169" t="s">
        <v>46</v>
      </c>
      <c r="AL1169" s="1">
        <v>44816.550219907411</v>
      </c>
      <c r="AM1169" t="s">
        <v>44</v>
      </c>
    </row>
    <row r="1170" spans="1:39" x14ac:dyDescent="0.2">
      <c r="A1170" t="s">
        <v>1160</v>
      </c>
      <c r="B1170" t="s">
        <v>40</v>
      </c>
      <c r="C1170" t="s">
        <v>1143</v>
      </c>
      <c r="D1170" t="s">
        <v>42</v>
      </c>
      <c r="E1170" t="s">
        <v>43</v>
      </c>
      <c r="F1170" t="s">
        <v>44</v>
      </c>
      <c r="G1170" t="s">
        <v>45</v>
      </c>
      <c r="AH1170" t="s">
        <v>42</v>
      </c>
      <c r="AI1170" t="str">
        <f>"X012"</f>
        <v>X012</v>
      </c>
      <c r="AJ1170" t="str">
        <f>"X012"</f>
        <v>X012</v>
      </c>
      <c r="AK1170" t="s">
        <v>46</v>
      </c>
      <c r="AL1170" s="1">
        <v>45089.717523148145</v>
      </c>
      <c r="AM1170" t="s">
        <v>44</v>
      </c>
    </row>
    <row r="1171" spans="1:39" x14ac:dyDescent="0.2">
      <c r="A1171" t="s">
        <v>1161</v>
      </c>
      <c r="B1171" t="s">
        <v>40</v>
      </c>
      <c r="C1171" t="s">
        <v>1143</v>
      </c>
      <c r="D1171" t="s">
        <v>42</v>
      </c>
      <c r="E1171" t="s">
        <v>43</v>
      </c>
      <c r="F1171" t="s">
        <v>44</v>
      </c>
      <c r="G1171" t="s">
        <v>45</v>
      </c>
      <c r="AH1171" t="s">
        <v>42</v>
      </c>
      <c r="AI1171" t="str">
        <f>"66298834008330"</f>
        <v>66298834008330</v>
      </c>
      <c r="AJ1171" t="str">
        <f>"400534"</f>
        <v>400534</v>
      </c>
      <c r="AK1171" t="s">
        <v>46</v>
      </c>
      <c r="AL1171" s="1">
        <v>44816.55023148148</v>
      </c>
      <c r="AM1171" t="s">
        <v>44</v>
      </c>
    </row>
    <row r="1172" spans="1:39" x14ac:dyDescent="0.2">
      <c r="A1172" t="s">
        <v>1162</v>
      </c>
      <c r="B1172" t="s">
        <v>40</v>
      </c>
      <c r="C1172" t="s">
        <v>1143</v>
      </c>
      <c r="D1172" t="s">
        <v>42</v>
      </c>
      <c r="E1172" t="s">
        <v>43</v>
      </c>
      <c r="F1172" t="s">
        <v>44</v>
      </c>
      <c r="G1172" t="s">
        <v>45</v>
      </c>
      <c r="AH1172" t="s">
        <v>42</v>
      </c>
      <c r="AI1172" t="str">
        <f>"66298834055172"</f>
        <v>66298834055172</v>
      </c>
      <c r="AJ1172" t="str">
        <f>"X030"</f>
        <v>X030</v>
      </c>
      <c r="AK1172" t="s">
        <v>46</v>
      </c>
      <c r="AL1172" s="1">
        <v>44816.55023148148</v>
      </c>
      <c r="AM1172" t="s">
        <v>44</v>
      </c>
    </row>
    <row r="1173" spans="1:39" x14ac:dyDescent="0.2">
      <c r="A1173" t="s">
        <v>1163</v>
      </c>
      <c r="B1173" t="s">
        <v>40</v>
      </c>
      <c r="C1173" t="s">
        <v>1143</v>
      </c>
      <c r="D1173" t="s">
        <v>42</v>
      </c>
      <c r="E1173" t="s">
        <v>43</v>
      </c>
      <c r="F1173" t="s">
        <v>44</v>
      </c>
      <c r="G1173" t="s">
        <v>45</v>
      </c>
      <c r="AH1173" t="s">
        <v>42</v>
      </c>
      <c r="AI1173" t="str">
        <f>"X033"</f>
        <v>X033</v>
      </c>
      <c r="AJ1173" t="str">
        <f>"X033"</f>
        <v>X033</v>
      </c>
      <c r="AK1173" t="s">
        <v>46</v>
      </c>
      <c r="AL1173" s="1">
        <v>44946.784386574072</v>
      </c>
      <c r="AM1173" t="s">
        <v>44</v>
      </c>
    </row>
    <row r="1174" spans="1:39" x14ac:dyDescent="0.2">
      <c r="A1174" t="s">
        <v>1164</v>
      </c>
      <c r="B1174" t="s">
        <v>40</v>
      </c>
      <c r="C1174" t="s">
        <v>1143</v>
      </c>
      <c r="D1174" t="s">
        <v>42</v>
      </c>
      <c r="E1174" t="s">
        <v>43</v>
      </c>
      <c r="F1174" t="s">
        <v>44</v>
      </c>
      <c r="G1174" t="s">
        <v>45</v>
      </c>
      <c r="AH1174" t="s">
        <v>42</v>
      </c>
      <c r="AI1174" t="str">
        <f>"X009"</f>
        <v>X009</v>
      </c>
      <c r="AJ1174" t="str">
        <f>"X009"</f>
        <v>X009</v>
      </c>
      <c r="AK1174" t="s">
        <v>46</v>
      </c>
      <c r="AL1174" s="1">
        <v>44855.62127314815</v>
      </c>
      <c r="AM1174" t="s">
        <v>44</v>
      </c>
    </row>
    <row r="1175" spans="1:39" x14ac:dyDescent="0.2">
      <c r="A1175" t="s">
        <v>1165</v>
      </c>
      <c r="B1175" t="s">
        <v>40</v>
      </c>
      <c r="C1175" t="s">
        <v>1143</v>
      </c>
      <c r="D1175" t="s">
        <v>42</v>
      </c>
      <c r="E1175" t="s">
        <v>43</v>
      </c>
      <c r="F1175" t="s">
        <v>44</v>
      </c>
      <c r="G1175" t="s">
        <v>45</v>
      </c>
      <c r="AH1175" t="s">
        <v>42</v>
      </c>
      <c r="AI1175" t="str">
        <f>"66298834095950"</f>
        <v>66298834095950</v>
      </c>
      <c r="AJ1175" t="str">
        <f>"X016"</f>
        <v>X016</v>
      </c>
      <c r="AK1175" t="s">
        <v>46</v>
      </c>
      <c r="AL1175" s="1">
        <v>44816.55023148148</v>
      </c>
      <c r="AM1175" t="s">
        <v>44</v>
      </c>
    </row>
    <row r="1176" spans="1:39" x14ac:dyDescent="0.2">
      <c r="A1176" t="s">
        <v>1166</v>
      </c>
      <c r="B1176" t="s">
        <v>40</v>
      </c>
      <c r="C1176" t="s">
        <v>1143</v>
      </c>
      <c r="D1176" t="s">
        <v>42</v>
      </c>
      <c r="E1176" t="s">
        <v>43</v>
      </c>
      <c r="F1176" t="s">
        <v>44</v>
      </c>
      <c r="G1176" t="s">
        <v>45</v>
      </c>
      <c r="AH1176" t="s">
        <v>42</v>
      </c>
      <c r="AI1176" t="str">
        <f>"X014"</f>
        <v>X014</v>
      </c>
      <c r="AJ1176" t="str">
        <f>"X014"</f>
        <v>X014</v>
      </c>
      <c r="AK1176" t="s">
        <v>46</v>
      </c>
      <c r="AL1176" s="1">
        <v>45089.720810185187</v>
      </c>
      <c r="AM1176" t="s">
        <v>44</v>
      </c>
    </row>
    <row r="1177" spans="1:39" x14ac:dyDescent="0.2">
      <c r="A1177" t="s">
        <v>1167</v>
      </c>
      <c r="B1177" t="s">
        <v>40</v>
      </c>
      <c r="C1177" t="s">
        <v>1143</v>
      </c>
      <c r="D1177" t="s">
        <v>42</v>
      </c>
      <c r="E1177" t="s">
        <v>43</v>
      </c>
      <c r="F1177" t="s">
        <v>44</v>
      </c>
      <c r="G1177" t="s">
        <v>45</v>
      </c>
      <c r="AH1177" t="s">
        <v>42</v>
      </c>
      <c r="AI1177" t="str">
        <f>"66298834137263"</f>
        <v>66298834137263</v>
      </c>
      <c r="AJ1177" t="str">
        <f>"13200H2C012H000"</f>
        <v>13200H2C012H000</v>
      </c>
      <c r="AK1177" t="s">
        <v>46</v>
      </c>
      <c r="AL1177" s="1">
        <v>44816.550243055557</v>
      </c>
      <c r="AM1177" t="s">
        <v>44</v>
      </c>
    </row>
    <row r="1178" spans="1:39" x14ac:dyDescent="0.2">
      <c r="A1178" t="s">
        <v>1168</v>
      </c>
      <c r="B1178" t="s">
        <v>40</v>
      </c>
      <c r="C1178" t="s">
        <v>1143</v>
      </c>
      <c r="D1178" t="s">
        <v>42</v>
      </c>
      <c r="E1178" t="s">
        <v>43</v>
      </c>
      <c r="F1178" t="s">
        <v>44</v>
      </c>
      <c r="G1178" t="s">
        <v>45</v>
      </c>
      <c r="AH1178" t="s">
        <v>42</v>
      </c>
      <c r="AI1178" t="str">
        <f>"66298834174768"</f>
        <v>66298834174768</v>
      </c>
      <c r="AJ1178" t="str">
        <f>"401114"</f>
        <v>401114</v>
      </c>
      <c r="AK1178" t="s">
        <v>46</v>
      </c>
      <c r="AL1178" s="1">
        <v>44816.550243055557</v>
      </c>
      <c r="AM1178" t="s">
        <v>44</v>
      </c>
    </row>
    <row r="1179" spans="1:39" x14ac:dyDescent="0.2">
      <c r="A1179" t="s">
        <v>1169</v>
      </c>
      <c r="B1179" t="s">
        <v>40</v>
      </c>
      <c r="C1179" t="s">
        <v>1143</v>
      </c>
      <c r="D1179" t="s">
        <v>42</v>
      </c>
      <c r="E1179" t="s">
        <v>43</v>
      </c>
      <c r="F1179" t="s">
        <v>44</v>
      </c>
      <c r="G1179" t="s">
        <v>45</v>
      </c>
      <c r="AH1179" t="s">
        <v>42</v>
      </c>
      <c r="AI1179" t="str">
        <f>"66298834218501"</f>
        <v>66298834218501</v>
      </c>
      <c r="AJ1179" t="str">
        <f>"X022"</f>
        <v>X022</v>
      </c>
      <c r="AK1179" t="s">
        <v>46</v>
      </c>
      <c r="AL1179" s="1">
        <v>44816.550254629627</v>
      </c>
      <c r="AM1179" t="s">
        <v>44</v>
      </c>
    </row>
    <row r="1180" spans="1:39" x14ac:dyDescent="0.2">
      <c r="A1180" t="s">
        <v>1170</v>
      </c>
      <c r="B1180" t="s">
        <v>40</v>
      </c>
      <c r="C1180" t="s">
        <v>1143</v>
      </c>
      <c r="D1180" t="s">
        <v>42</v>
      </c>
      <c r="E1180" t="s">
        <v>43</v>
      </c>
      <c r="F1180" t="s">
        <v>44</v>
      </c>
      <c r="G1180" t="s">
        <v>45</v>
      </c>
      <c r="AH1180" t="s">
        <v>42</v>
      </c>
      <c r="AI1180" t="str">
        <f>"66298834255976"</f>
        <v>66298834255976</v>
      </c>
      <c r="AJ1180" t="str">
        <f>"C-SCOO-VM"</f>
        <v>C-SCOO-VM</v>
      </c>
      <c r="AK1180" t="s">
        <v>46</v>
      </c>
      <c r="AL1180" s="1">
        <v>44816.550254629627</v>
      </c>
      <c r="AM1180" t="s">
        <v>44</v>
      </c>
    </row>
    <row r="1181" spans="1:39" x14ac:dyDescent="0.2">
      <c r="A1181" t="s">
        <v>1171</v>
      </c>
      <c r="B1181" t="s">
        <v>40</v>
      </c>
      <c r="C1181" t="s">
        <v>1143</v>
      </c>
      <c r="D1181" t="s">
        <v>42</v>
      </c>
      <c r="E1181" t="s">
        <v>43</v>
      </c>
      <c r="F1181" t="s">
        <v>44</v>
      </c>
      <c r="G1181" t="s">
        <v>45</v>
      </c>
      <c r="AH1181" t="s">
        <v>42</v>
      </c>
      <c r="AI1181" t="str">
        <f>"X006"</f>
        <v>X006</v>
      </c>
      <c r="AJ1181" t="str">
        <f>"X006"</f>
        <v>X006</v>
      </c>
      <c r="AK1181" t="s">
        <v>46</v>
      </c>
      <c r="AL1181" s="1">
        <v>44816.550266203703</v>
      </c>
      <c r="AM1181" t="s">
        <v>44</v>
      </c>
    </row>
    <row r="1182" spans="1:39" x14ac:dyDescent="0.2">
      <c r="A1182" t="s">
        <v>1172</v>
      </c>
      <c r="B1182" t="s">
        <v>40</v>
      </c>
      <c r="C1182" t="s">
        <v>1143</v>
      </c>
      <c r="D1182" t="s">
        <v>42</v>
      </c>
      <c r="E1182" t="s">
        <v>43</v>
      </c>
      <c r="F1182" t="s">
        <v>44</v>
      </c>
      <c r="G1182" t="s">
        <v>45</v>
      </c>
      <c r="AH1182" t="s">
        <v>42</v>
      </c>
      <c r="AI1182" t="str">
        <f>"66298834343606"</f>
        <v>66298834343606</v>
      </c>
      <c r="AJ1182" t="str">
        <f>"X026"</f>
        <v>X026</v>
      </c>
      <c r="AK1182" t="s">
        <v>46</v>
      </c>
      <c r="AL1182" s="1">
        <v>44816.550266203703</v>
      </c>
      <c r="AM1182" t="s">
        <v>44</v>
      </c>
    </row>
    <row r="1183" spans="1:39" x14ac:dyDescent="0.2">
      <c r="A1183" t="s">
        <v>1173</v>
      </c>
      <c r="B1183" t="s">
        <v>40</v>
      </c>
      <c r="C1183" t="s">
        <v>1143</v>
      </c>
      <c r="D1183" t="s">
        <v>42</v>
      </c>
      <c r="E1183" t="s">
        <v>43</v>
      </c>
      <c r="F1183" t="s">
        <v>44</v>
      </c>
      <c r="G1183" t="s">
        <v>45</v>
      </c>
      <c r="AH1183" t="s">
        <v>42</v>
      </c>
      <c r="AI1183" t="str">
        <f>"138269"</f>
        <v>138269</v>
      </c>
      <c r="AJ1183" t="str">
        <f>"138269"</f>
        <v>138269</v>
      </c>
      <c r="AK1183" t="s">
        <v>46</v>
      </c>
      <c r="AL1183" s="1">
        <v>45131.727905092594</v>
      </c>
      <c r="AM1183" t="s">
        <v>44</v>
      </c>
    </row>
    <row r="1184" spans="1:39" x14ac:dyDescent="0.2">
      <c r="A1184" t="s">
        <v>1174</v>
      </c>
      <c r="B1184" t="s">
        <v>40</v>
      </c>
      <c r="C1184" t="s">
        <v>1143</v>
      </c>
      <c r="D1184" t="s">
        <v>42</v>
      </c>
      <c r="E1184" t="s">
        <v>43</v>
      </c>
      <c r="F1184" t="s">
        <v>44</v>
      </c>
      <c r="G1184" t="s">
        <v>45</v>
      </c>
      <c r="AH1184" t="s">
        <v>42</v>
      </c>
      <c r="AI1184" t="str">
        <f>"66298834380603"</f>
        <v>66298834380603</v>
      </c>
      <c r="AJ1184" t="str">
        <f>"400536"</f>
        <v>400536</v>
      </c>
      <c r="AK1184" t="s">
        <v>46</v>
      </c>
      <c r="AL1184" s="1">
        <v>44816.550266203703</v>
      </c>
      <c r="AM1184" t="s">
        <v>44</v>
      </c>
    </row>
    <row r="1185" spans="1:39" x14ac:dyDescent="0.2">
      <c r="A1185" t="s">
        <v>1175</v>
      </c>
      <c r="B1185" t="s">
        <v>40</v>
      </c>
      <c r="C1185" t="s">
        <v>1143</v>
      </c>
      <c r="D1185" t="s">
        <v>42</v>
      </c>
      <c r="E1185" t="s">
        <v>43</v>
      </c>
      <c r="F1185" t="s">
        <v>44</v>
      </c>
      <c r="G1185" t="s">
        <v>45</v>
      </c>
      <c r="AH1185" t="s">
        <v>42</v>
      </c>
      <c r="AI1185" t="str">
        <f>"66298834416694"</f>
        <v>66298834416694</v>
      </c>
      <c r="AJ1185" t="str">
        <f>"X031"</f>
        <v>X031</v>
      </c>
      <c r="AK1185" t="s">
        <v>46</v>
      </c>
      <c r="AL1185" s="1">
        <v>44816.55027777778</v>
      </c>
      <c r="AM1185" t="s">
        <v>44</v>
      </c>
    </row>
    <row r="1186" spans="1:39" x14ac:dyDescent="0.2">
      <c r="A1186" t="s">
        <v>1176</v>
      </c>
      <c r="B1186" t="s">
        <v>40</v>
      </c>
      <c r="C1186" t="s">
        <v>1143</v>
      </c>
      <c r="D1186" t="s">
        <v>42</v>
      </c>
      <c r="E1186" t="s">
        <v>43</v>
      </c>
      <c r="F1186" t="s">
        <v>44</v>
      </c>
      <c r="G1186" t="s">
        <v>45</v>
      </c>
      <c r="AH1186" t="s">
        <v>42</v>
      </c>
      <c r="AI1186" t="str">
        <f>"X021"</f>
        <v>X021</v>
      </c>
      <c r="AJ1186" t="str">
        <f>"X021"</f>
        <v>X021</v>
      </c>
      <c r="AK1186" t="s">
        <v>46</v>
      </c>
      <c r="AL1186" s="1">
        <v>44988.764976851853</v>
      </c>
      <c r="AM1186" t="s">
        <v>44</v>
      </c>
    </row>
    <row r="1187" spans="1:39" x14ac:dyDescent="0.2">
      <c r="A1187" t="s">
        <v>1177</v>
      </c>
      <c r="B1187" t="s">
        <v>40</v>
      </c>
      <c r="C1187" t="s">
        <v>1143</v>
      </c>
      <c r="D1187" t="s">
        <v>42</v>
      </c>
      <c r="E1187" t="s">
        <v>43</v>
      </c>
      <c r="F1187" t="s">
        <v>44</v>
      </c>
      <c r="G1187" t="s">
        <v>45</v>
      </c>
      <c r="AH1187" t="s">
        <v>42</v>
      </c>
      <c r="AI1187" t="str">
        <f>"66298834460697"</f>
        <v>66298834460697</v>
      </c>
      <c r="AJ1187" t="str">
        <f>"400573"</f>
        <v>400573</v>
      </c>
      <c r="AK1187" t="s">
        <v>46</v>
      </c>
      <c r="AL1187" s="1">
        <v>44816.55027777778</v>
      </c>
      <c r="AM1187" t="s">
        <v>44</v>
      </c>
    </row>
    <row r="1188" spans="1:39" x14ac:dyDescent="0.2">
      <c r="A1188" t="s">
        <v>1178</v>
      </c>
      <c r="B1188" t="s">
        <v>40</v>
      </c>
      <c r="C1188" t="s">
        <v>50</v>
      </c>
      <c r="D1188" t="s">
        <v>42</v>
      </c>
      <c r="E1188" t="s">
        <v>43</v>
      </c>
      <c r="F1188" t="s">
        <v>44</v>
      </c>
      <c r="G1188" t="s">
        <v>45</v>
      </c>
      <c r="AH1188" t="s">
        <v>42</v>
      </c>
      <c r="AI1188" t="str">
        <f>"117248"</f>
        <v>117248</v>
      </c>
      <c r="AJ1188" t="str">
        <f>"117248"</f>
        <v>117248</v>
      </c>
      <c r="AK1188" t="s">
        <v>46</v>
      </c>
      <c r="AL1188" s="1">
        <v>44995.569895833331</v>
      </c>
      <c r="AM1188" t="s">
        <v>44</v>
      </c>
    </row>
    <row r="1189" spans="1:39" x14ac:dyDescent="0.2">
      <c r="A1189" t="s">
        <v>1179</v>
      </c>
      <c r="B1189" t="s">
        <v>40</v>
      </c>
      <c r="C1189" t="s">
        <v>50</v>
      </c>
      <c r="D1189" t="s">
        <v>42</v>
      </c>
      <c r="E1189" t="s">
        <v>43</v>
      </c>
      <c r="F1189" t="s">
        <v>44</v>
      </c>
      <c r="G1189" t="s">
        <v>45</v>
      </c>
      <c r="AH1189" t="s">
        <v>42</v>
      </c>
      <c r="AI1189" t="str">
        <f>"66298834505206"</f>
        <v>66298834505206</v>
      </c>
      <c r="AJ1189" t="str">
        <f>"H093"</f>
        <v>H093</v>
      </c>
      <c r="AK1189" t="s">
        <v>46</v>
      </c>
      <c r="AL1189" s="1">
        <v>44816.55028935185</v>
      </c>
      <c r="AM1189" t="s">
        <v>44</v>
      </c>
    </row>
    <row r="1190" spans="1:39" x14ac:dyDescent="0.2">
      <c r="A1190" t="s">
        <v>1180</v>
      </c>
      <c r="B1190" t="s">
        <v>40</v>
      </c>
      <c r="C1190" t="s">
        <v>50</v>
      </c>
      <c r="D1190" t="s">
        <v>42</v>
      </c>
      <c r="E1190" t="s">
        <v>43</v>
      </c>
      <c r="F1190" t="s">
        <v>44</v>
      </c>
      <c r="G1190" t="s">
        <v>45</v>
      </c>
      <c r="AH1190" t="s">
        <v>42</v>
      </c>
      <c r="AI1190" t="str">
        <f>"130250"</f>
        <v>130250</v>
      </c>
      <c r="AJ1190" t="str">
        <f>"130250"</f>
        <v>130250</v>
      </c>
      <c r="AK1190" t="s">
        <v>46</v>
      </c>
      <c r="AL1190" s="1">
        <v>44995.586053240739</v>
      </c>
      <c r="AM1190" t="s">
        <v>44</v>
      </c>
    </row>
    <row r="1191" spans="1:39" x14ac:dyDescent="0.2">
      <c r="A1191" t="s">
        <v>1181</v>
      </c>
      <c r="B1191" t="s">
        <v>40</v>
      </c>
      <c r="C1191" t="s">
        <v>50</v>
      </c>
      <c r="D1191" t="s">
        <v>42</v>
      </c>
      <c r="E1191" t="s">
        <v>43</v>
      </c>
      <c r="F1191" t="s">
        <v>44</v>
      </c>
      <c r="G1191" t="s">
        <v>45</v>
      </c>
      <c r="AH1191" t="s">
        <v>42</v>
      </c>
      <c r="AI1191" t="str">
        <f>"66298834552659"</f>
        <v>66298834552659</v>
      </c>
      <c r="AJ1191" t="str">
        <f>"60053"</f>
        <v>60053</v>
      </c>
      <c r="AK1191" t="s">
        <v>46</v>
      </c>
      <c r="AL1191" s="1">
        <v>44816.55028935185</v>
      </c>
      <c r="AM1191" t="s">
        <v>44</v>
      </c>
    </row>
    <row r="1192" spans="1:39" x14ac:dyDescent="0.2">
      <c r="A1192" t="s">
        <v>1181</v>
      </c>
      <c r="B1192" t="s">
        <v>40</v>
      </c>
      <c r="C1192" t="s">
        <v>50</v>
      </c>
      <c r="D1192" t="s">
        <v>42</v>
      </c>
      <c r="E1192" t="s">
        <v>43</v>
      </c>
      <c r="F1192" t="s">
        <v>44</v>
      </c>
      <c r="G1192" t="s">
        <v>45</v>
      </c>
      <c r="AH1192" t="s">
        <v>42</v>
      </c>
      <c r="AI1192" t="str">
        <f>"1255"</f>
        <v>1255</v>
      </c>
      <c r="AJ1192" t="str">
        <f>"1255"</f>
        <v>1255</v>
      </c>
      <c r="AK1192" t="s">
        <v>46</v>
      </c>
      <c r="AL1192" s="1">
        <v>44995.752187500002</v>
      </c>
      <c r="AM1192" t="s">
        <v>44</v>
      </c>
    </row>
    <row r="1193" spans="1:39" x14ac:dyDescent="0.2">
      <c r="A1193" t="s">
        <v>1182</v>
      </c>
      <c r="B1193" t="s">
        <v>40</v>
      </c>
      <c r="C1193" t="s">
        <v>50</v>
      </c>
      <c r="D1193" t="s">
        <v>42</v>
      </c>
      <c r="E1193" t="s">
        <v>43</v>
      </c>
      <c r="F1193" t="s">
        <v>44</v>
      </c>
      <c r="G1193" t="s">
        <v>45</v>
      </c>
      <c r="AH1193" t="s">
        <v>42</v>
      </c>
      <c r="AI1193" t="str">
        <f>"0274"</f>
        <v>0274</v>
      </c>
      <c r="AJ1193" t="str">
        <f>"0274"</f>
        <v>0274</v>
      </c>
      <c r="AK1193" t="s">
        <v>46</v>
      </c>
      <c r="AL1193" s="1">
        <v>44996.684016203704</v>
      </c>
      <c r="AM1193" t="s">
        <v>44</v>
      </c>
    </row>
    <row r="1194" spans="1:39" x14ac:dyDescent="0.2">
      <c r="A1194" t="s">
        <v>1183</v>
      </c>
      <c r="B1194" t="s">
        <v>40</v>
      </c>
      <c r="C1194" t="s">
        <v>50</v>
      </c>
      <c r="D1194" t="s">
        <v>42</v>
      </c>
      <c r="E1194" t="s">
        <v>43</v>
      </c>
      <c r="F1194" t="s">
        <v>44</v>
      </c>
      <c r="G1194" t="s">
        <v>45</v>
      </c>
      <c r="AH1194" t="s">
        <v>42</v>
      </c>
      <c r="AI1194" t="str">
        <f>"66298834594316"</f>
        <v>66298834594316</v>
      </c>
      <c r="AJ1194" t="str">
        <f>"10233"</f>
        <v>10233</v>
      </c>
      <c r="AK1194" t="s">
        <v>46</v>
      </c>
      <c r="AL1194" s="1">
        <v>44816.55028935185</v>
      </c>
      <c r="AM1194" t="s">
        <v>44</v>
      </c>
    </row>
    <row r="1195" spans="1:39" x14ac:dyDescent="0.2">
      <c r="A1195" t="s">
        <v>1184</v>
      </c>
      <c r="B1195" t="s">
        <v>40</v>
      </c>
      <c r="C1195" t="s">
        <v>50</v>
      </c>
      <c r="D1195" t="s">
        <v>42</v>
      </c>
      <c r="E1195" t="s">
        <v>43</v>
      </c>
      <c r="F1195" t="s">
        <v>44</v>
      </c>
      <c r="G1195" t="s">
        <v>45</v>
      </c>
      <c r="AH1195" t="s">
        <v>42</v>
      </c>
      <c r="AI1195" t="str">
        <f>"FN-MT6-L"</f>
        <v>FN-MT6-L</v>
      </c>
      <c r="AJ1195" t="str">
        <f>"FN-MT6-L"</f>
        <v>FN-MT6-L</v>
      </c>
      <c r="AK1195" t="s">
        <v>46</v>
      </c>
      <c r="AL1195" s="1">
        <v>45089.72488425926</v>
      </c>
      <c r="AM1195" t="s">
        <v>44</v>
      </c>
    </row>
    <row r="1196" spans="1:39" x14ac:dyDescent="0.2">
      <c r="A1196" t="s">
        <v>1184</v>
      </c>
      <c r="B1196" t="s">
        <v>40</v>
      </c>
      <c r="C1196" t="s">
        <v>50</v>
      </c>
      <c r="D1196" t="s">
        <v>42</v>
      </c>
      <c r="E1196" t="s">
        <v>43</v>
      </c>
      <c r="F1196" t="s">
        <v>44</v>
      </c>
      <c r="G1196" t="s">
        <v>45</v>
      </c>
      <c r="AH1196" t="s">
        <v>42</v>
      </c>
      <c r="AI1196" t="str">
        <f>"142900"</f>
        <v>142900</v>
      </c>
      <c r="AJ1196" t="str">
        <f>"142900"</f>
        <v>142900</v>
      </c>
      <c r="AK1196" t="s">
        <v>46</v>
      </c>
      <c r="AL1196" s="1">
        <v>45131.729907407411</v>
      </c>
      <c r="AM1196" t="s">
        <v>44</v>
      </c>
    </row>
    <row r="1197" spans="1:39" x14ac:dyDescent="0.2">
      <c r="A1197" t="s">
        <v>1185</v>
      </c>
      <c r="B1197" t="s">
        <v>40</v>
      </c>
      <c r="C1197" t="s">
        <v>50</v>
      </c>
      <c r="D1197" t="s">
        <v>42</v>
      </c>
      <c r="E1197" t="s">
        <v>43</v>
      </c>
      <c r="F1197" t="s">
        <v>44</v>
      </c>
      <c r="G1197" t="s">
        <v>45</v>
      </c>
      <c r="AH1197" t="s">
        <v>42</v>
      </c>
      <c r="AI1197" t="str">
        <f>"66298834636058"</f>
        <v>66298834636058</v>
      </c>
      <c r="AJ1197" t="str">
        <f>"424"</f>
        <v>424</v>
      </c>
      <c r="AK1197" t="s">
        <v>46</v>
      </c>
      <c r="AL1197" s="1">
        <v>44816.550300925926</v>
      </c>
      <c r="AM1197" t="s">
        <v>44</v>
      </c>
    </row>
    <row r="1198" spans="1:39" x14ac:dyDescent="0.2">
      <c r="A1198" t="s">
        <v>1185</v>
      </c>
      <c r="B1198" t="s">
        <v>40</v>
      </c>
      <c r="C1198" t="s">
        <v>50</v>
      </c>
      <c r="D1198" t="s">
        <v>42</v>
      </c>
      <c r="E1198" t="s">
        <v>43</v>
      </c>
      <c r="F1198" t="s">
        <v>44</v>
      </c>
      <c r="G1198" t="s">
        <v>45</v>
      </c>
      <c r="AH1198" t="s">
        <v>42</v>
      </c>
      <c r="AI1198" t="str">
        <f>"FN-MT6-M"</f>
        <v>FN-MT6-M</v>
      </c>
      <c r="AJ1198" t="str">
        <f>"FN-MT6-M"</f>
        <v>FN-MT6-M</v>
      </c>
      <c r="AK1198" t="s">
        <v>46</v>
      </c>
      <c r="AL1198" s="1">
        <v>45089.726736111108</v>
      </c>
      <c r="AM1198" t="s">
        <v>44</v>
      </c>
    </row>
    <row r="1199" spans="1:39" x14ac:dyDescent="0.2">
      <c r="A1199" t="s">
        <v>1186</v>
      </c>
      <c r="B1199" t="s">
        <v>40</v>
      </c>
      <c r="C1199" t="s">
        <v>50</v>
      </c>
      <c r="D1199" t="s">
        <v>42</v>
      </c>
      <c r="E1199" t="s">
        <v>43</v>
      </c>
      <c r="F1199" t="s">
        <v>44</v>
      </c>
      <c r="G1199" t="s">
        <v>45</v>
      </c>
      <c r="AH1199" t="s">
        <v>42</v>
      </c>
      <c r="AI1199" t="str">
        <f>"66298834674480"</f>
        <v>66298834674480</v>
      </c>
      <c r="AJ1199" t="str">
        <f>"1093"</f>
        <v>1093</v>
      </c>
      <c r="AK1199" t="s">
        <v>46</v>
      </c>
      <c r="AL1199" s="1">
        <v>44816.550300925926</v>
      </c>
      <c r="AM1199" t="s">
        <v>44</v>
      </c>
    </row>
    <row r="1200" spans="1:39" x14ac:dyDescent="0.2">
      <c r="A1200" t="s">
        <v>1186</v>
      </c>
      <c r="B1200" t="s">
        <v>40</v>
      </c>
      <c r="C1200" t="s">
        <v>50</v>
      </c>
      <c r="D1200" t="s">
        <v>42</v>
      </c>
      <c r="E1200" t="s">
        <v>43</v>
      </c>
      <c r="F1200" t="s">
        <v>44</v>
      </c>
      <c r="G1200" t="s">
        <v>45</v>
      </c>
      <c r="AH1200" t="s">
        <v>42</v>
      </c>
      <c r="AI1200" t="str">
        <f>"426"</f>
        <v>426</v>
      </c>
      <c r="AJ1200" t="str">
        <f>"426"</f>
        <v>426</v>
      </c>
      <c r="AK1200" t="s">
        <v>46</v>
      </c>
      <c r="AL1200" s="1">
        <v>44995.662731481483</v>
      </c>
      <c r="AM1200" t="s">
        <v>44</v>
      </c>
    </row>
    <row r="1201" spans="1:39" x14ac:dyDescent="0.2">
      <c r="A1201" t="s">
        <v>1186</v>
      </c>
      <c r="B1201" t="s">
        <v>40</v>
      </c>
      <c r="C1201" t="s">
        <v>50</v>
      </c>
      <c r="D1201" t="s">
        <v>42</v>
      </c>
      <c r="E1201" t="s">
        <v>43</v>
      </c>
      <c r="F1201" t="s">
        <v>44</v>
      </c>
      <c r="G1201" t="s">
        <v>45</v>
      </c>
      <c r="AH1201" t="s">
        <v>42</v>
      </c>
      <c r="AI1201" t="str">
        <f>"FN-MT6-XL"</f>
        <v>FN-MT6-XL</v>
      </c>
      <c r="AJ1201" t="str">
        <f>"FN-MT6-XL"</f>
        <v>FN-MT6-XL</v>
      </c>
      <c r="AK1201" t="s">
        <v>46</v>
      </c>
      <c r="AL1201" s="1">
        <v>45089.730474537035</v>
      </c>
      <c r="AM1201" t="s">
        <v>44</v>
      </c>
    </row>
    <row r="1202" spans="1:39" x14ac:dyDescent="0.2">
      <c r="A1202" t="s">
        <v>1186</v>
      </c>
      <c r="B1202" t="s">
        <v>40</v>
      </c>
      <c r="C1202" t="s">
        <v>50</v>
      </c>
      <c r="D1202" t="s">
        <v>42</v>
      </c>
      <c r="E1202" t="s">
        <v>43</v>
      </c>
      <c r="F1202" t="s">
        <v>44</v>
      </c>
      <c r="G1202" t="s">
        <v>45</v>
      </c>
      <c r="AH1202" t="s">
        <v>42</v>
      </c>
      <c r="AI1202" t="str">
        <f>"142911"</f>
        <v>142911</v>
      </c>
      <c r="AJ1202" t="str">
        <f>"142911"</f>
        <v>142911</v>
      </c>
      <c r="AK1202" t="s">
        <v>46</v>
      </c>
      <c r="AL1202" s="1">
        <v>45131.729675925926</v>
      </c>
      <c r="AM1202" t="s">
        <v>44</v>
      </c>
    </row>
    <row r="1203" spans="1:39" x14ac:dyDescent="0.2">
      <c r="A1203" t="s">
        <v>1187</v>
      </c>
      <c r="B1203" t="s">
        <v>40</v>
      </c>
      <c r="C1203" t="s">
        <v>50</v>
      </c>
      <c r="D1203" t="s">
        <v>42</v>
      </c>
      <c r="E1203" t="s">
        <v>43</v>
      </c>
      <c r="F1203" t="s">
        <v>44</v>
      </c>
      <c r="G1203" t="s">
        <v>45</v>
      </c>
      <c r="AH1203" t="s">
        <v>42</v>
      </c>
      <c r="AI1203" t="str">
        <f>"FN-MT6-XXL"</f>
        <v>FN-MT6-XXL</v>
      </c>
      <c r="AJ1203" t="str">
        <f>"FN-MT6-XXL"</f>
        <v>FN-MT6-XXL</v>
      </c>
      <c r="AK1203" t="s">
        <v>46</v>
      </c>
      <c r="AL1203" s="1">
        <v>45089.730995370373</v>
      </c>
      <c r="AM1203" t="s">
        <v>44</v>
      </c>
    </row>
    <row r="1204" spans="1:39" x14ac:dyDescent="0.2">
      <c r="A1204" t="s">
        <v>1188</v>
      </c>
      <c r="B1204" t="s">
        <v>40</v>
      </c>
      <c r="C1204" t="s">
        <v>1189</v>
      </c>
      <c r="D1204" t="s">
        <v>42</v>
      </c>
      <c r="E1204" t="s">
        <v>43</v>
      </c>
      <c r="F1204" t="s">
        <v>44</v>
      </c>
      <c r="G1204" t="s">
        <v>45</v>
      </c>
      <c r="H1204" t="s">
        <v>1190</v>
      </c>
      <c r="AH1204" t="s">
        <v>42</v>
      </c>
      <c r="AI1204" t="str">
        <f>"66298834714102"</f>
        <v>66298834714102</v>
      </c>
      <c r="AJ1204" t="str">
        <f>"11871"</f>
        <v>11871</v>
      </c>
      <c r="AK1204" t="s">
        <v>46</v>
      </c>
      <c r="AL1204" s="1">
        <v>44816.550312500003</v>
      </c>
      <c r="AM1204" t="s">
        <v>44</v>
      </c>
    </row>
    <row r="1205" spans="1:39" x14ac:dyDescent="0.2">
      <c r="A1205" t="s">
        <v>1191</v>
      </c>
      <c r="B1205" t="s">
        <v>40</v>
      </c>
      <c r="C1205" t="s">
        <v>1189</v>
      </c>
      <c r="D1205" t="s">
        <v>42</v>
      </c>
      <c r="E1205" t="s">
        <v>43</v>
      </c>
      <c r="F1205" t="s">
        <v>44</v>
      </c>
      <c r="G1205" t="s">
        <v>45</v>
      </c>
      <c r="AH1205" t="s">
        <v>42</v>
      </c>
      <c r="AI1205" t="str">
        <f>"66298834757929"</f>
        <v>66298834757929</v>
      </c>
      <c r="AJ1205" t="str">
        <f>"13381"</f>
        <v>13381</v>
      </c>
      <c r="AK1205" t="s">
        <v>46</v>
      </c>
      <c r="AL1205" s="1">
        <v>44816.550312500003</v>
      </c>
      <c r="AM1205" t="s">
        <v>44</v>
      </c>
    </row>
    <row r="1206" spans="1:39" x14ac:dyDescent="0.2">
      <c r="A1206" t="s">
        <v>1192</v>
      </c>
      <c r="B1206" t="s">
        <v>40</v>
      </c>
      <c r="C1206" t="s">
        <v>1189</v>
      </c>
      <c r="D1206" t="s">
        <v>42</v>
      </c>
      <c r="E1206" t="s">
        <v>43</v>
      </c>
      <c r="F1206" t="s">
        <v>44</v>
      </c>
      <c r="G1206" t="s">
        <v>45</v>
      </c>
      <c r="AH1206" t="s">
        <v>42</v>
      </c>
      <c r="AI1206" t="str">
        <f>"66298834802498"</f>
        <v>66298834802498</v>
      </c>
      <c r="AJ1206" t="str">
        <f>"13376"</f>
        <v>13376</v>
      </c>
      <c r="AK1206" t="s">
        <v>46</v>
      </c>
      <c r="AL1206" s="1">
        <v>44816.550324074073</v>
      </c>
      <c r="AM1206" t="s">
        <v>44</v>
      </c>
    </row>
    <row r="1207" spans="1:39" x14ac:dyDescent="0.2">
      <c r="A1207" t="s">
        <v>1193</v>
      </c>
      <c r="B1207" t="s">
        <v>40</v>
      </c>
      <c r="C1207" t="s">
        <v>1189</v>
      </c>
      <c r="D1207" t="s">
        <v>42</v>
      </c>
      <c r="E1207" t="s">
        <v>43</v>
      </c>
      <c r="F1207" t="s">
        <v>44</v>
      </c>
      <c r="G1207" t="s">
        <v>45</v>
      </c>
      <c r="AH1207" t="s">
        <v>42</v>
      </c>
      <c r="AI1207" t="str">
        <f>"66298834845354"</f>
        <v>66298834845354</v>
      </c>
      <c r="AJ1207" t="str">
        <f>"14225"</f>
        <v>14225</v>
      </c>
      <c r="AK1207" t="s">
        <v>46</v>
      </c>
      <c r="AL1207" s="1">
        <v>44816.550324074073</v>
      </c>
      <c r="AM1207" t="s">
        <v>44</v>
      </c>
    </row>
    <row r="1208" spans="1:39" x14ac:dyDescent="0.2">
      <c r="A1208" t="s">
        <v>1194</v>
      </c>
      <c r="B1208" t="s">
        <v>40</v>
      </c>
      <c r="C1208" t="s">
        <v>1189</v>
      </c>
      <c r="D1208" t="s">
        <v>42</v>
      </c>
      <c r="E1208" t="s">
        <v>43</v>
      </c>
      <c r="F1208" t="s">
        <v>44</v>
      </c>
      <c r="G1208" t="s">
        <v>45</v>
      </c>
      <c r="AH1208" t="s">
        <v>42</v>
      </c>
      <c r="AI1208" t="str">
        <f>"65000"</f>
        <v>65000</v>
      </c>
      <c r="AJ1208" t="str">
        <f>"65000"</f>
        <v>65000</v>
      </c>
      <c r="AK1208" t="s">
        <v>46</v>
      </c>
      <c r="AL1208" s="1">
        <v>44903.590601851851</v>
      </c>
      <c r="AM1208" t="s">
        <v>44</v>
      </c>
    </row>
    <row r="1209" spans="1:39" x14ac:dyDescent="0.2">
      <c r="A1209" t="s">
        <v>1195</v>
      </c>
      <c r="B1209" t="s">
        <v>40</v>
      </c>
      <c r="C1209" t="s">
        <v>1189</v>
      </c>
      <c r="D1209" t="s">
        <v>42</v>
      </c>
      <c r="E1209" t="s">
        <v>43</v>
      </c>
      <c r="F1209" t="s">
        <v>44</v>
      </c>
      <c r="G1209" t="s">
        <v>45</v>
      </c>
      <c r="AH1209" t="s">
        <v>42</v>
      </c>
      <c r="AI1209" t="str">
        <f>"66298834887523"</f>
        <v>66298834887523</v>
      </c>
      <c r="AJ1209" t="str">
        <f>"120240-M"</f>
        <v>120240-M</v>
      </c>
      <c r="AK1209" t="s">
        <v>46</v>
      </c>
      <c r="AL1209" s="1">
        <v>44816.550324074073</v>
      </c>
      <c r="AM1209" t="s">
        <v>44</v>
      </c>
    </row>
    <row r="1210" spans="1:39" x14ac:dyDescent="0.2">
      <c r="A1210" t="s">
        <v>1196</v>
      </c>
      <c r="B1210" t="s">
        <v>40</v>
      </c>
      <c r="C1210" t="s">
        <v>1189</v>
      </c>
      <c r="D1210" t="s">
        <v>42</v>
      </c>
      <c r="E1210" t="s">
        <v>43</v>
      </c>
      <c r="F1210" t="s">
        <v>44</v>
      </c>
      <c r="G1210" t="s">
        <v>45</v>
      </c>
      <c r="AH1210" t="s">
        <v>42</v>
      </c>
      <c r="AI1210" t="str">
        <f>"14238"</f>
        <v>14238</v>
      </c>
      <c r="AJ1210" t="str">
        <f>"14238"</f>
        <v>14238</v>
      </c>
      <c r="AK1210" t="s">
        <v>46</v>
      </c>
      <c r="AL1210" s="1">
        <v>44903.582546296297</v>
      </c>
      <c r="AM1210" t="s">
        <v>44</v>
      </c>
    </row>
    <row r="1211" spans="1:39" x14ac:dyDescent="0.2">
      <c r="A1211" t="s">
        <v>1197</v>
      </c>
      <c r="B1211" t="s">
        <v>40</v>
      </c>
      <c r="C1211" t="s">
        <v>1189</v>
      </c>
      <c r="D1211" t="s">
        <v>42</v>
      </c>
      <c r="E1211" t="s">
        <v>43</v>
      </c>
      <c r="F1211" t="s">
        <v>44</v>
      </c>
      <c r="G1211" t="s">
        <v>45</v>
      </c>
      <c r="H1211" t="s">
        <v>1198</v>
      </c>
      <c r="AH1211" t="s">
        <v>42</v>
      </c>
      <c r="AI1211" t="str">
        <f>"66298834930671"</f>
        <v>66298834930671</v>
      </c>
      <c r="AJ1211" t="str">
        <f>"175-GHB"</f>
        <v>175-GHB</v>
      </c>
      <c r="AK1211" t="s">
        <v>46</v>
      </c>
      <c r="AL1211" s="1">
        <v>44816.550335648149</v>
      </c>
      <c r="AM1211" t="s">
        <v>44</v>
      </c>
    </row>
    <row r="1212" spans="1:39" x14ac:dyDescent="0.2">
      <c r="A1212" t="s">
        <v>1199</v>
      </c>
      <c r="B1212" t="s">
        <v>40</v>
      </c>
      <c r="C1212" t="s">
        <v>1189</v>
      </c>
      <c r="D1212" t="s">
        <v>42</v>
      </c>
      <c r="E1212" t="s">
        <v>43</v>
      </c>
      <c r="F1212" t="s">
        <v>44</v>
      </c>
      <c r="G1212" t="s">
        <v>45</v>
      </c>
      <c r="H1212" t="s">
        <v>1190</v>
      </c>
      <c r="AH1212" t="s">
        <v>42</v>
      </c>
      <c r="AI1212" t="str">
        <f>"66298834968419"</f>
        <v>66298834968419</v>
      </c>
      <c r="AJ1212" t="str">
        <f>"777"</f>
        <v>777</v>
      </c>
      <c r="AK1212" t="s">
        <v>46</v>
      </c>
      <c r="AL1212" s="1">
        <v>44816.550335648149</v>
      </c>
      <c r="AM1212" t="s">
        <v>44</v>
      </c>
    </row>
    <row r="1213" spans="1:39" x14ac:dyDescent="0.2">
      <c r="A1213" t="s">
        <v>1200</v>
      </c>
      <c r="B1213" t="s">
        <v>40</v>
      </c>
      <c r="C1213" t="s">
        <v>1189</v>
      </c>
      <c r="D1213" t="s">
        <v>42</v>
      </c>
      <c r="E1213" t="s">
        <v>43</v>
      </c>
      <c r="F1213" t="s">
        <v>44</v>
      </c>
      <c r="G1213" t="s">
        <v>45</v>
      </c>
      <c r="H1213" t="s">
        <v>1201</v>
      </c>
      <c r="AH1213" t="s">
        <v>42</v>
      </c>
      <c r="AI1213" t="str">
        <f>"66298835006727"</f>
        <v>66298835006727</v>
      </c>
      <c r="AJ1213" t="str">
        <f>"684-BLANCO-M"</f>
        <v>684-BLANCO-M</v>
      </c>
      <c r="AK1213" t="s">
        <v>46</v>
      </c>
      <c r="AL1213" s="1">
        <v>44816.550347222219</v>
      </c>
      <c r="AM1213" t="s">
        <v>44</v>
      </c>
    </row>
    <row r="1214" spans="1:39" x14ac:dyDescent="0.2">
      <c r="A1214" t="s">
        <v>1202</v>
      </c>
      <c r="B1214" t="s">
        <v>40</v>
      </c>
      <c r="C1214" t="s">
        <v>1189</v>
      </c>
      <c r="D1214" t="s">
        <v>42</v>
      </c>
      <c r="E1214" t="s">
        <v>43</v>
      </c>
      <c r="F1214" t="s">
        <v>44</v>
      </c>
      <c r="G1214" t="s">
        <v>45</v>
      </c>
      <c r="H1214" t="s">
        <v>1203</v>
      </c>
      <c r="AH1214" t="s">
        <v>42</v>
      </c>
      <c r="AI1214" t="str">
        <f>"66298835046082"</f>
        <v>66298835046082</v>
      </c>
      <c r="AJ1214" t="str">
        <f>"684-NEGRO"</f>
        <v>684-NEGRO</v>
      </c>
      <c r="AK1214" t="s">
        <v>46</v>
      </c>
      <c r="AL1214" s="1">
        <v>44816.550347222219</v>
      </c>
      <c r="AM1214" t="s">
        <v>44</v>
      </c>
    </row>
    <row r="1215" spans="1:39" x14ac:dyDescent="0.2">
      <c r="A1215" t="s">
        <v>1204</v>
      </c>
      <c r="B1215" t="s">
        <v>40</v>
      </c>
      <c r="C1215" t="s">
        <v>1189</v>
      </c>
      <c r="D1215" t="s">
        <v>42</v>
      </c>
      <c r="E1215" t="s">
        <v>43</v>
      </c>
      <c r="F1215" t="s">
        <v>44</v>
      </c>
      <c r="G1215" t="s">
        <v>45</v>
      </c>
      <c r="H1215" t="s">
        <v>1205</v>
      </c>
      <c r="AH1215" t="s">
        <v>42</v>
      </c>
      <c r="AI1215" t="str">
        <f>"66298835088679"</f>
        <v>66298835088679</v>
      </c>
      <c r="AJ1215" t="str">
        <f>"684-NEGRO-S"</f>
        <v>684-NEGRO-S</v>
      </c>
      <c r="AK1215" t="s">
        <v>46</v>
      </c>
      <c r="AL1215" s="1">
        <v>44816.550347222219</v>
      </c>
      <c r="AM1215" t="s">
        <v>44</v>
      </c>
    </row>
    <row r="1216" spans="1:39" x14ac:dyDescent="0.2">
      <c r="A1216" t="s">
        <v>1206</v>
      </c>
      <c r="B1216" t="s">
        <v>40</v>
      </c>
      <c r="C1216" t="s">
        <v>1189</v>
      </c>
      <c r="D1216" t="s">
        <v>42</v>
      </c>
      <c r="E1216" t="s">
        <v>43</v>
      </c>
      <c r="F1216" t="s">
        <v>44</v>
      </c>
      <c r="G1216" t="s">
        <v>45</v>
      </c>
      <c r="AH1216" t="s">
        <v>42</v>
      </c>
      <c r="AI1216" t="str">
        <f>"66298835131109"</f>
        <v>66298835131109</v>
      </c>
      <c r="AJ1216" t="str">
        <f>"934363"</f>
        <v>934363</v>
      </c>
      <c r="AK1216" t="s">
        <v>46</v>
      </c>
      <c r="AL1216" s="1">
        <v>44816.550358796296</v>
      </c>
      <c r="AM1216" t="s">
        <v>44</v>
      </c>
    </row>
    <row r="1217" spans="1:39" x14ac:dyDescent="0.2">
      <c r="A1217" t="s">
        <v>1207</v>
      </c>
      <c r="B1217" t="s">
        <v>40</v>
      </c>
      <c r="C1217" t="s">
        <v>1189</v>
      </c>
      <c r="D1217" t="s">
        <v>42</v>
      </c>
      <c r="E1217" t="s">
        <v>43</v>
      </c>
      <c r="F1217" t="s">
        <v>44</v>
      </c>
      <c r="G1217" t="s">
        <v>45</v>
      </c>
      <c r="AH1217" t="s">
        <v>42</v>
      </c>
      <c r="AI1217" t="str">
        <f>"66298835167959"</f>
        <v>66298835167959</v>
      </c>
      <c r="AJ1217" t="str">
        <f>"934364"</f>
        <v>934364</v>
      </c>
      <c r="AK1217" t="s">
        <v>46</v>
      </c>
      <c r="AL1217" s="1">
        <v>44816.550358796296</v>
      </c>
      <c r="AM1217" t="s">
        <v>44</v>
      </c>
    </row>
    <row r="1218" spans="1:39" x14ac:dyDescent="0.2">
      <c r="A1218" t="s">
        <v>1208</v>
      </c>
      <c r="B1218" t="s">
        <v>40</v>
      </c>
      <c r="C1218" t="s">
        <v>1189</v>
      </c>
      <c r="D1218" t="s">
        <v>42</v>
      </c>
      <c r="E1218" t="s">
        <v>43</v>
      </c>
      <c r="F1218" t="s">
        <v>44</v>
      </c>
      <c r="G1218" t="s">
        <v>45</v>
      </c>
      <c r="AH1218" t="s">
        <v>42</v>
      </c>
      <c r="AI1218" t="str">
        <f>"66298835214546"</f>
        <v>66298835214546</v>
      </c>
      <c r="AJ1218" t="str">
        <f>"934355"</f>
        <v>934355</v>
      </c>
      <c r="AK1218" t="s">
        <v>46</v>
      </c>
      <c r="AL1218" s="1">
        <v>44816.550370370373</v>
      </c>
      <c r="AM1218" t="s">
        <v>44</v>
      </c>
    </row>
    <row r="1219" spans="1:39" x14ac:dyDescent="0.2">
      <c r="A1219" t="s">
        <v>1209</v>
      </c>
      <c r="B1219" t="s">
        <v>40</v>
      </c>
      <c r="C1219" t="s">
        <v>1189</v>
      </c>
      <c r="D1219" t="s">
        <v>42</v>
      </c>
      <c r="E1219" t="s">
        <v>43</v>
      </c>
      <c r="F1219" t="s">
        <v>44</v>
      </c>
      <c r="G1219" t="s">
        <v>45</v>
      </c>
      <c r="H1219" t="s">
        <v>1190</v>
      </c>
      <c r="AH1219" t="s">
        <v>42</v>
      </c>
      <c r="AI1219" t="str">
        <f>"66298835264548"</f>
        <v>66298835264548</v>
      </c>
      <c r="AJ1219" t="str">
        <f>"1138685"</f>
        <v>1138685</v>
      </c>
      <c r="AK1219" t="s">
        <v>46</v>
      </c>
      <c r="AL1219" s="1">
        <v>44816.550370370373</v>
      </c>
      <c r="AM1219" t="s">
        <v>44</v>
      </c>
    </row>
    <row r="1220" spans="1:39" x14ac:dyDescent="0.2">
      <c r="A1220" t="s">
        <v>1210</v>
      </c>
      <c r="B1220" t="s">
        <v>40</v>
      </c>
      <c r="C1220" t="s">
        <v>1189</v>
      </c>
      <c r="D1220" t="s">
        <v>42</v>
      </c>
      <c r="E1220" t="s">
        <v>43</v>
      </c>
      <c r="F1220" t="s">
        <v>44</v>
      </c>
      <c r="G1220" t="s">
        <v>45</v>
      </c>
      <c r="H1220" t="s">
        <v>1211</v>
      </c>
      <c r="AH1220" t="s">
        <v>42</v>
      </c>
      <c r="AI1220" t="str">
        <f>"14609"</f>
        <v>14609</v>
      </c>
      <c r="AJ1220" t="str">
        <f>"14609"</f>
        <v>14609</v>
      </c>
      <c r="AK1220" t="s">
        <v>46</v>
      </c>
      <c r="AL1220" s="1">
        <v>44837.854780092595</v>
      </c>
      <c r="AM1220" t="s">
        <v>44</v>
      </c>
    </row>
    <row r="1221" spans="1:39" x14ac:dyDescent="0.2">
      <c r="A1221" t="s">
        <v>1210</v>
      </c>
      <c r="B1221" t="s">
        <v>40</v>
      </c>
      <c r="C1221" t="s">
        <v>1189</v>
      </c>
      <c r="D1221" t="s">
        <v>42</v>
      </c>
      <c r="E1221" t="s">
        <v>43</v>
      </c>
      <c r="F1221" t="s">
        <v>44</v>
      </c>
      <c r="G1221" t="s">
        <v>45</v>
      </c>
      <c r="H1221" t="s">
        <v>1212</v>
      </c>
      <c r="AH1221" t="s">
        <v>42</v>
      </c>
      <c r="AI1221" t="str">
        <f>"15945"</f>
        <v>15945</v>
      </c>
      <c r="AJ1221" t="str">
        <f>"15945"</f>
        <v>15945</v>
      </c>
      <c r="AK1221" t="s">
        <v>46</v>
      </c>
      <c r="AL1221" s="1">
        <v>44837.852094907408</v>
      </c>
      <c r="AM1221" t="s">
        <v>44</v>
      </c>
    </row>
    <row r="1222" spans="1:39" x14ac:dyDescent="0.2">
      <c r="A1222" t="s">
        <v>1210</v>
      </c>
      <c r="B1222" t="s">
        <v>40</v>
      </c>
      <c r="C1222" t="s">
        <v>1189</v>
      </c>
      <c r="D1222" t="s">
        <v>42</v>
      </c>
      <c r="E1222" t="s">
        <v>43</v>
      </c>
      <c r="F1222" t="s">
        <v>44</v>
      </c>
      <c r="G1222" t="s">
        <v>45</v>
      </c>
      <c r="H1222" t="s">
        <v>1213</v>
      </c>
      <c r="AH1222" t="s">
        <v>42</v>
      </c>
      <c r="AI1222" t="str">
        <f>"14608"</f>
        <v>14608</v>
      </c>
      <c r="AJ1222" t="str">
        <f>"14608"</f>
        <v>14608</v>
      </c>
      <c r="AK1222" t="s">
        <v>46</v>
      </c>
      <c r="AL1222" s="1">
        <v>44837.852743055555</v>
      </c>
      <c r="AM1222" t="s">
        <v>44</v>
      </c>
    </row>
    <row r="1223" spans="1:39" x14ac:dyDescent="0.2">
      <c r="A1223" t="s">
        <v>1210</v>
      </c>
      <c r="B1223" t="s">
        <v>40</v>
      </c>
      <c r="C1223" t="s">
        <v>1189</v>
      </c>
      <c r="D1223" t="s">
        <v>42</v>
      </c>
      <c r="E1223" t="s">
        <v>43</v>
      </c>
      <c r="F1223" t="s">
        <v>44</v>
      </c>
      <c r="G1223" t="s">
        <v>45</v>
      </c>
      <c r="H1223" t="s">
        <v>1214</v>
      </c>
      <c r="AH1223" t="s">
        <v>42</v>
      </c>
      <c r="AI1223" t="str">
        <f>"12888"</f>
        <v>12888</v>
      </c>
      <c r="AJ1223" t="str">
        <f>"12888"</f>
        <v>12888</v>
      </c>
      <c r="AK1223" t="s">
        <v>46</v>
      </c>
      <c r="AL1223" s="1">
        <v>44837.855555555558</v>
      </c>
      <c r="AM1223" t="s">
        <v>44</v>
      </c>
    </row>
    <row r="1224" spans="1:39" x14ac:dyDescent="0.2">
      <c r="A1224" t="s">
        <v>1210</v>
      </c>
      <c r="B1224" t="s">
        <v>40</v>
      </c>
      <c r="C1224" t="s">
        <v>1189</v>
      </c>
      <c r="D1224" t="s">
        <v>42</v>
      </c>
      <c r="E1224" t="s">
        <v>43</v>
      </c>
      <c r="F1224" t="s">
        <v>44</v>
      </c>
      <c r="G1224" t="s">
        <v>45</v>
      </c>
      <c r="H1224" t="s">
        <v>1215</v>
      </c>
      <c r="AH1224" t="s">
        <v>42</v>
      </c>
      <c r="AI1224" t="str">
        <f>"16220"</f>
        <v>16220</v>
      </c>
      <c r="AJ1224" t="str">
        <f>"16220"</f>
        <v>16220</v>
      </c>
      <c r="AK1224" t="s">
        <v>46</v>
      </c>
      <c r="AL1224" s="1">
        <v>44837.677418981482</v>
      </c>
      <c r="AM1224" t="s">
        <v>44</v>
      </c>
    </row>
    <row r="1225" spans="1:39" x14ac:dyDescent="0.2">
      <c r="A1225" t="s">
        <v>1210</v>
      </c>
      <c r="B1225" t="s">
        <v>40</v>
      </c>
      <c r="C1225" t="s">
        <v>1189</v>
      </c>
      <c r="D1225" t="s">
        <v>42</v>
      </c>
      <c r="E1225" t="s">
        <v>43</v>
      </c>
      <c r="F1225" t="s">
        <v>44</v>
      </c>
      <c r="G1225" t="s">
        <v>45</v>
      </c>
      <c r="H1225" t="s">
        <v>1216</v>
      </c>
      <c r="AH1225" t="s">
        <v>42</v>
      </c>
      <c r="AI1225" t="str">
        <f>"16221"</f>
        <v>16221</v>
      </c>
      <c r="AJ1225" t="str">
        <f>"16221"</f>
        <v>16221</v>
      </c>
      <c r="AK1225" t="s">
        <v>46</v>
      </c>
      <c r="AL1225" s="1">
        <v>44837.679409722223</v>
      </c>
      <c r="AM1225" t="s">
        <v>44</v>
      </c>
    </row>
    <row r="1226" spans="1:39" x14ac:dyDescent="0.2">
      <c r="A1226" t="s">
        <v>1210</v>
      </c>
      <c r="B1226" t="s">
        <v>40</v>
      </c>
      <c r="C1226" t="s">
        <v>1189</v>
      </c>
      <c r="D1226" t="s">
        <v>42</v>
      </c>
      <c r="E1226" t="s">
        <v>43</v>
      </c>
      <c r="F1226" t="s">
        <v>44</v>
      </c>
      <c r="G1226" t="s">
        <v>45</v>
      </c>
      <c r="H1226" t="s">
        <v>1217</v>
      </c>
      <c r="AH1226" t="s">
        <v>42</v>
      </c>
      <c r="AI1226" t="str">
        <f>"15162"</f>
        <v>15162</v>
      </c>
      <c r="AJ1226" t="str">
        <f>"15162"</f>
        <v>15162</v>
      </c>
      <c r="AK1226" t="s">
        <v>46</v>
      </c>
      <c r="AL1226" s="1">
        <v>44837.676585648151</v>
      </c>
      <c r="AM1226" t="s">
        <v>44</v>
      </c>
    </row>
    <row r="1227" spans="1:39" x14ac:dyDescent="0.2">
      <c r="A1227" t="s">
        <v>1210</v>
      </c>
      <c r="B1227" t="s">
        <v>40</v>
      </c>
      <c r="C1227" t="s">
        <v>1189</v>
      </c>
      <c r="D1227" t="s">
        <v>42</v>
      </c>
      <c r="E1227" t="s">
        <v>43</v>
      </c>
      <c r="F1227" t="s">
        <v>44</v>
      </c>
      <c r="G1227" t="s">
        <v>45</v>
      </c>
      <c r="H1227" t="s">
        <v>1218</v>
      </c>
      <c r="AH1227" t="s">
        <v>42</v>
      </c>
      <c r="AI1227" t="str">
        <f>"15971"</f>
        <v>15971</v>
      </c>
      <c r="AJ1227" t="str">
        <f>"15971"</f>
        <v>15971</v>
      </c>
      <c r="AK1227" t="s">
        <v>46</v>
      </c>
      <c r="AL1227" s="1">
        <v>44837.847638888888</v>
      </c>
      <c r="AM1227" t="s">
        <v>44</v>
      </c>
    </row>
    <row r="1228" spans="1:39" x14ac:dyDescent="0.2">
      <c r="A1228" t="s">
        <v>1210</v>
      </c>
      <c r="B1228" t="s">
        <v>40</v>
      </c>
      <c r="C1228" t="s">
        <v>1189</v>
      </c>
      <c r="D1228" t="s">
        <v>42</v>
      </c>
      <c r="E1228" t="s">
        <v>43</v>
      </c>
      <c r="F1228" t="s">
        <v>44</v>
      </c>
      <c r="G1228" t="s">
        <v>45</v>
      </c>
      <c r="H1228" t="s">
        <v>1219</v>
      </c>
      <c r="AH1228" t="s">
        <v>42</v>
      </c>
      <c r="AI1228" t="str">
        <f>"16113"</f>
        <v>16113</v>
      </c>
      <c r="AJ1228" t="str">
        <f>"16113"</f>
        <v>16113</v>
      </c>
      <c r="AK1228" t="s">
        <v>46</v>
      </c>
      <c r="AL1228" s="1">
        <v>44837.856689814813</v>
      </c>
      <c r="AM1228" t="s">
        <v>44</v>
      </c>
    </row>
    <row r="1229" spans="1:39" x14ac:dyDescent="0.2">
      <c r="A1229" t="s">
        <v>1220</v>
      </c>
      <c r="B1229" t="s">
        <v>40</v>
      </c>
      <c r="C1229" t="s">
        <v>1189</v>
      </c>
      <c r="D1229" t="s">
        <v>42</v>
      </c>
      <c r="E1229" t="s">
        <v>43</v>
      </c>
      <c r="F1229" t="s">
        <v>44</v>
      </c>
      <c r="G1229" t="s">
        <v>45</v>
      </c>
      <c r="H1229" t="s">
        <v>1221</v>
      </c>
      <c r="AH1229" t="s">
        <v>42</v>
      </c>
      <c r="AI1229" t="str">
        <f>"12895"</f>
        <v>12895</v>
      </c>
      <c r="AJ1229" t="str">
        <f>"12895"</f>
        <v>12895</v>
      </c>
      <c r="AK1229" t="s">
        <v>46</v>
      </c>
      <c r="AL1229" s="1">
        <v>44839.644837962966</v>
      </c>
      <c r="AM1229" t="s">
        <v>44</v>
      </c>
    </row>
    <row r="1230" spans="1:39" x14ac:dyDescent="0.2">
      <c r="A1230" t="s">
        <v>1220</v>
      </c>
      <c r="B1230" t="s">
        <v>40</v>
      </c>
      <c r="C1230" t="s">
        <v>1189</v>
      </c>
      <c r="D1230" t="s">
        <v>42</v>
      </c>
      <c r="E1230" t="s">
        <v>43</v>
      </c>
      <c r="F1230" t="s">
        <v>44</v>
      </c>
      <c r="G1230" t="s">
        <v>45</v>
      </c>
      <c r="H1230" t="s">
        <v>1222</v>
      </c>
      <c r="AH1230" t="s">
        <v>42</v>
      </c>
      <c r="AI1230" t="str">
        <f>"12896"</f>
        <v>12896</v>
      </c>
      <c r="AJ1230" t="str">
        <f>"12896"</f>
        <v>12896</v>
      </c>
      <c r="AK1230" t="s">
        <v>46</v>
      </c>
      <c r="AL1230" s="1">
        <v>44839.644560185188</v>
      </c>
      <c r="AM1230" t="s">
        <v>44</v>
      </c>
    </row>
    <row r="1231" spans="1:39" x14ac:dyDescent="0.2">
      <c r="A1231" t="s">
        <v>1220</v>
      </c>
      <c r="B1231" t="s">
        <v>40</v>
      </c>
      <c r="C1231" t="s">
        <v>1189</v>
      </c>
      <c r="D1231" t="s">
        <v>42</v>
      </c>
      <c r="E1231" t="s">
        <v>43</v>
      </c>
      <c r="F1231" t="s">
        <v>44</v>
      </c>
      <c r="G1231" t="s">
        <v>45</v>
      </c>
      <c r="H1231" t="s">
        <v>1223</v>
      </c>
      <c r="AH1231" t="s">
        <v>42</v>
      </c>
      <c r="AI1231" t="str">
        <f>"14335"</f>
        <v>14335</v>
      </c>
      <c r="AJ1231" t="str">
        <f>"14335"</f>
        <v>14335</v>
      </c>
      <c r="AK1231" t="s">
        <v>46</v>
      </c>
      <c r="AL1231" s="1">
        <v>44839.642326388886</v>
      </c>
      <c r="AM1231" t="s">
        <v>44</v>
      </c>
    </row>
    <row r="1232" spans="1:39" x14ac:dyDescent="0.2">
      <c r="A1232" t="s">
        <v>1220</v>
      </c>
      <c r="B1232" t="s">
        <v>40</v>
      </c>
      <c r="C1232" t="s">
        <v>1189</v>
      </c>
      <c r="D1232" t="s">
        <v>42</v>
      </c>
      <c r="E1232" t="s">
        <v>43</v>
      </c>
      <c r="F1232" t="s">
        <v>44</v>
      </c>
      <c r="G1232" t="s">
        <v>45</v>
      </c>
      <c r="H1232" t="s">
        <v>1224</v>
      </c>
      <c r="AH1232" t="s">
        <v>42</v>
      </c>
      <c r="AI1232" t="str">
        <f>"14334"</f>
        <v>14334</v>
      </c>
      <c r="AJ1232" t="str">
        <f>"14334"</f>
        <v>14334</v>
      </c>
      <c r="AK1232" t="s">
        <v>46</v>
      </c>
      <c r="AL1232" s="1">
        <v>44839.643900462965</v>
      </c>
      <c r="AM1232" t="s">
        <v>44</v>
      </c>
    </row>
    <row r="1233" spans="1:39" x14ac:dyDescent="0.2">
      <c r="A1233" t="s">
        <v>1220</v>
      </c>
      <c r="B1233" t="s">
        <v>40</v>
      </c>
      <c r="C1233" t="s">
        <v>1189</v>
      </c>
      <c r="D1233" t="s">
        <v>42</v>
      </c>
      <c r="E1233" t="s">
        <v>43</v>
      </c>
      <c r="F1233" t="s">
        <v>44</v>
      </c>
      <c r="G1233" t="s">
        <v>45</v>
      </c>
      <c r="H1233" t="s">
        <v>1225</v>
      </c>
      <c r="AH1233" t="s">
        <v>42</v>
      </c>
      <c r="AI1233" t="str">
        <f>"14318"</f>
        <v>14318</v>
      </c>
      <c r="AJ1233" t="str">
        <f>"14318"</f>
        <v>14318</v>
      </c>
      <c r="AK1233" t="s">
        <v>46</v>
      </c>
      <c r="AL1233" s="1">
        <v>44839.63003472222</v>
      </c>
      <c r="AM1233" t="s">
        <v>44</v>
      </c>
    </row>
    <row r="1234" spans="1:39" x14ac:dyDescent="0.2">
      <c r="A1234" t="s">
        <v>1220</v>
      </c>
      <c r="B1234" t="s">
        <v>40</v>
      </c>
      <c r="C1234" t="s">
        <v>1189</v>
      </c>
      <c r="D1234" t="s">
        <v>42</v>
      </c>
      <c r="E1234" t="s">
        <v>43</v>
      </c>
      <c r="F1234" t="s">
        <v>44</v>
      </c>
      <c r="G1234" t="s">
        <v>45</v>
      </c>
      <c r="H1234" t="s">
        <v>1226</v>
      </c>
      <c r="AH1234" t="s">
        <v>42</v>
      </c>
      <c r="AI1234" t="str">
        <f>"14317"</f>
        <v>14317</v>
      </c>
      <c r="AJ1234" t="str">
        <f>"14317"</f>
        <v>14317</v>
      </c>
      <c r="AK1234" t="s">
        <v>46</v>
      </c>
      <c r="AL1234" s="1">
        <v>44839.629166666666</v>
      </c>
      <c r="AM1234" t="s">
        <v>44</v>
      </c>
    </row>
    <row r="1235" spans="1:39" x14ac:dyDescent="0.2">
      <c r="A1235" t="s">
        <v>1220</v>
      </c>
      <c r="B1235" t="s">
        <v>40</v>
      </c>
      <c r="C1235" t="s">
        <v>1189</v>
      </c>
      <c r="D1235" t="s">
        <v>42</v>
      </c>
      <c r="E1235" t="s">
        <v>43</v>
      </c>
      <c r="F1235" t="s">
        <v>44</v>
      </c>
      <c r="G1235" t="s">
        <v>45</v>
      </c>
      <c r="H1235" t="s">
        <v>1227</v>
      </c>
      <c r="AH1235" t="s">
        <v>42</v>
      </c>
      <c r="AI1235" t="str">
        <f>"14313"</f>
        <v>14313</v>
      </c>
      <c r="AJ1235" t="str">
        <f>"14313"</f>
        <v>14313</v>
      </c>
      <c r="AK1235" t="s">
        <v>1228</v>
      </c>
      <c r="AL1235" s="1">
        <v>44839.631122685183</v>
      </c>
      <c r="AM1235" t="s">
        <v>44</v>
      </c>
    </row>
    <row r="1236" spans="1:39" x14ac:dyDescent="0.2">
      <c r="A1236" t="s">
        <v>1220</v>
      </c>
      <c r="B1236" t="s">
        <v>40</v>
      </c>
      <c r="C1236" t="s">
        <v>1189</v>
      </c>
      <c r="D1236" t="s">
        <v>42</v>
      </c>
      <c r="E1236" t="s">
        <v>43</v>
      </c>
      <c r="F1236" t="s">
        <v>44</v>
      </c>
      <c r="G1236" t="s">
        <v>45</v>
      </c>
      <c r="H1236" t="s">
        <v>1229</v>
      </c>
      <c r="AH1236" t="s">
        <v>42</v>
      </c>
      <c r="AI1236" t="str">
        <f>"14312"</f>
        <v>14312</v>
      </c>
      <c r="AJ1236" t="str">
        <f>"14312"</f>
        <v>14312</v>
      </c>
      <c r="AK1236" t="s">
        <v>46</v>
      </c>
      <c r="AL1236" s="1">
        <v>44839.63045138889</v>
      </c>
      <c r="AM1236" t="s">
        <v>44</v>
      </c>
    </row>
    <row r="1237" spans="1:39" x14ac:dyDescent="0.2">
      <c r="A1237" t="s">
        <v>1220</v>
      </c>
      <c r="B1237" t="s">
        <v>40</v>
      </c>
      <c r="C1237" t="s">
        <v>1189</v>
      </c>
      <c r="D1237" t="s">
        <v>42</v>
      </c>
      <c r="E1237" t="s">
        <v>43</v>
      </c>
      <c r="F1237" t="s">
        <v>44</v>
      </c>
      <c r="G1237" t="s">
        <v>45</v>
      </c>
      <c r="H1237" t="s">
        <v>1230</v>
      </c>
      <c r="AH1237" t="s">
        <v>42</v>
      </c>
      <c r="AI1237" t="str">
        <f>"14314"</f>
        <v>14314</v>
      </c>
      <c r="AJ1237" t="str">
        <f>"14314"</f>
        <v>14314</v>
      </c>
      <c r="AK1237" t="s">
        <v>46</v>
      </c>
      <c r="AL1237" s="1">
        <v>44839.631458333337</v>
      </c>
      <c r="AM1237" t="s">
        <v>44</v>
      </c>
    </row>
    <row r="1238" spans="1:39" x14ac:dyDescent="0.2">
      <c r="A1238" t="s">
        <v>1220</v>
      </c>
      <c r="B1238" t="s">
        <v>40</v>
      </c>
      <c r="C1238" t="s">
        <v>1189</v>
      </c>
      <c r="D1238" t="s">
        <v>42</v>
      </c>
      <c r="E1238" t="s">
        <v>43</v>
      </c>
      <c r="F1238" t="s">
        <v>44</v>
      </c>
      <c r="G1238" t="s">
        <v>45</v>
      </c>
      <c r="H1238" t="s">
        <v>1231</v>
      </c>
      <c r="AH1238" t="s">
        <v>42</v>
      </c>
      <c r="AI1238" t="str">
        <f>"14315"</f>
        <v>14315</v>
      </c>
      <c r="AJ1238" t="str">
        <f>"14315"</f>
        <v>14315</v>
      </c>
      <c r="AK1238" t="s">
        <v>46</v>
      </c>
      <c r="AL1238" s="1">
        <v>44839.631712962961</v>
      </c>
      <c r="AM1238" t="s">
        <v>44</v>
      </c>
    </row>
    <row r="1239" spans="1:39" x14ac:dyDescent="0.2">
      <c r="A1239" t="s">
        <v>1220</v>
      </c>
      <c r="B1239" t="s">
        <v>40</v>
      </c>
      <c r="C1239" t="s">
        <v>1189</v>
      </c>
      <c r="D1239" t="s">
        <v>42</v>
      </c>
      <c r="E1239" t="s">
        <v>43</v>
      </c>
      <c r="F1239" t="s">
        <v>44</v>
      </c>
      <c r="G1239" t="s">
        <v>45</v>
      </c>
      <c r="H1239" t="s">
        <v>1232</v>
      </c>
      <c r="AH1239" t="s">
        <v>42</v>
      </c>
      <c r="AI1239" t="str">
        <f>"10782"</f>
        <v>10782</v>
      </c>
      <c r="AJ1239" t="str">
        <f>"10782"</f>
        <v>10782</v>
      </c>
      <c r="AK1239" t="s">
        <v>46</v>
      </c>
      <c r="AL1239" s="1">
        <v>44839.639976851853</v>
      </c>
      <c r="AM1239" t="s">
        <v>44</v>
      </c>
    </row>
    <row r="1240" spans="1:39" x14ac:dyDescent="0.2">
      <c r="A1240" t="s">
        <v>1220</v>
      </c>
      <c r="B1240" t="s">
        <v>40</v>
      </c>
      <c r="C1240" t="s">
        <v>1189</v>
      </c>
      <c r="D1240" t="s">
        <v>42</v>
      </c>
      <c r="E1240" t="s">
        <v>43</v>
      </c>
      <c r="F1240" t="s">
        <v>44</v>
      </c>
      <c r="G1240" t="s">
        <v>45</v>
      </c>
      <c r="H1240" t="s">
        <v>1233</v>
      </c>
      <c r="AH1240" t="s">
        <v>42</v>
      </c>
      <c r="AI1240" t="str">
        <f>"10783"</f>
        <v>10783</v>
      </c>
      <c r="AJ1240" t="str">
        <f>"10783"</f>
        <v>10783</v>
      </c>
      <c r="AK1240" t="s">
        <v>46</v>
      </c>
      <c r="AL1240" s="1">
        <v>44839.641180555554</v>
      </c>
      <c r="AM1240" t="s">
        <v>44</v>
      </c>
    </row>
    <row r="1241" spans="1:39" x14ac:dyDescent="0.2">
      <c r="A1241" t="s">
        <v>1220</v>
      </c>
      <c r="B1241" t="s">
        <v>40</v>
      </c>
      <c r="C1241" t="s">
        <v>1189</v>
      </c>
      <c r="D1241" t="s">
        <v>42</v>
      </c>
      <c r="E1241" t="s">
        <v>43</v>
      </c>
      <c r="F1241" t="s">
        <v>44</v>
      </c>
      <c r="G1241" t="s">
        <v>45</v>
      </c>
      <c r="H1241" t="s">
        <v>1234</v>
      </c>
      <c r="AH1241" t="s">
        <v>42</v>
      </c>
      <c r="AI1241" t="str">
        <f>"13012"</f>
        <v>13012</v>
      </c>
      <c r="AJ1241" t="str">
        <f>"13012"</f>
        <v>13012</v>
      </c>
      <c r="AK1241" t="s">
        <v>46</v>
      </c>
      <c r="AL1241" s="1">
        <v>44839.636712962965</v>
      </c>
      <c r="AM1241" t="s">
        <v>44</v>
      </c>
    </row>
    <row r="1242" spans="1:39" x14ac:dyDescent="0.2">
      <c r="A1242" t="s">
        <v>1220</v>
      </c>
      <c r="B1242" t="s">
        <v>40</v>
      </c>
      <c r="C1242" t="s">
        <v>1189</v>
      </c>
      <c r="D1242" t="s">
        <v>42</v>
      </c>
      <c r="E1242" t="s">
        <v>43</v>
      </c>
      <c r="F1242" t="s">
        <v>44</v>
      </c>
      <c r="G1242" t="s">
        <v>45</v>
      </c>
      <c r="H1242" t="s">
        <v>1235</v>
      </c>
      <c r="AH1242" t="s">
        <v>42</v>
      </c>
      <c r="AI1242" t="str">
        <f>"13011"</f>
        <v>13011</v>
      </c>
      <c r="AJ1242" t="str">
        <f>"13011"</f>
        <v>13011</v>
      </c>
      <c r="AK1242" t="s">
        <v>46</v>
      </c>
      <c r="AL1242" s="1">
        <v>44839.636388888888</v>
      </c>
      <c r="AM1242" t="s">
        <v>44</v>
      </c>
    </row>
    <row r="1243" spans="1:39" x14ac:dyDescent="0.2">
      <c r="A1243" t="s">
        <v>1220</v>
      </c>
      <c r="B1243" t="s">
        <v>40</v>
      </c>
      <c r="C1243" t="s">
        <v>1189</v>
      </c>
      <c r="D1243" t="s">
        <v>42</v>
      </c>
      <c r="E1243" t="s">
        <v>43</v>
      </c>
      <c r="F1243" t="s">
        <v>44</v>
      </c>
      <c r="G1243" t="s">
        <v>45</v>
      </c>
      <c r="H1243" t="s">
        <v>1236</v>
      </c>
      <c r="AH1243" t="s">
        <v>42</v>
      </c>
      <c r="AI1243" t="str">
        <f>"13013"</f>
        <v>13013</v>
      </c>
      <c r="AJ1243" t="str">
        <f>"13013"</f>
        <v>13013</v>
      </c>
      <c r="AK1243" t="s">
        <v>46</v>
      </c>
      <c r="AL1243" s="1">
        <v>44839.638657407406</v>
      </c>
      <c r="AM1243" t="s">
        <v>44</v>
      </c>
    </row>
    <row r="1244" spans="1:39" x14ac:dyDescent="0.2">
      <c r="A1244" t="s">
        <v>1220</v>
      </c>
      <c r="B1244" t="s">
        <v>40</v>
      </c>
      <c r="C1244" t="s">
        <v>1189</v>
      </c>
      <c r="D1244" t="s">
        <v>42</v>
      </c>
      <c r="E1244" t="s">
        <v>43</v>
      </c>
      <c r="F1244" t="s">
        <v>44</v>
      </c>
      <c r="G1244" t="s">
        <v>45</v>
      </c>
      <c r="H1244" t="s">
        <v>1237</v>
      </c>
      <c r="AH1244" t="s">
        <v>42</v>
      </c>
      <c r="AI1244" t="str">
        <f>"13014"</f>
        <v>13014</v>
      </c>
      <c r="AJ1244" t="str">
        <f>"13014"</f>
        <v>13014</v>
      </c>
      <c r="AK1244" t="s">
        <v>46</v>
      </c>
      <c r="AL1244" s="1">
        <v>44839.639236111114</v>
      </c>
      <c r="AM1244" t="s">
        <v>44</v>
      </c>
    </row>
    <row r="1245" spans="1:39" x14ac:dyDescent="0.2">
      <c r="A1245" t="s">
        <v>1238</v>
      </c>
      <c r="B1245" t="s">
        <v>40</v>
      </c>
      <c r="C1245" t="s">
        <v>1189</v>
      </c>
      <c r="D1245" t="s">
        <v>42</v>
      </c>
      <c r="E1245" t="s">
        <v>43</v>
      </c>
      <c r="F1245" t="s">
        <v>44</v>
      </c>
      <c r="G1245" t="s">
        <v>45</v>
      </c>
      <c r="H1245" t="s">
        <v>1239</v>
      </c>
      <c r="AH1245" t="s">
        <v>42</v>
      </c>
      <c r="AI1245" t="str">
        <f>"16235"</f>
        <v>16235</v>
      </c>
      <c r="AJ1245" t="str">
        <f>"16235"</f>
        <v>16235</v>
      </c>
      <c r="AK1245" t="s">
        <v>46</v>
      </c>
      <c r="AL1245" s="1">
        <v>44837.672662037039</v>
      </c>
      <c r="AM1245" t="s">
        <v>44</v>
      </c>
    </row>
    <row r="1246" spans="1:39" x14ac:dyDescent="0.2">
      <c r="A1246" t="s">
        <v>1238</v>
      </c>
      <c r="B1246" t="s">
        <v>40</v>
      </c>
      <c r="C1246" t="s">
        <v>1189</v>
      </c>
      <c r="D1246" t="s">
        <v>42</v>
      </c>
      <c r="E1246" t="s">
        <v>43</v>
      </c>
      <c r="F1246" t="s">
        <v>44</v>
      </c>
      <c r="G1246" t="s">
        <v>45</v>
      </c>
      <c r="H1246" t="s">
        <v>1240</v>
      </c>
      <c r="AH1246" t="s">
        <v>42</v>
      </c>
      <c r="AI1246" t="str">
        <f>"14490"</f>
        <v>14490</v>
      </c>
      <c r="AJ1246" t="str">
        <f>"14490"</f>
        <v>14490</v>
      </c>
      <c r="AK1246" t="s">
        <v>46</v>
      </c>
      <c r="AL1246" s="1">
        <v>44837.670092592591</v>
      </c>
      <c r="AM1246" t="s">
        <v>44</v>
      </c>
    </row>
    <row r="1247" spans="1:39" x14ac:dyDescent="0.2">
      <c r="A1247" t="s">
        <v>1238</v>
      </c>
      <c r="B1247" t="s">
        <v>40</v>
      </c>
      <c r="C1247" t="s">
        <v>1189</v>
      </c>
      <c r="D1247" t="s">
        <v>42</v>
      </c>
      <c r="E1247" t="s">
        <v>43</v>
      </c>
      <c r="F1247" t="s">
        <v>44</v>
      </c>
      <c r="G1247" t="s">
        <v>45</v>
      </c>
      <c r="H1247" t="s">
        <v>1241</v>
      </c>
      <c r="AH1247" t="s">
        <v>42</v>
      </c>
      <c r="AI1247" t="str">
        <f>"14491"</f>
        <v>14491</v>
      </c>
      <c r="AJ1247" t="str">
        <f>"14491"</f>
        <v>14491</v>
      </c>
      <c r="AK1247" t="s">
        <v>46</v>
      </c>
      <c r="AL1247" s="1">
        <v>44837.671006944445</v>
      </c>
      <c r="AM1247" t="s">
        <v>44</v>
      </c>
    </row>
    <row r="1248" spans="1:39" x14ac:dyDescent="0.2">
      <c r="A1248" t="s">
        <v>1238</v>
      </c>
      <c r="B1248" t="s">
        <v>40</v>
      </c>
      <c r="C1248" t="s">
        <v>1189</v>
      </c>
      <c r="D1248" t="s">
        <v>42</v>
      </c>
      <c r="E1248" t="s">
        <v>43</v>
      </c>
      <c r="F1248" t="s">
        <v>44</v>
      </c>
      <c r="G1248" t="s">
        <v>45</v>
      </c>
      <c r="H1248" t="s">
        <v>1242</v>
      </c>
      <c r="AH1248" t="s">
        <v>42</v>
      </c>
      <c r="AI1248" t="str">
        <f>"14483"</f>
        <v>14483</v>
      </c>
      <c r="AJ1248" t="str">
        <f>"14483"</f>
        <v>14483</v>
      </c>
      <c r="AK1248" t="s">
        <v>46</v>
      </c>
      <c r="AL1248" s="1">
        <v>44837.671840277777</v>
      </c>
      <c r="AM1248" t="s">
        <v>44</v>
      </c>
    </row>
    <row r="1249" spans="1:39" x14ac:dyDescent="0.2">
      <c r="A1249" t="s">
        <v>1238</v>
      </c>
      <c r="B1249" t="s">
        <v>40</v>
      </c>
      <c r="C1249" t="s">
        <v>1189</v>
      </c>
      <c r="D1249" t="s">
        <v>42</v>
      </c>
      <c r="E1249" t="s">
        <v>43</v>
      </c>
      <c r="F1249" t="s">
        <v>44</v>
      </c>
      <c r="G1249" t="s">
        <v>45</v>
      </c>
      <c r="H1249" t="s">
        <v>1243</v>
      </c>
      <c r="AH1249" t="s">
        <v>42</v>
      </c>
      <c r="AI1249" t="str">
        <f>"14484"</f>
        <v>14484</v>
      </c>
      <c r="AJ1249" t="str">
        <f>"14484"</f>
        <v>14484</v>
      </c>
      <c r="AK1249" t="s">
        <v>46</v>
      </c>
      <c r="AL1249" s="1">
        <v>44837.672106481485</v>
      </c>
      <c r="AM1249" t="s">
        <v>44</v>
      </c>
    </row>
    <row r="1250" spans="1:39" x14ac:dyDescent="0.2">
      <c r="A1250" t="s">
        <v>1238</v>
      </c>
      <c r="B1250" t="s">
        <v>40</v>
      </c>
      <c r="C1250" t="s">
        <v>1189</v>
      </c>
      <c r="D1250" t="s">
        <v>42</v>
      </c>
      <c r="E1250" t="s">
        <v>43</v>
      </c>
      <c r="F1250" t="s">
        <v>44</v>
      </c>
      <c r="G1250" t="s">
        <v>45</v>
      </c>
      <c r="H1250" t="s">
        <v>1244</v>
      </c>
      <c r="AH1250" t="s">
        <v>42</v>
      </c>
      <c r="AI1250" t="str">
        <f>"16236"</f>
        <v>16236</v>
      </c>
      <c r="AJ1250" t="str">
        <f>"16236"</f>
        <v>16236</v>
      </c>
      <c r="AK1250" t="s">
        <v>46</v>
      </c>
      <c r="AL1250" s="1">
        <v>44837.673171296294</v>
      </c>
      <c r="AM1250" t="s">
        <v>44</v>
      </c>
    </row>
    <row r="1251" spans="1:39" x14ac:dyDescent="0.2">
      <c r="A1251" t="s">
        <v>1238</v>
      </c>
      <c r="B1251" t="s">
        <v>40</v>
      </c>
      <c r="C1251" t="s">
        <v>1189</v>
      </c>
      <c r="D1251" t="s">
        <v>42</v>
      </c>
      <c r="E1251" t="s">
        <v>43</v>
      </c>
      <c r="F1251" t="s">
        <v>44</v>
      </c>
      <c r="G1251" t="s">
        <v>45</v>
      </c>
      <c r="H1251" t="s">
        <v>1245</v>
      </c>
      <c r="AH1251" t="s">
        <v>42</v>
      </c>
      <c r="AI1251" t="str">
        <f>"14489"</f>
        <v>14489</v>
      </c>
      <c r="AJ1251" t="str">
        <f>"14489"</f>
        <v>14489</v>
      </c>
      <c r="AK1251" t="s">
        <v>46</v>
      </c>
      <c r="AL1251" s="1">
        <v>44837.669537037036</v>
      </c>
      <c r="AM1251" t="s">
        <v>44</v>
      </c>
    </row>
    <row r="1252" spans="1:39" x14ac:dyDescent="0.2">
      <c r="A1252" t="s">
        <v>1246</v>
      </c>
      <c r="B1252" t="s">
        <v>40</v>
      </c>
      <c r="C1252" t="s">
        <v>1189</v>
      </c>
      <c r="D1252" t="s">
        <v>42</v>
      </c>
      <c r="E1252" t="s">
        <v>43</v>
      </c>
      <c r="F1252" t="s">
        <v>44</v>
      </c>
      <c r="G1252" t="s">
        <v>45</v>
      </c>
      <c r="H1252" t="s">
        <v>1247</v>
      </c>
      <c r="AH1252" t="s">
        <v>42</v>
      </c>
      <c r="AI1252" t="str">
        <f>"66298835314067"</f>
        <v>66298835314067</v>
      </c>
      <c r="AJ1252" t="str">
        <f>"14469"</f>
        <v>14469</v>
      </c>
      <c r="AK1252" t="s">
        <v>46</v>
      </c>
      <c r="AL1252" s="1">
        <v>44816.550381944442</v>
      </c>
      <c r="AM1252" t="s">
        <v>44</v>
      </c>
    </row>
    <row r="1253" spans="1:39" x14ac:dyDescent="0.2">
      <c r="A1253" t="s">
        <v>1248</v>
      </c>
      <c r="B1253" t="s">
        <v>40</v>
      </c>
      <c r="C1253" t="s">
        <v>1189</v>
      </c>
      <c r="D1253" t="s">
        <v>42</v>
      </c>
      <c r="E1253" t="s">
        <v>43</v>
      </c>
      <c r="F1253" t="s">
        <v>44</v>
      </c>
      <c r="G1253" t="s">
        <v>45</v>
      </c>
      <c r="AH1253" t="s">
        <v>42</v>
      </c>
      <c r="AI1253" t="str">
        <f>"66298835355573"</f>
        <v>66298835355573</v>
      </c>
      <c r="AJ1253" t="str">
        <f>"13734"</f>
        <v>13734</v>
      </c>
      <c r="AK1253" t="s">
        <v>46</v>
      </c>
      <c r="AL1253" s="1">
        <v>44816.550381944442</v>
      </c>
      <c r="AM1253" t="s">
        <v>44</v>
      </c>
    </row>
    <row r="1254" spans="1:39" x14ac:dyDescent="0.2">
      <c r="A1254" t="s">
        <v>1249</v>
      </c>
      <c r="B1254" t="s">
        <v>40</v>
      </c>
      <c r="C1254" t="s">
        <v>1189</v>
      </c>
      <c r="D1254" t="s">
        <v>42</v>
      </c>
      <c r="E1254" t="s">
        <v>43</v>
      </c>
      <c r="F1254" t="s">
        <v>44</v>
      </c>
      <c r="G1254" t="s">
        <v>45</v>
      </c>
      <c r="H1254" t="s">
        <v>1250</v>
      </c>
      <c r="AH1254" t="s">
        <v>42</v>
      </c>
      <c r="AI1254" t="str">
        <f>"66298835392119"</f>
        <v>66298835392119</v>
      </c>
      <c r="AJ1254" t="str">
        <f>"13737"</f>
        <v>13737</v>
      </c>
      <c r="AK1254" t="s">
        <v>46</v>
      </c>
      <c r="AL1254" s="1">
        <v>44816.550381944442</v>
      </c>
      <c r="AM1254" t="s">
        <v>44</v>
      </c>
    </row>
    <row r="1255" spans="1:39" x14ac:dyDescent="0.2">
      <c r="A1255" t="s">
        <v>1251</v>
      </c>
      <c r="B1255" t="s">
        <v>40</v>
      </c>
      <c r="C1255" t="s">
        <v>1189</v>
      </c>
      <c r="D1255" t="s">
        <v>42</v>
      </c>
      <c r="E1255" t="s">
        <v>43</v>
      </c>
      <c r="F1255" t="s">
        <v>44</v>
      </c>
      <c r="G1255" t="s">
        <v>45</v>
      </c>
      <c r="H1255" t="s">
        <v>1247</v>
      </c>
      <c r="AH1255" t="s">
        <v>42</v>
      </c>
      <c r="AI1255" t="str">
        <f>"66298835433798"</f>
        <v>66298835433798</v>
      </c>
      <c r="AJ1255" t="str">
        <f>"13742"</f>
        <v>13742</v>
      </c>
      <c r="AK1255" t="s">
        <v>46</v>
      </c>
      <c r="AL1255" s="1">
        <v>44816.550393518519</v>
      </c>
      <c r="AM1255" t="s">
        <v>44</v>
      </c>
    </row>
    <row r="1256" spans="1:39" x14ac:dyDescent="0.2">
      <c r="A1256" t="s">
        <v>1252</v>
      </c>
      <c r="B1256" t="s">
        <v>40</v>
      </c>
      <c r="C1256" t="s">
        <v>1189</v>
      </c>
      <c r="D1256" t="s">
        <v>42</v>
      </c>
      <c r="E1256" t="s">
        <v>43</v>
      </c>
      <c r="F1256" t="s">
        <v>44</v>
      </c>
      <c r="G1256" t="s">
        <v>45</v>
      </c>
      <c r="AH1256" t="s">
        <v>42</v>
      </c>
      <c r="AI1256" t="str">
        <f>"66298835475424"</f>
        <v>66298835475424</v>
      </c>
      <c r="AJ1256" t="str">
        <f>"13492"</f>
        <v>13492</v>
      </c>
      <c r="AK1256" t="s">
        <v>46</v>
      </c>
      <c r="AL1256" s="1">
        <v>44816.550393518519</v>
      </c>
      <c r="AM1256" t="s">
        <v>44</v>
      </c>
    </row>
    <row r="1257" spans="1:39" x14ac:dyDescent="0.2">
      <c r="A1257" t="s">
        <v>1253</v>
      </c>
      <c r="B1257" t="s">
        <v>40</v>
      </c>
      <c r="C1257" t="s">
        <v>1189</v>
      </c>
      <c r="D1257" t="s">
        <v>42</v>
      </c>
      <c r="E1257" t="s">
        <v>43</v>
      </c>
      <c r="F1257" t="s">
        <v>44</v>
      </c>
      <c r="G1257" t="s">
        <v>45</v>
      </c>
      <c r="H1257" t="s">
        <v>1247</v>
      </c>
      <c r="AH1257" t="s">
        <v>42</v>
      </c>
      <c r="AI1257" t="str">
        <f>"66298835514853"</f>
        <v>66298835514853</v>
      </c>
      <c r="AJ1257" t="str">
        <f>"1379A"</f>
        <v>1379A</v>
      </c>
      <c r="AK1257" t="s">
        <v>46</v>
      </c>
      <c r="AL1257" s="1">
        <v>44816.550405092596</v>
      </c>
      <c r="AM1257" t="s">
        <v>44</v>
      </c>
    </row>
    <row r="1258" spans="1:39" x14ac:dyDescent="0.2">
      <c r="A1258" t="s">
        <v>1254</v>
      </c>
      <c r="B1258" t="s">
        <v>40</v>
      </c>
      <c r="C1258" t="s">
        <v>1189</v>
      </c>
      <c r="D1258" t="s">
        <v>42</v>
      </c>
      <c r="E1258" t="s">
        <v>43</v>
      </c>
      <c r="F1258" t="s">
        <v>44</v>
      </c>
      <c r="G1258" t="s">
        <v>45</v>
      </c>
      <c r="H1258" t="s">
        <v>1247</v>
      </c>
      <c r="AH1258" t="s">
        <v>42</v>
      </c>
      <c r="AI1258" t="str">
        <f>"66298835559620"</f>
        <v>66298835559620</v>
      </c>
      <c r="AJ1258" t="str">
        <f>"1379B"</f>
        <v>1379B</v>
      </c>
      <c r="AK1258" t="s">
        <v>46</v>
      </c>
      <c r="AL1258" s="1">
        <v>44816.550405092596</v>
      </c>
      <c r="AM1258" t="s">
        <v>44</v>
      </c>
    </row>
    <row r="1259" spans="1:39" x14ac:dyDescent="0.2">
      <c r="A1259" t="s">
        <v>1255</v>
      </c>
      <c r="B1259" t="s">
        <v>40</v>
      </c>
      <c r="C1259" t="s">
        <v>1189</v>
      </c>
      <c r="D1259" t="s">
        <v>42</v>
      </c>
      <c r="E1259" t="s">
        <v>43</v>
      </c>
      <c r="F1259" t="s">
        <v>44</v>
      </c>
      <c r="G1259" t="s">
        <v>45</v>
      </c>
      <c r="H1259" t="s">
        <v>1247</v>
      </c>
      <c r="AH1259" t="s">
        <v>42</v>
      </c>
      <c r="AI1259" t="str">
        <f>"66298835601278"</f>
        <v>66298835601278</v>
      </c>
      <c r="AJ1259" t="str">
        <f>"1379N"</f>
        <v>1379N</v>
      </c>
      <c r="AK1259" t="s">
        <v>46</v>
      </c>
      <c r="AL1259" s="1">
        <v>44816.550416666665</v>
      </c>
      <c r="AM1259" t="s">
        <v>44</v>
      </c>
    </row>
    <row r="1260" spans="1:39" x14ac:dyDescent="0.2">
      <c r="A1260" t="s">
        <v>1256</v>
      </c>
      <c r="B1260" t="s">
        <v>40</v>
      </c>
      <c r="C1260" t="s">
        <v>1189</v>
      </c>
      <c r="D1260" t="s">
        <v>42</v>
      </c>
      <c r="E1260" t="s">
        <v>43</v>
      </c>
      <c r="F1260" t="s">
        <v>44</v>
      </c>
      <c r="G1260" t="s">
        <v>45</v>
      </c>
      <c r="AH1260" t="s">
        <v>42</v>
      </c>
      <c r="AI1260" t="str">
        <f>"66298835643005"</f>
        <v>66298835643005</v>
      </c>
      <c r="AJ1260" t="str">
        <f>"1379M"</f>
        <v>1379M</v>
      </c>
      <c r="AK1260" t="s">
        <v>46</v>
      </c>
      <c r="AL1260" s="1">
        <v>44816.550416666665</v>
      </c>
      <c r="AM1260" t="s">
        <v>44</v>
      </c>
    </row>
    <row r="1261" spans="1:39" x14ac:dyDescent="0.2">
      <c r="A1261" t="s">
        <v>1257</v>
      </c>
      <c r="B1261" t="s">
        <v>40</v>
      </c>
      <c r="C1261" t="s">
        <v>1189</v>
      </c>
      <c r="D1261" t="s">
        <v>42</v>
      </c>
      <c r="E1261" t="s">
        <v>43</v>
      </c>
      <c r="F1261" t="s">
        <v>44</v>
      </c>
      <c r="G1261" t="s">
        <v>45</v>
      </c>
      <c r="H1261" t="s">
        <v>1247</v>
      </c>
      <c r="AH1261" t="s">
        <v>42</v>
      </c>
      <c r="AI1261" t="str">
        <f>"66298835683615"</f>
        <v>66298835683615</v>
      </c>
      <c r="AJ1261" t="str">
        <f>"1379R"</f>
        <v>1379R</v>
      </c>
      <c r="AK1261" t="s">
        <v>46</v>
      </c>
      <c r="AL1261" s="1">
        <v>44816.550416666665</v>
      </c>
      <c r="AM1261" t="s">
        <v>44</v>
      </c>
    </row>
    <row r="1262" spans="1:39" x14ac:dyDescent="0.2">
      <c r="A1262" t="s">
        <v>1258</v>
      </c>
      <c r="B1262" t="s">
        <v>40</v>
      </c>
      <c r="C1262" t="s">
        <v>1189</v>
      </c>
      <c r="D1262" t="s">
        <v>42</v>
      </c>
      <c r="E1262" t="s">
        <v>43</v>
      </c>
      <c r="F1262" t="s">
        <v>44</v>
      </c>
      <c r="G1262" t="s">
        <v>45</v>
      </c>
      <c r="AH1262" t="s">
        <v>42</v>
      </c>
      <c r="AI1262" t="str">
        <f>"66298835722889"</f>
        <v>66298835722889</v>
      </c>
      <c r="AJ1262" t="str">
        <f>"W015-NEG/ROJ-L"</f>
        <v>W015-NEG/ROJ-L</v>
      </c>
      <c r="AK1262" t="s">
        <v>46</v>
      </c>
      <c r="AL1262" s="1">
        <v>44816.550428240742</v>
      </c>
      <c r="AM1262" t="s">
        <v>44</v>
      </c>
    </row>
    <row r="1263" spans="1:39" x14ac:dyDescent="0.2">
      <c r="A1263" t="s">
        <v>1259</v>
      </c>
      <c r="B1263" t="s">
        <v>40</v>
      </c>
      <c r="C1263" t="s">
        <v>1189</v>
      </c>
      <c r="D1263" t="s">
        <v>42</v>
      </c>
      <c r="E1263" t="s">
        <v>43</v>
      </c>
      <c r="F1263" t="s">
        <v>44</v>
      </c>
      <c r="G1263" t="s">
        <v>45</v>
      </c>
      <c r="H1263" t="s">
        <v>1250</v>
      </c>
      <c r="AH1263" t="s">
        <v>42</v>
      </c>
      <c r="AI1263" t="str">
        <f>"66298835766424"</f>
        <v>66298835766424</v>
      </c>
      <c r="AJ1263" t="str">
        <f>"561"</f>
        <v>561</v>
      </c>
      <c r="AK1263" t="s">
        <v>46</v>
      </c>
      <c r="AL1263" s="1">
        <v>44816.550428240742</v>
      </c>
      <c r="AM1263" t="s">
        <v>44</v>
      </c>
    </row>
    <row r="1264" spans="1:39" x14ac:dyDescent="0.2">
      <c r="A1264" t="s">
        <v>1260</v>
      </c>
      <c r="B1264" t="s">
        <v>40</v>
      </c>
      <c r="C1264" t="s">
        <v>1261</v>
      </c>
      <c r="D1264" t="s">
        <v>42</v>
      </c>
      <c r="E1264" t="s">
        <v>43</v>
      </c>
      <c r="F1264" t="s">
        <v>44</v>
      </c>
      <c r="G1264" t="s">
        <v>45</v>
      </c>
      <c r="AH1264" t="s">
        <v>42</v>
      </c>
      <c r="AI1264" t="str">
        <f>"10000040033"</f>
        <v>10000040033</v>
      </c>
      <c r="AJ1264" t="str">
        <f>"10000040033"</f>
        <v>10000040033</v>
      </c>
      <c r="AK1264" t="s">
        <v>46</v>
      </c>
      <c r="AL1264" s="1">
        <v>45071.799039351848</v>
      </c>
      <c r="AM1264" t="s">
        <v>44</v>
      </c>
    </row>
    <row r="1265" spans="1:39" x14ac:dyDescent="0.2">
      <c r="A1265" t="s">
        <v>1262</v>
      </c>
      <c r="B1265" t="s">
        <v>40</v>
      </c>
      <c r="C1265" t="s">
        <v>1261</v>
      </c>
      <c r="D1265" t="s">
        <v>42</v>
      </c>
      <c r="E1265" t="s">
        <v>43</v>
      </c>
      <c r="F1265" t="s">
        <v>44</v>
      </c>
      <c r="G1265" t="s">
        <v>45</v>
      </c>
      <c r="AH1265" t="s">
        <v>42</v>
      </c>
      <c r="AI1265" t="str">
        <f>"66298835807824"</f>
        <v>66298835807824</v>
      </c>
      <c r="AJ1265" t="str">
        <f>"49CC60"</f>
        <v>49CC60</v>
      </c>
      <c r="AK1265" t="s">
        <v>46</v>
      </c>
      <c r="AL1265" s="1">
        <v>44816.550439814811</v>
      </c>
      <c r="AM1265" t="s">
        <v>44</v>
      </c>
    </row>
    <row r="1266" spans="1:39" x14ac:dyDescent="0.2">
      <c r="A1266" t="s">
        <v>1263</v>
      </c>
      <c r="B1266" t="s">
        <v>40</v>
      </c>
      <c r="C1266" t="s">
        <v>1261</v>
      </c>
      <c r="D1266" t="s">
        <v>42</v>
      </c>
      <c r="E1266" t="s">
        <v>43</v>
      </c>
      <c r="F1266" t="s">
        <v>44</v>
      </c>
      <c r="G1266" t="s">
        <v>45</v>
      </c>
      <c r="AH1266" t="s">
        <v>42</v>
      </c>
      <c r="AI1266" t="str">
        <f>"N031"</f>
        <v>N031</v>
      </c>
      <c r="AJ1266" t="str">
        <f>"N031"</f>
        <v>N031</v>
      </c>
      <c r="AK1266" t="s">
        <v>46</v>
      </c>
      <c r="AL1266" s="1">
        <v>44858.807372685187</v>
      </c>
      <c r="AM1266" t="s">
        <v>44</v>
      </c>
    </row>
    <row r="1267" spans="1:39" x14ac:dyDescent="0.2">
      <c r="A1267" t="s">
        <v>1264</v>
      </c>
      <c r="B1267" t="s">
        <v>40</v>
      </c>
      <c r="C1267" t="s">
        <v>1261</v>
      </c>
      <c r="D1267" t="s">
        <v>42</v>
      </c>
      <c r="E1267" t="s">
        <v>43</v>
      </c>
      <c r="F1267" t="s">
        <v>44</v>
      </c>
      <c r="G1267" t="s">
        <v>45</v>
      </c>
      <c r="AH1267" t="s">
        <v>42</v>
      </c>
      <c r="AI1267" t="str">
        <f>"66298835845930"</f>
        <v>66298835845930</v>
      </c>
      <c r="AJ1267" t="str">
        <f>"S102-CATALINA"</f>
        <v>S102-CATALINA</v>
      </c>
      <c r="AK1267" t="s">
        <v>46</v>
      </c>
      <c r="AL1267" s="1">
        <v>44816.550439814811</v>
      </c>
      <c r="AM1267" t="s">
        <v>44</v>
      </c>
    </row>
    <row r="1268" spans="1:39" x14ac:dyDescent="0.2">
      <c r="A1268" t="s">
        <v>1264</v>
      </c>
      <c r="B1268" t="s">
        <v>40</v>
      </c>
      <c r="C1268" t="s">
        <v>1261</v>
      </c>
      <c r="D1268" t="s">
        <v>42</v>
      </c>
      <c r="E1268" t="s">
        <v>43</v>
      </c>
      <c r="F1268" t="s">
        <v>44</v>
      </c>
      <c r="G1268" t="s">
        <v>45</v>
      </c>
      <c r="AH1268" t="s">
        <v>42</v>
      </c>
      <c r="AI1268" t="str">
        <f>"10000040009"</f>
        <v>10000040009</v>
      </c>
      <c r="AJ1268" t="str">
        <f>"10000040009"</f>
        <v>10000040009</v>
      </c>
      <c r="AK1268" t="s">
        <v>46</v>
      </c>
      <c r="AL1268" s="1">
        <v>44951.677106481482</v>
      </c>
      <c r="AM1268" t="s">
        <v>44</v>
      </c>
    </row>
    <row r="1269" spans="1:39" x14ac:dyDescent="0.2">
      <c r="A1269" t="s">
        <v>1265</v>
      </c>
      <c r="B1269" t="s">
        <v>40</v>
      </c>
      <c r="C1269" t="s">
        <v>1261</v>
      </c>
      <c r="D1269" t="s">
        <v>42</v>
      </c>
      <c r="E1269" t="s">
        <v>43</v>
      </c>
      <c r="F1269" t="s">
        <v>44</v>
      </c>
      <c r="G1269" t="s">
        <v>45</v>
      </c>
      <c r="AH1269" t="s">
        <v>42</v>
      </c>
      <c r="AI1269" t="str">
        <f>"10000043012"</f>
        <v>10000043012</v>
      </c>
      <c r="AJ1269" t="str">
        <f>"10000043012"</f>
        <v>10000043012</v>
      </c>
      <c r="AK1269" t="s">
        <v>46</v>
      </c>
      <c r="AL1269" s="1">
        <v>44951.680138888885</v>
      </c>
      <c r="AM1269" t="s">
        <v>44</v>
      </c>
    </row>
    <row r="1270" spans="1:39" x14ac:dyDescent="0.2">
      <c r="A1270" t="s">
        <v>1266</v>
      </c>
      <c r="B1270" t="s">
        <v>40</v>
      </c>
      <c r="C1270" t="s">
        <v>1261</v>
      </c>
      <c r="D1270" t="s">
        <v>42</v>
      </c>
      <c r="E1270" t="s">
        <v>43</v>
      </c>
      <c r="F1270" t="s">
        <v>44</v>
      </c>
      <c r="G1270" t="s">
        <v>45</v>
      </c>
      <c r="AH1270" t="s">
        <v>42</v>
      </c>
      <c r="AI1270" t="str">
        <f>"20020"</f>
        <v>20020</v>
      </c>
      <c r="AJ1270" t="str">
        <f>"20020"</f>
        <v>20020</v>
      </c>
      <c r="AK1270" t="s">
        <v>46</v>
      </c>
      <c r="AL1270" s="1">
        <v>45093.939363425925</v>
      </c>
      <c r="AM1270" t="s">
        <v>44</v>
      </c>
    </row>
    <row r="1271" spans="1:39" x14ac:dyDescent="0.2">
      <c r="A1271" t="s">
        <v>1267</v>
      </c>
      <c r="B1271" t="s">
        <v>40</v>
      </c>
      <c r="C1271" t="s">
        <v>1261</v>
      </c>
      <c r="D1271" t="s">
        <v>42</v>
      </c>
      <c r="E1271" t="s">
        <v>43</v>
      </c>
      <c r="F1271" t="s">
        <v>44</v>
      </c>
      <c r="G1271" t="s">
        <v>45</v>
      </c>
      <c r="AH1271" t="s">
        <v>42</v>
      </c>
      <c r="AI1271" t="str">
        <f>"66298835883001"</f>
        <v>66298835883001</v>
      </c>
      <c r="AJ1271" t="str">
        <f>"41202-KWT-900JP"</f>
        <v>41202-KWT-900JP</v>
      </c>
      <c r="AK1271" t="s">
        <v>46</v>
      </c>
      <c r="AL1271" s="1">
        <v>44816.550439814811</v>
      </c>
      <c r="AM1271" t="s">
        <v>44</v>
      </c>
    </row>
    <row r="1272" spans="1:39" x14ac:dyDescent="0.2">
      <c r="A1272" t="s">
        <v>1268</v>
      </c>
      <c r="B1272" t="s">
        <v>40</v>
      </c>
      <c r="C1272" t="s">
        <v>1261</v>
      </c>
      <c r="D1272" t="s">
        <v>42</v>
      </c>
      <c r="E1272" t="s">
        <v>43</v>
      </c>
      <c r="F1272" t="s">
        <v>44</v>
      </c>
      <c r="G1272" t="s">
        <v>45</v>
      </c>
      <c r="AH1272" t="s">
        <v>42</v>
      </c>
      <c r="AI1272" t="str">
        <f>"42041-1199VA"</f>
        <v>42041-1199VA</v>
      </c>
      <c r="AJ1272" t="str">
        <f>"42041-1199VA"</f>
        <v>42041-1199VA</v>
      </c>
      <c r="AK1272" t="s">
        <v>46</v>
      </c>
      <c r="AL1272" s="1">
        <v>44889.81726851852</v>
      </c>
      <c r="AM1272" t="s">
        <v>44</v>
      </c>
    </row>
    <row r="1273" spans="1:39" x14ac:dyDescent="0.2">
      <c r="A1273" t="s">
        <v>1269</v>
      </c>
      <c r="B1273" t="s">
        <v>40</v>
      </c>
      <c r="C1273" t="s">
        <v>1261</v>
      </c>
      <c r="D1273" t="s">
        <v>42</v>
      </c>
      <c r="E1273" t="s">
        <v>43</v>
      </c>
      <c r="F1273" t="s">
        <v>44</v>
      </c>
      <c r="G1273" t="s">
        <v>45</v>
      </c>
      <c r="AH1273" t="s">
        <v>42</v>
      </c>
      <c r="AI1273" t="str">
        <f>"66298835926385"</f>
        <v>66298835926385</v>
      </c>
      <c r="AJ1273" t="str">
        <f>"64511-01D04JP"</f>
        <v>64511-01D04JP</v>
      </c>
      <c r="AK1273" t="s">
        <v>46</v>
      </c>
      <c r="AL1273" s="1">
        <v>44816.550451388888</v>
      </c>
      <c r="AM1273" t="s">
        <v>44</v>
      </c>
    </row>
    <row r="1274" spans="1:39" x14ac:dyDescent="0.2">
      <c r="A1274" t="s">
        <v>1270</v>
      </c>
      <c r="B1274" t="s">
        <v>40</v>
      </c>
      <c r="C1274" t="s">
        <v>1261</v>
      </c>
      <c r="D1274" t="s">
        <v>42</v>
      </c>
      <c r="E1274" t="s">
        <v>43</v>
      </c>
      <c r="F1274" t="s">
        <v>44</v>
      </c>
      <c r="G1274" t="s">
        <v>45</v>
      </c>
      <c r="AH1274" t="s">
        <v>42</v>
      </c>
      <c r="AI1274" t="str">
        <f>"66298835964925"</f>
        <v>66298835964925</v>
      </c>
      <c r="AJ1274" t="str">
        <f>"DJ-1511-10"</f>
        <v>DJ-1511-10</v>
      </c>
      <c r="AK1274" t="s">
        <v>46</v>
      </c>
      <c r="AL1274" s="1">
        <v>44816.550451388888</v>
      </c>
      <c r="AM1274" t="s">
        <v>44</v>
      </c>
    </row>
    <row r="1275" spans="1:39" x14ac:dyDescent="0.2">
      <c r="A1275" t="s">
        <v>1271</v>
      </c>
      <c r="B1275" t="s">
        <v>40</v>
      </c>
      <c r="C1275" t="s">
        <v>1261</v>
      </c>
      <c r="D1275" t="s">
        <v>42</v>
      </c>
      <c r="E1275" t="s">
        <v>43</v>
      </c>
      <c r="F1275" t="s">
        <v>44</v>
      </c>
      <c r="G1275" t="s">
        <v>45</v>
      </c>
      <c r="AH1275" t="s">
        <v>42</v>
      </c>
      <c r="AI1275" t="str">
        <f>"10000048184"</f>
        <v>10000048184</v>
      </c>
      <c r="AJ1275" t="str">
        <f>"10000048184"</f>
        <v>10000048184</v>
      </c>
      <c r="AK1275" t="s">
        <v>46</v>
      </c>
      <c r="AL1275" s="1">
        <v>44951.679247685184</v>
      </c>
      <c r="AM1275" t="s">
        <v>44</v>
      </c>
    </row>
    <row r="1276" spans="1:39" x14ac:dyDescent="0.2">
      <c r="A1276" t="s">
        <v>1272</v>
      </c>
      <c r="B1276" t="s">
        <v>40</v>
      </c>
      <c r="C1276" t="s">
        <v>1261</v>
      </c>
      <c r="D1276" t="s">
        <v>42</v>
      </c>
      <c r="E1276" t="s">
        <v>43</v>
      </c>
      <c r="F1276" t="s">
        <v>44</v>
      </c>
      <c r="G1276" t="s">
        <v>45</v>
      </c>
      <c r="AH1276" t="s">
        <v>42</v>
      </c>
      <c r="AI1276" t="str">
        <f>"66298836002316"</f>
        <v>66298836002316</v>
      </c>
      <c r="AJ1276" t="str">
        <f>"41200-KSH-930JP"</f>
        <v>41200-KSH-930JP</v>
      </c>
      <c r="AK1276" t="s">
        <v>46</v>
      </c>
      <c r="AL1276" s="1">
        <v>44816.550462962965</v>
      </c>
      <c r="AM1276" t="s">
        <v>44</v>
      </c>
    </row>
    <row r="1277" spans="1:39" x14ac:dyDescent="0.2">
      <c r="A1277" t="s">
        <v>1273</v>
      </c>
      <c r="B1277" t="s">
        <v>40</v>
      </c>
      <c r="C1277" t="s">
        <v>1261</v>
      </c>
      <c r="D1277" t="s">
        <v>42</v>
      </c>
      <c r="E1277" t="s">
        <v>43</v>
      </c>
      <c r="F1277" t="s">
        <v>44</v>
      </c>
      <c r="G1277" t="s">
        <v>45</v>
      </c>
      <c r="AH1277" t="s">
        <v>42</v>
      </c>
      <c r="AI1277" t="str">
        <f>"66298836041969"</f>
        <v>66298836041969</v>
      </c>
      <c r="AJ1277" t="str">
        <f>"21C-F5440-00VA"</f>
        <v>21C-F5440-00VA</v>
      </c>
      <c r="AK1277" t="s">
        <v>46</v>
      </c>
      <c r="AL1277" s="1">
        <v>44816.550462962965</v>
      </c>
      <c r="AM1277" t="s">
        <v>44</v>
      </c>
    </row>
    <row r="1278" spans="1:39" x14ac:dyDescent="0.2">
      <c r="A1278" t="s">
        <v>1273</v>
      </c>
      <c r="B1278" t="s">
        <v>40</v>
      </c>
      <c r="C1278" t="s">
        <v>1261</v>
      </c>
      <c r="D1278" t="s">
        <v>42</v>
      </c>
      <c r="E1278" t="s">
        <v>43</v>
      </c>
      <c r="F1278" t="s">
        <v>44</v>
      </c>
      <c r="G1278" t="s">
        <v>45</v>
      </c>
      <c r="AH1278" t="s">
        <v>42</v>
      </c>
      <c r="AI1278" t="str">
        <f>"10000041709"</f>
        <v>10000041709</v>
      </c>
      <c r="AJ1278" t="str">
        <f>"10000041709"</f>
        <v>10000041709</v>
      </c>
      <c r="AK1278" t="s">
        <v>46</v>
      </c>
      <c r="AL1278" s="1">
        <v>44951.685324074075</v>
      </c>
      <c r="AM1278" t="s">
        <v>44</v>
      </c>
    </row>
    <row r="1279" spans="1:39" x14ac:dyDescent="0.2">
      <c r="A1279" t="s">
        <v>1274</v>
      </c>
      <c r="B1279" t="s">
        <v>40</v>
      </c>
      <c r="C1279" t="s">
        <v>1261</v>
      </c>
      <c r="D1279" t="s">
        <v>42</v>
      </c>
      <c r="E1279" t="s">
        <v>43</v>
      </c>
      <c r="F1279" t="s">
        <v>44</v>
      </c>
      <c r="G1279" t="s">
        <v>45</v>
      </c>
      <c r="AH1279" t="s">
        <v>42</v>
      </c>
      <c r="AI1279" t="str">
        <f>"66298836082894"</f>
        <v>66298836082894</v>
      </c>
      <c r="AJ1279" t="str">
        <f>"1ED-F5440-00JP"</f>
        <v>1ED-F5440-00JP</v>
      </c>
      <c r="AK1279" t="s">
        <v>46</v>
      </c>
      <c r="AL1279" s="1">
        <v>44816.550462962965</v>
      </c>
      <c r="AM1279" t="s">
        <v>44</v>
      </c>
    </row>
    <row r="1280" spans="1:39" x14ac:dyDescent="0.2">
      <c r="A1280" t="s">
        <v>1275</v>
      </c>
      <c r="B1280" t="s">
        <v>40</v>
      </c>
      <c r="C1280" t="s">
        <v>1261</v>
      </c>
      <c r="D1280" t="s">
        <v>42</v>
      </c>
      <c r="E1280" t="s">
        <v>43</v>
      </c>
      <c r="F1280" t="s">
        <v>44</v>
      </c>
      <c r="G1280" t="s">
        <v>45</v>
      </c>
      <c r="AH1280" t="s">
        <v>42</v>
      </c>
      <c r="AI1280" t="str">
        <f>"10000041504"</f>
        <v>10000041504</v>
      </c>
      <c r="AJ1280" t="str">
        <f>"10000041504"</f>
        <v>10000041504</v>
      </c>
      <c r="AK1280" t="s">
        <v>46</v>
      </c>
      <c r="AL1280" s="1">
        <v>44951.686736111114</v>
      </c>
      <c r="AM1280" t="s">
        <v>44</v>
      </c>
    </row>
    <row r="1281" spans="1:39" x14ac:dyDescent="0.2">
      <c r="A1281" t="s">
        <v>1276</v>
      </c>
      <c r="B1281" t="s">
        <v>40</v>
      </c>
      <c r="C1281" t="s">
        <v>1261</v>
      </c>
      <c r="D1281" t="s">
        <v>42</v>
      </c>
      <c r="E1281" t="s">
        <v>43</v>
      </c>
      <c r="F1281" t="s">
        <v>44</v>
      </c>
      <c r="G1281" t="s">
        <v>45</v>
      </c>
      <c r="AH1281" t="s">
        <v>42</v>
      </c>
      <c r="AI1281" t="str">
        <f>"JTR1316.41"</f>
        <v>JTR1316.41</v>
      </c>
      <c r="AJ1281" t="str">
        <f>"JTR1316.41"</f>
        <v>JTR1316.41</v>
      </c>
      <c r="AK1281" t="s">
        <v>46</v>
      </c>
      <c r="AL1281" s="1">
        <v>45063.626203703701</v>
      </c>
      <c r="AM1281" t="s">
        <v>44</v>
      </c>
    </row>
    <row r="1282" spans="1:39" x14ac:dyDescent="0.2">
      <c r="A1282" t="s">
        <v>1277</v>
      </c>
      <c r="B1282" t="s">
        <v>40</v>
      </c>
      <c r="C1282" t="s">
        <v>1261</v>
      </c>
      <c r="D1282" t="s">
        <v>42</v>
      </c>
      <c r="E1282" t="s">
        <v>43</v>
      </c>
      <c r="F1282" t="s">
        <v>44</v>
      </c>
      <c r="G1282" t="s">
        <v>45</v>
      </c>
      <c r="AH1282" t="s">
        <v>42</v>
      </c>
      <c r="AI1282" t="str">
        <f>"10000043014"</f>
        <v>10000043014</v>
      </c>
      <c r="AJ1282" t="str">
        <f>"10000043014"</f>
        <v>10000043014</v>
      </c>
      <c r="AK1282" t="s">
        <v>46</v>
      </c>
      <c r="AL1282" s="1">
        <v>44950.778912037036</v>
      </c>
      <c r="AM1282" t="s">
        <v>44</v>
      </c>
    </row>
    <row r="1283" spans="1:39" x14ac:dyDescent="0.2">
      <c r="A1283" t="s">
        <v>1278</v>
      </c>
      <c r="B1283" t="s">
        <v>40</v>
      </c>
      <c r="C1283" t="s">
        <v>1261</v>
      </c>
      <c r="D1283" t="s">
        <v>42</v>
      </c>
      <c r="E1283" t="s">
        <v>43</v>
      </c>
      <c r="F1283" t="s">
        <v>44</v>
      </c>
      <c r="G1283" t="s">
        <v>45</v>
      </c>
      <c r="AH1283" t="s">
        <v>42</v>
      </c>
      <c r="AI1283" t="str">
        <f>"66298836121204"</f>
        <v>66298836121204</v>
      </c>
      <c r="AJ1283" t="str">
        <f>"64511-30H00JP"</f>
        <v>64511-30H00JP</v>
      </c>
      <c r="AK1283" t="s">
        <v>46</v>
      </c>
      <c r="AL1283" s="1">
        <v>44816.550474537034</v>
      </c>
      <c r="AM1283" t="s">
        <v>44</v>
      </c>
    </row>
    <row r="1284" spans="1:39" x14ac:dyDescent="0.2">
      <c r="A1284" t="s">
        <v>1279</v>
      </c>
      <c r="B1284" t="s">
        <v>40</v>
      </c>
      <c r="C1284" t="s">
        <v>1261</v>
      </c>
      <c r="D1284" t="s">
        <v>42</v>
      </c>
      <c r="E1284" t="s">
        <v>43</v>
      </c>
      <c r="F1284" t="s">
        <v>44</v>
      </c>
      <c r="G1284" t="s">
        <v>45</v>
      </c>
      <c r="AH1284" t="s">
        <v>42</v>
      </c>
      <c r="AI1284" t="str">
        <f>"12189"</f>
        <v>12189</v>
      </c>
      <c r="AJ1284" t="str">
        <f>"12189"</f>
        <v>12189</v>
      </c>
      <c r="AK1284" t="s">
        <v>46</v>
      </c>
      <c r="AL1284" s="1">
        <v>44984.890844907408</v>
      </c>
      <c r="AM1284" t="s">
        <v>44</v>
      </c>
    </row>
    <row r="1285" spans="1:39" x14ac:dyDescent="0.2">
      <c r="A1285" t="s">
        <v>1280</v>
      </c>
      <c r="B1285" t="s">
        <v>40</v>
      </c>
      <c r="C1285" t="s">
        <v>1261</v>
      </c>
      <c r="D1285" t="s">
        <v>42</v>
      </c>
      <c r="E1285" t="s">
        <v>43</v>
      </c>
      <c r="F1285" t="s">
        <v>44</v>
      </c>
      <c r="G1285" t="s">
        <v>45</v>
      </c>
      <c r="AH1285" t="s">
        <v>42</v>
      </c>
      <c r="AI1285" t="str">
        <f>"U003C"</f>
        <v>U003C</v>
      </c>
      <c r="AJ1285" t="str">
        <f>"U003C"</f>
        <v>U003C</v>
      </c>
      <c r="AK1285" t="s">
        <v>46</v>
      </c>
      <c r="AL1285" s="1">
        <v>45089.733668981484</v>
      </c>
      <c r="AM1285" t="s">
        <v>44</v>
      </c>
    </row>
    <row r="1286" spans="1:39" x14ac:dyDescent="0.2">
      <c r="A1286" t="s">
        <v>1281</v>
      </c>
      <c r="B1286" t="s">
        <v>40</v>
      </c>
      <c r="C1286" t="s">
        <v>1261</v>
      </c>
      <c r="D1286" t="s">
        <v>42</v>
      </c>
      <c r="E1286" t="s">
        <v>43</v>
      </c>
      <c r="F1286" t="s">
        <v>44</v>
      </c>
      <c r="G1286" t="s">
        <v>45</v>
      </c>
      <c r="AH1286" t="s">
        <v>42</v>
      </c>
      <c r="AI1286" t="str">
        <f>"10000041694"</f>
        <v>10000041694</v>
      </c>
      <c r="AJ1286" t="str">
        <f>"10000041694"</f>
        <v>10000041694</v>
      </c>
      <c r="AK1286" t="s">
        <v>46</v>
      </c>
      <c r="AL1286" s="1">
        <v>44951.686331018522</v>
      </c>
      <c r="AM1286" t="s">
        <v>44</v>
      </c>
    </row>
    <row r="1287" spans="1:39" x14ac:dyDescent="0.2">
      <c r="A1287" t="s">
        <v>1282</v>
      </c>
      <c r="B1287" t="s">
        <v>40</v>
      </c>
      <c r="C1287" t="s">
        <v>1261</v>
      </c>
      <c r="D1287" t="s">
        <v>42</v>
      </c>
      <c r="E1287" t="s">
        <v>43</v>
      </c>
      <c r="F1287" t="s">
        <v>44</v>
      </c>
      <c r="G1287" t="s">
        <v>45</v>
      </c>
      <c r="AH1287" t="s">
        <v>42</v>
      </c>
      <c r="AI1287" t="str">
        <f>"66298836164796"</f>
        <v>66298836164796</v>
      </c>
      <c r="AJ1287" t="str">
        <f>"N008"</f>
        <v>N008</v>
      </c>
      <c r="AK1287" t="s">
        <v>46</v>
      </c>
      <c r="AL1287" s="1">
        <v>44816.550474537034</v>
      </c>
      <c r="AM1287" t="s">
        <v>44</v>
      </c>
    </row>
    <row r="1288" spans="1:39" x14ac:dyDescent="0.2">
      <c r="A1288" t="s">
        <v>1283</v>
      </c>
      <c r="B1288" t="s">
        <v>40</v>
      </c>
      <c r="C1288" t="s">
        <v>1261</v>
      </c>
      <c r="D1288" t="s">
        <v>42</v>
      </c>
      <c r="E1288" t="s">
        <v>43</v>
      </c>
      <c r="F1288" t="s">
        <v>44</v>
      </c>
      <c r="G1288" t="s">
        <v>45</v>
      </c>
      <c r="AH1288" t="s">
        <v>42</v>
      </c>
      <c r="AI1288" t="str">
        <f>"66298836207120"</f>
        <v>66298836207120</v>
      </c>
      <c r="AJ1288" t="str">
        <f>"41200-KSP-B00JP"</f>
        <v>41200-KSP-B00JP</v>
      </c>
      <c r="AK1288" t="s">
        <v>46</v>
      </c>
      <c r="AL1288" s="1">
        <v>44816.550486111111</v>
      </c>
      <c r="AM1288" t="s">
        <v>44</v>
      </c>
    </row>
    <row r="1289" spans="1:39" x14ac:dyDescent="0.2">
      <c r="A1289" t="s">
        <v>1284</v>
      </c>
      <c r="B1289" t="s">
        <v>40</v>
      </c>
      <c r="C1289" t="s">
        <v>1261</v>
      </c>
      <c r="D1289" t="s">
        <v>42</v>
      </c>
      <c r="E1289" t="s">
        <v>43</v>
      </c>
      <c r="F1289" t="s">
        <v>44</v>
      </c>
      <c r="G1289" t="s">
        <v>45</v>
      </c>
      <c r="AH1289" t="s">
        <v>42</v>
      </c>
      <c r="AI1289" t="str">
        <f>"66298836250003"</f>
        <v>66298836250003</v>
      </c>
      <c r="AJ1289" t="str">
        <f>"64511-32E00JP"</f>
        <v>64511-32E00JP</v>
      </c>
      <c r="AK1289" t="s">
        <v>46</v>
      </c>
      <c r="AL1289" s="1">
        <v>44816.550486111111</v>
      </c>
      <c r="AM1289" t="s">
        <v>44</v>
      </c>
    </row>
    <row r="1290" spans="1:39" x14ac:dyDescent="0.2">
      <c r="A1290" t="s">
        <v>1285</v>
      </c>
      <c r="B1290" t="s">
        <v>40</v>
      </c>
      <c r="C1290" t="s">
        <v>1261</v>
      </c>
      <c r="D1290" t="s">
        <v>42</v>
      </c>
      <c r="E1290" t="s">
        <v>43</v>
      </c>
      <c r="F1290" t="s">
        <v>44</v>
      </c>
      <c r="G1290" t="s">
        <v>45</v>
      </c>
      <c r="AH1290" t="s">
        <v>42</v>
      </c>
      <c r="AI1290" t="str">
        <f>"66298836293252"</f>
        <v>66298836293252</v>
      </c>
      <c r="AJ1290" t="str">
        <f>"DX-1510-23JP"</f>
        <v>DX-1510-23JP</v>
      </c>
      <c r="AK1290" t="s">
        <v>46</v>
      </c>
      <c r="AL1290" s="1">
        <v>44816.550486111111</v>
      </c>
      <c r="AM1290" t="s">
        <v>44</v>
      </c>
    </row>
    <row r="1291" spans="1:39" x14ac:dyDescent="0.2">
      <c r="A1291" t="s">
        <v>1286</v>
      </c>
      <c r="B1291" t="s">
        <v>40</v>
      </c>
      <c r="C1291" t="s">
        <v>1261</v>
      </c>
      <c r="D1291" t="s">
        <v>42</v>
      </c>
      <c r="E1291" t="s">
        <v>43</v>
      </c>
      <c r="F1291" t="s">
        <v>44</v>
      </c>
      <c r="G1291" t="s">
        <v>45</v>
      </c>
      <c r="AH1291" t="s">
        <v>42</v>
      </c>
      <c r="AI1291" t="str">
        <f>"66298836338595"</f>
        <v>66298836338595</v>
      </c>
      <c r="AJ1291" t="str">
        <f>"83187"</f>
        <v>83187</v>
      </c>
      <c r="AK1291" t="s">
        <v>46</v>
      </c>
      <c r="AL1291" s="1">
        <v>44816.550497685188</v>
      </c>
      <c r="AM1291" t="s">
        <v>44</v>
      </c>
    </row>
    <row r="1292" spans="1:39" x14ac:dyDescent="0.2">
      <c r="A1292" t="s">
        <v>1287</v>
      </c>
      <c r="B1292" t="s">
        <v>40</v>
      </c>
      <c r="C1292" t="s">
        <v>1261</v>
      </c>
      <c r="D1292" t="s">
        <v>42</v>
      </c>
      <c r="E1292" t="s">
        <v>43</v>
      </c>
      <c r="F1292" t="s">
        <v>44</v>
      </c>
      <c r="G1292" t="s">
        <v>45</v>
      </c>
      <c r="AH1292" t="s">
        <v>42</v>
      </c>
      <c r="AI1292" t="str">
        <f>"U024"</f>
        <v>U024</v>
      </c>
      <c r="AJ1292" t="str">
        <f>"U024"</f>
        <v>U024</v>
      </c>
      <c r="AK1292" t="s">
        <v>46</v>
      </c>
      <c r="AL1292" s="1">
        <v>45089.737997685188</v>
      </c>
      <c r="AM1292" t="s">
        <v>44</v>
      </c>
    </row>
    <row r="1293" spans="1:39" x14ac:dyDescent="0.2">
      <c r="A1293" t="s">
        <v>1288</v>
      </c>
      <c r="B1293" t="s">
        <v>40</v>
      </c>
      <c r="C1293" t="s">
        <v>1261</v>
      </c>
      <c r="D1293" t="s">
        <v>42</v>
      </c>
      <c r="E1293" t="s">
        <v>43</v>
      </c>
      <c r="F1293" t="s">
        <v>44</v>
      </c>
      <c r="G1293" t="s">
        <v>45</v>
      </c>
      <c r="AH1293" t="s">
        <v>42</v>
      </c>
      <c r="AI1293" t="str">
        <f>"66298836381193"</f>
        <v>66298836381193</v>
      </c>
      <c r="AJ1293" t="str">
        <f>"40230"</f>
        <v>40230</v>
      </c>
      <c r="AK1293" t="s">
        <v>46</v>
      </c>
      <c r="AL1293" s="1">
        <v>44816.550497685188</v>
      </c>
      <c r="AM1293" t="s">
        <v>44</v>
      </c>
    </row>
    <row r="1294" spans="1:39" x14ac:dyDescent="0.2">
      <c r="A1294" t="s">
        <v>1288</v>
      </c>
      <c r="B1294" t="s">
        <v>40</v>
      </c>
      <c r="C1294" t="s">
        <v>1261</v>
      </c>
      <c r="D1294" t="s">
        <v>42</v>
      </c>
      <c r="E1294" t="s">
        <v>43</v>
      </c>
      <c r="F1294" t="s">
        <v>44</v>
      </c>
      <c r="G1294" t="s">
        <v>45</v>
      </c>
      <c r="AH1294" t="s">
        <v>42</v>
      </c>
      <c r="AI1294" t="str">
        <f>"66298836423157"</f>
        <v>66298836423157</v>
      </c>
      <c r="AJ1294" t="str">
        <f>"41201-KVE-900JP"</f>
        <v>41201-KVE-900JP</v>
      </c>
      <c r="AK1294" t="s">
        <v>46</v>
      </c>
      <c r="AL1294" s="1">
        <v>44816.550509259258</v>
      </c>
      <c r="AM1294" t="s">
        <v>44</v>
      </c>
    </row>
    <row r="1295" spans="1:39" x14ac:dyDescent="0.2">
      <c r="A1295" t="s">
        <v>1289</v>
      </c>
      <c r="B1295" t="s">
        <v>40</v>
      </c>
      <c r="C1295" t="s">
        <v>1261</v>
      </c>
      <c r="D1295" t="s">
        <v>42</v>
      </c>
      <c r="E1295" t="s">
        <v>43</v>
      </c>
      <c r="F1295" t="s">
        <v>44</v>
      </c>
      <c r="G1295" t="s">
        <v>45</v>
      </c>
      <c r="AH1295" t="s">
        <v>42</v>
      </c>
      <c r="AI1295" t="str">
        <f>"66298836463867"</f>
        <v>66298836463867</v>
      </c>
      <c r="AJ1295" t="str">
        <f>"64511-32E20JP"</f>
        <v>64511-32E20JP</v>
      </c>
      <c r="AK1295" t="s">
        <v>46</v>
      </c>
      <c r="AL1295" s="1">
        <v>44816.550509259258</v>
      </c>
      <c r="AM1295" t="s">
        <v>44</v>
      </c>
    </row>
    <row r="1296" spans="1:39" x14ac:dyDescent="0.2">
      <c r="A1296" t="s">
        <v>1290</v>
      </c>
      <c r="B1296" t="s">
        <v>40</v>
      </c>
      <c r="C1296" t="s">
        <v>1261</v>
      </c>
      <c r="D1296" t="s">
        <v>42</v>
      </c>
      <c r="E1296" t="s">
        <v>43</v>
      </c>
      <c r="F1296" t="s">
        <v>44</v>
      </c>
      <c r="G1296" t="s">
        <v>45</v>
      </c>
      <c r="AH1296" t="s">
        <v>42</v>
      </c>
      <c r="AI1296" t="str">
        <f>"64511-05310JP"</f>
        <v>64511-05310JP</v>
      </c>
      <c r="AJ1296" t="str">
        <f>"64511-05310JP"</f>
        <v>64511-05310JP</v>
      </c>
      <c r="AK1296" t="s">
        <v>46</v>
      </c>
      <c r="AL1296" s="1">
        <v>44991.835312499999</v>
      </c>
      <c r="AM1296" t="s">
        <v>44</v>
      </c>
    </row>
    <row r="1297" spans="1:39" x14ac:dyDescent="0.2">
      <c r="A1297" t="s">
        <v>1291</v>
      </c>
      <c r="B1297" t="s">
        <v>40</v>
      </c>
      <c r="C1297" t="s">
        <v>1261</v>
      </c>
      <c r="D1297" t="s">
        <v>42</v>
      </c>
      <c r="E1297" t="s">
        <v>43</v>
      </c>
      <c r="F1297" t="s">
        <v>44</v>
      </c>
      <c r="G1297" t="s">
        <v>45</v>
      </c>
      <c r="AH1297" t="s">
        <v>42</v>
      </c>
      <c r="AI1297" t="str">
        <f>"66298836505913"</f>
        <v>66298836505913</v>
      </c>
      <c r="AJ1297" t="str">
        <f>"504-43ST"</f>
        <v>504-43ST</v>
      </c>
      <c r="AK1297" t="s">
        <v>46</v>
      </c>
      <c r="AL1297" s="1">
        <v>44816.550520833334</v>
      </c>
      <c r="AM1297" t="s">
        <v>44</v>
      </c>
    </row>
    <row r="1298" spans="1:39" x14ac:dyDescent="0.2">
      <c r="A1298" t="s">
        <v>1292</v>
      </c>
      <c r="B1298" t="s">
        <v>40</v>
      </c>
      <c r="C1298" t="s">
        <v>1261</v>
      </c>
      <c r="D1298" t="s">
        <v>42</v>
      </c>
      <c r="E1298" t="s">
        <v>43</v>
      </c>
      <c r="F1298" t="s">
        <v>44</v>
      </c>
      <c r="G1298" t="s">
        <v>45</v>
      </c>
      <c r="AH1298" t="s">
        <v>42</v>
      </c>
      <c r="AI1298" t="str">
        <f>"JTR1876.43"</f>
        <v>JTR1876.43</v>
      </c>
      <c r="AJ1298" t="str">
        <f>"JTR1876.43"</f>
        <v>JTR1876.43</v>
      </c>
      <c r="AK1298" t="s">
        <v>46</v>
      </c>
      <c r="AL1298" s="1">
        <v>45065.91982638889</v>
      </c>
      <c r="AM1298" t="s">
        <v>44</v>
      </c>
    </row>
    <row r="1299" spans="1:39" x14ac:dyDescent="0.2">
      <c r="A1299" t="s">
        <v>1293</v>
      </c>
      <c r="B1299" t="s">
        <v>40</v>
      </c>
      <c r="C1299" t="s">
        <v>1261</v>
      </c>
      <c r="D1299" t="s">
        <v>42</v>
      </c>
      <c r="E1299" t="s">
        <v>43</v>
      </c>
      <c r="F1299" t="s">
        <v>44</v>
      </c>
      <c r="G1299" t="s">
        <v>45</v>
      </c>
      <c r="AH1299" t="s">
        <v>42</v>
      </c>
      <c r="AI1299" t="str">
        <f>"66298836542036"</f>
        <v>66298836542036</v>
      </c>
      <c r="AJ1299" t="str">
        <f>"41200-KBB-670JP"</f>
        <v>41200-KBB-670JP</v>
      </c>
      <c r="AK1299" t="s">
        <v>46</v>
      </c>
      <c r="AL1299" s="1">
        <v>44816.550520833334</v>
      </c>
      <c r="AM1299" t="s">
        <v>44</v>
      </c>
    </row>
    <row r="1300" spans="1:39" x14ac:dyDescent="0.2">
      <c r="A1300" t="s">
        <v>1294</v>
      </c>
      <c r="B1300" t="s">
        <v>40</v>
      </c>
      <c r="C1300" t="s">
        <v>1261</v>
      </c>
      <c r="D1300" t="s">
        <v>42</v>
      </c>
      <c r="E1300" t="s">
        <v>43</v>
      </c>
      <c r="F1300" t="s">
        <v>44</v>
      </c>
      <c r="G1300" t="s">
        <v>45</v>
      </c>
      <c r="AH1300" t="s">
        <v>42</v>
      </c>
      <c r="AI1300" t="str">
        <f>"66298836581363"</f>
        <v>66298836581363</v>
      </c>
      <c r="AJ1300" t="str">
        <f>"41201-KGA-900JP"</f>
        <v>41201-KGA-900JP</v>
      </c>
      <c r="AK1300" t="s">
        <v>46</v>
      </c>
      <c r="AL1300" s="1">
        <v>44816.550520833334</v>
      </c>
      <c r="AM1300" t="s">
        <v>44</v>
      </c>
    </row>
    <row r="1301" spans="1:39" x14ac:dyDescent="0.2">
      <c r="A1301" t="s">
        <v>1295</v>
      </c>
      <c r="B1301" t="s">
        <v>40</v>
      </c>
      <c r="C1301" t="s">
        <v>1261</v>
      </c>
      <c r="D1301" t="s">
        <v>42</v>
      </c>
      <c r="E1301" t="s">
        <v>43</v>
      </c>
      <c r="F1301" t="s">
        <v>44</v>
      </c>
      <c r="G1301" t="s">
        <v>45</v>
      </c>
      <c r="AH1301" t="s">
        <v>42</v>
      </c>
      <c r="AI1301" t="str">
        <f>"10000040383"</f>
        <v>10000040383</v>
      </c>
      <c r="AJ1301" t="str">
        <f>"10000040383"</f>
        <v>10000040383</v>
      </c>
      <c r="AK1301" t="s">
        <v>46</v>
      </c>
      <c r="AL1301" s="1">
        <v>44940.672199074077</v>
      </c>
      <c r="AM1301" t="s">
        <v>44</v>
      </c>
    </row>
    <row r="1302" spans="1:39" x14ac:dyDescent="0.2">
      <c r="A1302" t="s">
        <v>1296</v>
      </c>
      <c r="B1302" t="s">
        <v>40</v>
      </c>
      <c r="C1302" t="s">
        <v>1261</v>
      </c>
      <c r="D1302" t="s">
        <v>42</v>
      </c>
      <c r="E1302" t="s">
        <v>43</v>
      </c>
      <c r="F1302" t="s">
        <v>44</v>
      </c>
      <c r="G1302" t="s">
        <v>45</v>
      </c>
      <c r="AH1302" t="s">
        <v>42</v>
      </c>
      <c r="AI1302" t="str">
        <f>"5C9-F5444-00"</f>
        <v>5C9-F5444-00</v>
      </c>
      <c r="AJ1302" t="str">
        <f>"5C9-F5444-00"</f>
        <v>5C9-F5444-00</v>
      </c>
      <c r="AK1302" t="s">
        <v>46</v>
      </c>
      <c r="AL1302" s="1">
        <v>44816.550532407404</v>
      </c>
      <c r="AM1302" t="s">
        <v>44</v>
      </c>
    </row>
    <row r="1303" spans="1:39" x14ac:dyDescent="0.2">
      <c r="A1303" t="s">
        <v>1297</v>
      </c>
      <c r="B1303" t="s">
        <v>40</v>
      </c>
      <c r="C1303" t="s">
        <v>1261</v>
      </c>
      <c r="D1303" t="s">
        <v>42</v>
      </c>
      <c r="E1303" t="s">
        <v>43</v>
      </c>
      <c r="F1303" t="s">
        <v>44</v>
      </c>
      <c r="G1303" t="s">
        <v>45</v>
      </c>
      <c r="AH1303" t="s">
        <v>42</v>
      </c>
      <c r="AI1303" t="str">
        <f>"66298836660245"</f>
        <v>66298836660245</v>
      </c>
      <c r="AJ1303" t="str">
        <f>"85174"</f>
        <v>85174</v>
      </c>
      <c r="AK1303" t="s">
        <v>46</v>
      </c>
      <c r="AL1303" s="1">
        <v>44816.550532407404</v>
      </c>
      <c r="AM1303" t="s">
        <v>44</v>
      </c>
    </row>
    <row r="1304" spans="1:39" x14ac:dyDescent="0.2">
      <c r="A1304" t="s">
        <v>1298</v>
      </c>
      <c r="B1304" t="s">
        <v>40</v>
      </c>
      <c r="C1304" t="s">
        <v>1261</v>
      </c>
      <c r="D1304" t="s">
        <v>42</v>
      </c>
      <c r="E1304" t="s">
        <v>43</v>
      </c>
      <c r="F1304" t="s">
        <v>44</v>
      </c>
      <c r="G1304" t="s">
        <v>45</v>
      </c>
      <c r="AH1304" t="s">
        <v>42</v>
      </c>
      <c r="AI1304" t="str">
        <f>"66298836701228"</f>
        <v>66298836701228</v>
      </c>
      <c r="AJ1304" t="str">
        <f>"64511-42A01JP"</f>
        <v>64511-42A01JP</v>
      </c>
      <c r="AK1304" t="s">
        <v>46</v>
      </c>
      <c r="AL1304" s="1">
        <v>44816.550543981481</v>
      </c>
      <c r="AM1304" t="s">
        <v>44</v>
      </c>
    </row>
    <row r="1305" spans="1:39" x14ac:dyDescent="0.2">
      <c r="A1305" t="s">
        <v>1299</v>
      </c>
      <c r="B1305" t="s">
        <v>40</v>
      </c>
      <c r="C1305" t="s">
        <v>1261</v>
      </c>
      <c r="D1305" t="s">
        <v>42</v>
      </c>
      <c r="E1305" t="s">
        <v>43</v>
      </c>
      <c r="F1305" t="s">
        <v>44</v>
      </c>
      <c r="G1305" t="s">
        <v>45</v>
      </c>
      <c r="AH1305" t="s">
        <v>42</v>
      </c>
      <c r="AI1305" t="str">
        <f>"66298836738706"</f>
        <v>66298836738706</v>
      </c>
      <c r="AJ1305" t="str">
        <f>"64511-42A00VA"</f>
        <v>64511-42A00VA</v>
      </c>
      <c r="AK1305" t="s">
        <v>46</v>
      </c>
      <c r="AL1305" s="1">
        <v>44816.550543981481</v>
      </c>
      <c r="AM1305" t="s">
        <v>44</v>
      </c>
    </row>
    <row r="1306" spans="1:39" x14ac:dyDescent="0.2">
      <c r="A1306" t="s">
        <v>1300</v>
      </c>
      <c r="B1306" t="s">
        <v>40</v>
      </c>
      <c r="C1306" t="s">
        <v>1261</v>
      </c>
      <c r="D1306" t="s">
        <v>42</v>
      </c>
      <c r="E1306" t="s">
        <v>43</v>
      </c>
      <c r="F1306" t="s">
        <v>44</v>
      </c>
      <c r="G1306" t="s">
        <v>45</v>
      </c>
      <c r="AH1306" t="s">
        <v>42</v>
      </c>
      <c r="AI1306" t="str">
        <f>"10000041601"</f>
        <v>10000041601</v>
      </c>
      <c r="AJ1306" t="str">
        <f>"10000041601"</f>
        <v>10000041601</v>
      </c>
      <c r="AK1306" t="s">
        <v>46</v>
      </c>
      <c r="AL1306" s="1">
        <v>44908.714236111111</v>
      </c>
      <c r="AM1306" t="s">
        <v>44</v>
      </c>
    </row>
    <row r="1307" spans="1:39" x14ac:dyDescent="0.2">
      <c r="A1307" t="s">
        <v>1301</v>
      </c>
      <c r="B1307" t="s">
        <v>40</v>
      </c>
      <c r="C1307" t="s">
        <v>1261</v>
      </c>
      <c r="D1307" t="s">
        <v>42</v>
      </c>
      <c r="E1307" t="s">
        <v>43</v>
      </c>
      <c r="F1307" t="s">
        <v>44</v>
      </c>
      <c r="G1307" t="s">
        <v>45</v>
      </c>
      <c r="AH1307" t="s">
        <v>42</v>
      </c>
      <c r="AI1307" t="str">
        <f>"10000043262"</f>
        <v>10000043262</v>
      </c>
      <c r="AJ1307" t="str">
        <f>"10000043262"</f>
        <v>10000043262</v>
      </c>
      <c r="AK1307" t="s">
        <v>46</v>
      </c>
      <c r="AL1307" s="1">
        <v>44951.679768518516</v>
      </c>
      <c r="AM1307" t="s">
        <v>44</v>
      </c>
    </row>
    <row r="1308" spans="1:39" x14ac:dyDescent="0.2">
      <c r="A1308" t="s">
        <v>1302</v>
      </c>
      <c r="B1308" t="s">
        <v>40</v>
      </c>
      <c r="C1308" t="s">
        <v>1261</v>
      </c>
      <c r="D1308" t="s">
        <v>42</v>
      </c>
      <c r="E1308" t="s">
        <v>43</v>
      </c>
      <c r="F1308" t="s">
        <v>44</v>
      </c>
      <c r="G1308" t="s">
        <v>45</v>
      </c>
      <c r="AH1308" t="s">
        <v>42</v>
      </c>
      <c r="AI1308" t="str">
        <f>"10000043017"</f>
        <v>10000043017</v>
      </c>
      <c r="AJ1308" t="str">
        <f>"10000043017"</f>
        <v>10000043017</v>
      </c>
      <c r="AK1308" t="s">
        <v>46</v>
      </c>
      <c r="AL1308" s="1">
        <v>45105.831250000003</v>
      </c>
      <c r="AM1308" t="s">
        <v>44</v>
      </c>
    </row>
    <row r="1309" spans="1:39" x14ac:dyDescent="0.2">
      <c r="A1309" t="s">
        <v>1303</v>
      </c>
      <c r="B1309" t="s">
        <v>40</v>
      </c>
      <c r="C1309" t="s">
        <v>1261</v>
      </c>
      <c r="D1309" t="s">
        <v>42</v>
      </c>
      <c r="E1309" t="s">
        <v>43</v>
      </c>
      <c r="F1309" t="s">
        <v>44</v>
      </c>
      <c r="G1309" t="s">
        <v>45</v>
      </c>
      <c r="AH1309" t="s">
        <v>42</v>
      </c>
      <c r="AI1309" t="str">
        <f>"H6209"</f>
        <v>H6209</v>
      </c>
      <c r="AJ1309" t="str">
        <f>"H6209"</f>
        <v>H6209</v>
      </c>
      <c r="AK1309" t="s">
        <v>46</v>
      </c>
      <c r="AL1309" s="1">
        <v>45106.690601851849</v>
      </c>
      <c r="AM1309" t="s">
        <v>44</v>
      </c>
    </row>
    <row r="1310" spans="1:39" x14ac:dyDescent="0.2">
      <c r="A1310" t="s">
        <v>1304</v>
      </c>
      <c r="B1310" t="s">
        <v>40</v>
      </c>
      <c r="C1310" t="s">
        <v>1261</v>
      </c>
      <c r="D1310" t="s">
        <v>42</v>
      </c>
      <c r="E1310" t="s">
        <v>43</v>
      </c>
      <c r="F1310" t="s">
        <v>44</v>
      </c>
      <c r="G1310" t="s">
        <v>45</v>
      </c>
      <c r="AH1310" t="s">
        <v>42</v>
      </c>
      <c r="AI1310" t="str">
        <f>"10000012580"</f>
        <v>10000012580</v>
      </c>
      <c r="AJ1310" t="str">
        <f>"10000012580"</f>
        <v>10000012580</v>
      </c>
      <c r="AK1310" t="s">
        <v>46</v>
      </c>
      <c r="AL1310" s="1">
        <v>45008.87740740741</v>
      </c>
      <c r="AM1310" t="s">
        <v>44</v>
      </c>
    </row>
    <row r="1311" spans="1:39" x14ac:dyDescent="0.2">
      <c r="A1311" t="s">
        <v>1305</v>
      </c>
      <c r="B1311" t="s">
        <v>40</v>
      </c>
      <c r="C1311" t="s">
        <v>1261</v>
      </c>
      <c r="D1311" t="s">
        <v>42</v>
      </c>
      <c r="E1311" t="s">
        <v>43</v>
      </c>
      <c r="F1311" t="s">
        <v>44</v>
      </c>
      <c r="G1311" t="s">
        <v>45</v>
      </c>
      <c r="AH1311" t="s">
        <v>42</v>
      </c>
      <c r="AI1311" t="str">
        <f>"U031"</f>
        <v>U031</v>
      </c>
      <c r="AJ1311" t="str">
        <f>"U031"</f>
        <v>U031</v>
      </c>
      <c r="AK1311" t="s">
        <v>46</v>
      </c>
      <c r="AL1311" s="1">
        <v>44816.550543981481</v>
      </c>
      <c r="AM1311" t="s">
        <v>44</v>
      </c>
    </row>
    <row r="1312" spans="1:39" x14ac:dyDescent="0.2">
      <c r="A1312" t="s">
        <v>1306</v>
      </c>
      <c r="B1312" t="s">
        <v>40</v>
      </c>
      <c r="C1312" t="s">
        <v>1261</v>
      </c>
      <c r="D1312" t="s">
        <v>42</v>
      </c>
      <c r="E1312" t="s">
        <v>43</v>
      </c>
      <c r="F1312" t="s">
        <v>44</v>
      </c>
      <c r="G1312" t="s">
        <v>45</v>
      </c>
      <c r="AH1312" t="s">
        <v>42</v>
      </c>
      <c r="AI1312" t="str">
        <f>"66298836818680"</f>
        <v>66298836818680</v>
      </c>
      <c r="AJ1312" t="str">
        <f>"TX-20400-000"</f>
        <v>TX-20400-000</v>
      </c>
      <c r="AK1312" t="s">
        <v>46</v>
      </c>
      <c r="AL1312" s="1">
        <v>44816.550555555557</v>
      </c>
      <c r="AM1312" t="s">
        <v>44</v>
      </c>
    </row>
    <row r="1313" spans="1:39" x14ac:dyDescent="0.2">
      <c r="A1313" t="s">
        <v>1307</v>
      </c>
      <c r="B1313" t="s">
        <v>40</v>
      </c>
      <c r="C1313" t="s">
        <v>1261</v>
      </c>
      <c r="D1313" t="s">
        <v>42</v>
      </c>
      <c r="E1313" t="s">
        <v>43</v>
      </c>
      <c r="F1313" t="s">
        <v>44</v>
      </c>
      <c r="G1313" t="s">
        <v>45</v>
      </c>
      <c r="AH1313" t="s">
        <v>42</v>
      </c>
      <c r="AI1313" t="str">
        <f>"66298836858546"</f>
        <v>66298836858546</v>
      </c>
      <c r="AJ1313" t="str">
        <f>"N9112570"</f>
        <v>N9112570</v>
      </c>
      <c r="AK1313" t="s">
        <v>46</v>
      </c>
      <c r="AL1313" s="1">
        <v>44816.550555555557</v>
      </c>
      <c r="AM1313" t="s">
        <v>44</v>
      </c>
    </row>
    <row r="1314" spans="1:39" x14ac:dyDescent="0.2">
      <c r="A1314" t="s">
        <v>1308</v>
      </c>
      <c r="B1314" t="s">
        <v>40</v>
      </c>
      <c r="C1314" t="s">
        <v>1261</v>
      </c>
      <c r="D1314" t="s">
        <v>42</v>
      </c>
      <c r="E1314" t="s">
        <v>43</v>
      </c>
      <c r="F1314" t="s">
        <v>44</v>
      </c>
      <c r="G1314" t="s">
        <v>45</v>
      </c>
      <c r="AH1314" t="s">
        <v>42</v>
      </c>
      <c r="AI1314" t="str">
        <f>"66298836897112"</f>
        <v>66298836897112</v>
      </c>
      <c r="AJ1314" t="str">
        <f>"4B4-F5446-20JP"</f>
        <v>4B4-F5446-20JP</v>
      </c>
      <c r="AK1314" t="s">
        <v>46</v>
      </c>
      <c r="AL1314" s="1">
        <v>44816.550555555557</v>
      </c>
      <c r="AM1314" t="s">
        <v>44</v>
      </c>
    </row>
    <row r="1315" spans="1:39" x14ac:dyDescent="0.2">
      <c r="A1315" t="s">
        <v>1309</v>
      </c>
      <c r="B1315" t="s">
        <v>40</v>
      </c>
      <c r="C1315" t="s">
        <v>1261</v>
      </c>
      <c r="D1315" t="s">
        <v>42</v>
      </c>
      <c r="E1315" t="s">
        <v>43</v>
      </c>
      <c r="F1315" t="s">
        <v>44</v>
      </c>
      <c r="G1315" t="s">
        <v>45</v>
      </c>
      <c r="AH1315" t="s">
        <v>42</v>
      </c>
      <c r="AI1315" t="str">
        <f>"66298836937635"</f>
        <v>66298836937635</v>
      </c>
      <c r="AJ1315" t="str">
        <f>"64511-27G00JP"</f>
        <v>64511-27G00JP</v>
      </c>
      <c r="AK1315" t="s">
        <v>46</v>
      </c>
      <c r="AL1315" s="1">
        <v>44816.550567129627</v>
      </c>
      <c r="AM1315" t="s">
        <v>44</v>
      </c>
    </row>
    <row r="1316" spans="1:39" x14ac:dyDescent="0.2">
      <c r="A1316" t="s">
        <v>1310</v>
      </c>
      <c r="B1316" t="s">
        <v>40</v>
      </c>
      <c r="C1316" t="s">
        <v>1261</v>
      </c>
      <c r="D1316" t="s">
        <v>42</v>
      </c>
      <c r="E1316" t="s">
        <v>43</v>
      </c>
      <c r="F1316" t="s">
        <v>44</v>
      </c>
      <c r="G1316" t="s">
        <v>45</v>
      </c>
      <c r="AH1316" t="s">
        <v>42</v>
      </c>
      <c r="AI1316" t="str">
        <f>"66298836978114"</f>
        <v>66298836978114</v>
      </c>
      <c r="AJ1316" t="str">
        <f>"1CK-F5447-00VA"</f>
        <v>1CK-F5447-00VA</v>
      </c>
      <c r="AK1316" t="s">
        <v>46</v>
      </c>
      <c r="AL1316" s="1">
        <v>44816.550567129627</v>
      </c>
      <c r="AM1316" t="s">
        <v>44</v>
      </c>
    </row>
    <row r="1317" spans="1:39" x14ac:dyDescent="0.2">
      <c r="A1317" t="s">
        <v>1311</v>
      </c>
      <c r="B1317" t="s">
        <v>40</v>
      </c>
      <c r="C1317" t="s">
        <v>1261</v>
      </c>
      <c r="D1317" t="s">
        <v>42</v>
      </c>
      <c r="E1317" t="s">
        <v>43</v>
      </c>
      <c r="F1317" t="s">
        <v>44</v>
      </c>
      <c r="G1317" t="s">
        <v>45</v>
      </c>
      <c r="AH1317" t="s">
        <v>42</v>
      </c>
      <c r="AI1317" t="str">
        <f>"66298837020156"</f>
        <v>66298837020156</v>
      </c>
      <c r="AJ1317" t="str">
        <f>"64511-48048JP"</f>
        <v>64511-48048JP</v>
      </c>
      <c r="AK1317" t="s">
        <v>46</v>
      </c>
      <c r="AL1317" s="1">
        <v>44816.550578703704</v>
      </c>
      <c r="AM1317" t="s">
        <v>44</v>
      </c>
    </row>
    <row r="1318" spans="1:39" x14ac:dyDescent="0.2">
      <c r="A1318" t="s">
        <v>1312</v>
      </c>
      <c r="B1318" t="s">
        <v>40</v>
      </c>
      <c r="C1318" t="s">
        <v>1261</v>
      </c>
      <c r="D1318" t="s">
        <v>42</v>
      </c>
      <c r="E1318" t="s">
        <v>43</v>
      </c>
      <c r="F1318" t="s">
        <v>44</v>
      </c>
      <c r="G1318" t="s">
        <v>45</v>
      </c>
      <c r="AH1318" t="s">
        <v>42</v>
      </c>
      <c r="AI1318" t="str">
        <f>"10000040285"</f>
        <v>10000040285</v>
      </c>
      <c r="AJ1318" t="str">
        <f>"10000040285"</f>
        <v>10000040285</v>
      </c>
      <c r="AK1318" t="s">
        <v>46</v>
      </c>
      <c r="AL1318" s="1">
        <v>44951.677939814814</v>
      </c>
      <c r="AM1318" t="s">
        <v>44</v>
      </c>
    </row>
    <row r="1319" spans="1:39" x14ac:dyDescent="0.2">
      <c r="A1319" t="s">
        <v>1313</v>
      </c>
      <c r="B1319" t="s">
        <v>40</v>
      </c>
      <c r="C1319" t="s">
        <v>1261</v>
      </c>
      <c r="D1319" t="s">
        <v>42</v>
      </c>
      <c r="E1319" t="s">
        <v>43</v>
      </c>
      <c r="F1319" t="s">
        <v>44</v>
      </c>
      <c r="G1319" t="s">
        <v>45</v>
      </c>
      <c r="AH1319" t="s">
        <v>42</v>
      </c>
      <c r="AI1319" t="str">
        <f>"10000041555"</f>
        <v>10000041555</v>
      </c>
      <c r="AJ1319" t="str">
        <f>"10000041555"</f>
        <v>10000041555</v>
      </c>
      <c r="AK1319" t="s">
        <v>46</v>
      </c>
      <c r="AL1319" s="1">
        <v>44951.685810185183</v>
      </c>
      <c r="AM1319" t="s">
        <v>44</v>
      </c>
    </row>
    <row r="1320" spans="1:39" x14ac:dyDescent="0.2">
      <c r="A1320" t="s">
        <v>1314</v>
      </c>
      <c r="B1320" t="s">
        <v>40</v>
      </c>
      <c r="C1320" t="s">
        <v>1261</v>
      </c>
      <c r="D1320" t="s">
        <v>42</v>
      </c>
      <c r="E1320" t="s">
        <v>43</v>
      </c>
      <c r="F1320" t="s">
        <v>44</v>
      </c>
      <c r="G1320" t="s">
        <v>45</v>
      </c>
      <c r="AH1320" t="s">
        <v>42</v>
      </c>
      <c r="AI1320" t="str">
        <f>"N026"</f>
        <v>N026</v>
      </c>
      <c r="AJ1320" t="str">
        <f>"N026"</f>
        <v>N026</v>
      </c>
      <c r="AK1320" t="s">
        <v>46</v>
      </c>
      <c r="AL1320" s="1">
        <v>44853.684652777774</v>
      </c>
      <c r="AM1320" t="s">
        <v>44</v>
      </c>
    </row>
    <row r="1321" spans="1:39" x14ac:dyDescent="0.2">
      <c r="A1321" t="s">
        <v>1315</v>
      </c>
      <c r="B1321" t="s">
        <v>40</v>
      </c>
      <c r="C1321" t="s">
        <v>1261</v>
      </c>
      <c r="D1321" t="s">
        <v>42</v>
      </c>
      <c r="E1321" t="s">
        <v>43</v>
      </c>
      <c r="F1321" t="s">
        <v>44</v>
      </c>
      <c r="G1321" t="s">
        <v>45</v>
      </c>
      <c r="AH1321" t="s">
        <v>42</v>
      </c>
      <c r="AI1321" t="str">
        <f>"U028"</f>
        <v>U028</v>
      </c>
      <c r="AJ1321" t="str">
        <f>"U028"</f>
        <v>U028</v>
      </c>
      <c r="AK1321" t="s">
        <v>46</v>
      </c>
      <c r="AL1321" s="1">
        <v>44816.550578703704</v>
      </c>
      <c r="AM1321" t="s">
        <v>44</v>
      </c>
    </row>
    <row r="1322" spans="1:39" x14ac:dyDescent="0.2">
      <c r="A1322" t="s">
        <v>1316</v>
      </c>
      <c r="B1322" t="s">
        <v>40</v>
      </c>
      <c r="C1322" t="s">
        <v>1261</v>
      </c>
      <c r="D1322" t="s">
        <v>42</v>
      </c>
      <c r="E1322" t="s">
        <v>43</v>
      </c>
      <c r="F1322" t="s">
        <v>44</v>
      </c>
      <c r="G1322" t="s">
        <v>45</v>
      </c>
      <c r="AH1322" t="s">
        <v>42</v>
      </c>
      <c r="AI1322" t="str">
        <f>"66298837103503"</f>
        <v>66298837103503</v>
      </c>
      <c r="AJ1322" t="str">
        <f>"41201-KSM-900JP"</f>
        <v>41201-KSM-900JP</v>
      </c>
      <c r="AK1322" t="s">
        <v>46</v>
      </c>
      <c r="AL1322" s="1">
        <v>44816.55059027778</v>
      </c>
      <c r="AM1322" t="s">
        <v>44</v>
      </c>
    </row>
    <row r="1323" spans="1:39" x14ac:dyDescent="0.2">
      <c r="A1323" t="s">
        <v>1317</v>
      </c>
      <c r="B1323" t="s">
        <v>40</v>
      </c>
      <c r="C1323" t="s">
        <v>1318</v>
      </c>
      <c r="D1323" t="s">
        <v>42</v>
      </c>
      <c r="E1323" t="s">
        <v>43</v>
      </c>
      <c r="F1323" t="s">
        <v>44</v>
      </c>
      <c r="G1323" t="s">
        <v>45</v>
      </c>
      <c r="AH1323" t="s">
        <v>42</v>
      </c>
      <c r="AI1323" t="str">
        <f>"66298837146341"</f>
        <v>66298837146341</v>
      </c>
      <c r="AJ1323" t="str">
        <f>"80479"</f>
        <v>80479</v>
      </c>
      <c r="AK1323" t="s">
        <v>46</v>
      </c>
      <c r="AL1323" s="1">
        <v>44816.55059027778</v>
      </c>
      <c r="AM1323" t="s">
        <v>44</v>
      </c>
    </row>
    <row r="1324" spans="1:39" x14ac:dyDescent="0.2">
      <c r="A1324" t="s">
        <v>1319</v>
      </c>
      <c r="B1324" t="s">
        <v>40</v>
      </c>
      <c r="C1324" t="s">
        <v>50</v>
      </c>
      <c r="D1324" t="s">
        <v>42</v>
      </c>
      <c r="E1324" t="s">
        <v>43</v>
      </c>
      <c r="F1324" t="s">
        <v>44</v>
      </c>
      <c r="G1324" t="s">
        <v>45</v>
      </c>
      <c r="AH1324" t="s">
        <v>42</v>
      </c>
      <c r="AI1324" t="str">
        <f>"H108"</f>
        <v>H108</v>
      </c>
      <c r="AJ1324" t="str">
        <f>"H108"</f>
        <v>H108</v>
      </c>
      <c r="AK1324" t="s">
        <v>46</v>
      </c>
      <c r="AL1324" s="1">
        <v>44858.703032407408</v>
      </c>
      <c r="AM1324" t="s">
        <v>44</v>
      </c>
    </row>
    <row r="1325" spans="1:39" x14ac:dyDescent="0.2">
      <c r="A1325" t="s">
        <v>1319</v>
      </c>
      <c r="B1325" t="s">
        <v>40</v>
      </c>
      <c r="C1325" t="s">
        <v>50</v>
      </c>
      <c r="D1325" t="s">
        <v>42</v>
      </c>
      <c r="E1325" t="s">
        <v>43</v>
      </c>
      <c r="F1325" t="s">
        <v>44</v>
      </c>
      <c r="G1325" t="s">
        <v>45</v>
      </c>
      <c r="AH1325" t="s">
        <v>43</v>
      </c>
      <c r="AI1325" t="str">
        <f>"CEPILLO-UNIV"</f>
        <v>CEPILLO-UNIV</v>
      </c>
      <c r="AJ1325" t="str">
        <f>"CEPILLO-UNIV"</f>
        <v>CEPILLO-UNIV</v>
      </c>
      <c r="AK1325" t="s">
        <v>46</v>
      </c>
      <c r="AL1325" s="1">
        <v>44998.660833333335</v>
      </c>
      <c r="AM1325" t="s">
        <v>44</v>
      </c>
    </row>
    <row r="1326" spans="1:39" x14ac:dyDescent="0.2">
      <c r="A1326" t="s">
        <v>1319</v>
      </c>
      <c r="B1326" t="s">
        <v>40</v>
      </c>
      <c r="C1326" t="s">
        <v>50</v>
      </c>
      <c r="D1326" t="s">
        <v>42</v>
      </c>
      <c r="E1326" t="s">
        <v>43</v>
      </c>
      <c r="F1326" t="s">
        <v>44</v>
      </c>
      <c r="G1326" t="s">
        <v>45</v>
      </c>
      <c r="AH1326" t="s">
        <v>42</v>
      </c>
      <c r="AI1326" t="str">
        <f>"7258"</f>
        <v>7258</v>
      </c>
      <c r="AJ1326" t="str">
        <f>"7258"</f>
        <v>7258</v>
      </c>
      <c r="AK1326" t="s">
        <v>46</v>
      </c>
      <c r="AL1326" s="1">
        <v>45070.892071759263</v>
      </c>
      <c r="AM1326" t="s">
        <v>44</v>
      </c>
    </row>
    <row r="1327" spans="1:39" x14ac:dyDescent="0.2">
      <c r="A1327" t="s">
        <v>1319</v>
      </c>
      <c r="B1327" t="s">
        <v>40</v>
      </c>
      <c r="C1327" t="s">
        <v>50</v>
      </c>
      <c r="D1327" t="s">
        <v>42</v>
      </c>
      <c r="E1327" t="s">
        <v>43</v>
      </c>
      <c r="F1327" t="s">
        <v>44</v>
      </c>
      <c r="G1327" t="s">
        <v>45</v>
      </c>
      <c r="AH1327" t="s">
        <v>42</v>
      </c>
      <c r="AI1327" t="str">
        <f>"3764"</f>
        <v>3764</v>
      </c>
      <c r="AJ1327" t="str">
        <f>"3764"</f>
        <v>3764</v>
      </c>
      <c r="AK1327" t="s">
        <v>46</v>
      </c>
      <c r="AL1327" s="1">
        <v>45070.930694444447</v>
      </c>
      <c r="AM1327" t="s">
        <v>44</v>
      </c>
    </row>
    <row r="1328" spans="1:39" x14ac:dyDescent="0.2">
      <c r="A1328" t="s">
        <v>1320</v>
      </c>
      <c r="B1328" t="s">
        <v>40</v>
      </c>
      <c r="C1328" t="s">
        <v>50</v>
      </c>
      <c r="D1328" t="s">
        <v>42</v>
      </c>
      <c r="E1328" t="s">
        <v>43</v>
      </c>
      <c r="F1328" t="s">
        <v>44</v>
      </c>
      <c r="G1328" t="s">
        <v>45</v>
      </c>
      <c r="AH1328" t="s">
        <v>42</v>
      </c>
      <c r="AI1328" t="str">
        <f>"66298837186738"</f>
        <v>66298837186738</v>
      </c>
      <c r="AJ1328" t="str">
        <f>"H205"</f>
        <v>H205</v>
      </c>
      <c r="AK1328" t="s">
        <v>46</v>
      </c>
      <c r="AL1328" s="1">
        <v>44816.55059027778</v>
      </c>
      <c r="AM1328" t="s">
        <v>44</v>
      </c>
    </row>
    <row r="1329" spans="1:39" x14ac:dyDescent="0.2">
      <c r="A1329" t="s">
        <v>1321</v>
      </c>
      <c r="B1329" t="s">
        <v>40</v>
      </c>
      <c r="C1329" t="s">
        <v>41</v>
      </c>
      <c r="D1329" t="s">
        <v>42</v>
      </c>
      <c r="E1329" t="s">
        <v>43</v>
      </c>
      <c r="F1329" t="s">
        <v>44</v>
      </c>
      <c r="G1329" t="s">
        <v>45</v>
      </c>
      <c r="AH1329" t="s">
        <v>42</v>
      </c>
      <c r="AI1329" t="str">
        <f>"12145"</f>
        <v>12145</v>
      </c>
      <c r="AJ1329" t="str">
        <f>"12145"</f>
        <v>12145</v>
      </c>
      <c r="AK1329" t="s">
        <v>46</v>
      </c>
      <c r="AL1329" s="1">
        <v>45054.7809375</v>
      </c>
      <c r="AM1329" t="s">
        <v>44</v>
      </c>
    </row>
    <row r="1330" spans="1:39" x14ac:dyDescent="0.2">
      <c r="A1330" t="s">
        <v>1322</v>
      </c>
      <c r="B1330" t="s">
        <v>40</v>
      </c>
      <c r="C1330" t="s">
        <v>1323</v>
      </c>
      <c r="D1330" t="s">
        <v>42</v>
      </c>
      <c r="E1330" t="s">
        <v>43</v>
      </c>
      <c r="F1330" t="s">
        <v>44</v>
      </c>
      <c r="G1330" t="s">
        <v>45</v>
      </c>
      <c r="AH1330" t="s">
        <v>42</v>
      </c>
      <c r="AI1330" t="str">
        <f>"66298837226944"</f>
        <v>66298837226944</v>
      </c>
      <c r="AJ1330" t="str">
        <f>"XN-62321-000"</f>
        <v>XN-62321-000</v>
      </c>
      <c r="AK1330" t="s">
        <v>46</v>
      </c>
      <c r="AL1330" s="1">
        <v>44816.55060185185</v>
      </c>
      <c r="AM1330" t="s">
        <v>44</v>
      </c>
    </row>
    <row r="1331" spans="1:39" x14ac:dyDescent="0.2">
      <c r="A1331" t="s">
        <v>1324</v>
      </c>
      <c r="B1331" t="s">
        <v>40</v>
      </c>
      <c r="C1331" t="s">
        <v>1323</v>
      </c>
      <c r="D1331" t="s">
        <v>42</v>
      </c>
      <c r="E1331" t="s">
        <v>43</v>
      </c>
      <c r="F1331" t="s">
        <v>44</v>
      </c>
      <c r="G1331" t="s">
        <v>45</v>
      </c>
      <c r="AH1331" t="s">
        <v>42</v>
      </c>
      <c r="AI1331" t="str">
        <f>"66298837265657"</f>
        <v>66298837265657</v>
      </c>
      <c r="AJ1331" t="str">
        <f>"TX-62321-000"</f>
        <v>TX-62321-000</v>
      </c>
      <c r="AK1331" t="s">
        <v>46</v>
      </c>
      <c r="AL1331" s="1">
        <v>44816.55060185185</v>
      </c>
      <c r="AM1331" t="s">
        <v>44</v>
      </c>
    </row>
    <row r="1332" spans="1:39" x14ac:dyDescent="0.2">
      <c r="A1332" t="s">
        <v>1325</v>
      </c>
      <c r="B1332" t="s">
        <v>40</v>
      </c>
      <c r="C1332" t="s">
        <v>1323</v>
      </c>
      <c r="D1332" t="s">
        <v>42</v>
      </c>
      <c r="E1332" t="s">
        <v>43</v>
      </c>
      <c r="F1332" t="s">
        <v>44</v>
      </c>
      <c r="G1332" t="s">
        <v>45</v>
      </c>
      <c r="AH1332" t="s">
        <v>42</v>
      </c>
      <c r="AI1332" t="str">
        <f>"AB030"</f>
        <v>AB030</v>
      </c>
      <c r="AJ1332" t="str">
        <f>"AB030"</f>
        <v>AB030</v>
      </c>
      <c r="AK1332" t="s">
        <v>46</v>
      </c>
      <c r="AL1332" s="1">
        <v>45089.746759259258</v>
      </c>
      <c r="AM1332" t="s">
        <v>44</v>
      </c>
    </row>
    <row r="1333" spans="1:39" x14ac:dyDescent="0.2">
      <c r="A1333" t="s">
        <v>1326</v>
      </c>
      <c r="B1333" t="s">
        <v>40</v>
      </c>
      <c r="C1333" t="s">
        <v>1323</v>
      </c>
      <c r="D1333" t="s">
        <v>42</v>
      </c>
      <c r="E1333" t="s">
        <v>43</v>
      </c>
      <c r="F1333" t="s">
        <v>44</v>
      </c>
      <c r="G1333" t="s">
        <v>45</v>
      </c>
      <c r="AH1333" t="s">
        <v>42</v>
      </c>
      <c r="AI1333" t="str">
        <f>"66298837313196"</f>
        <v>66298837313196</v>
      </c>
      <c r="AJ1333" t="str">
        <f>"37110-23500HB"</f>
        <v>37110-23500HB</v>
      </c>
      <c r="AK1333" t="s">
        <v>46</v>
      </c>
      <c r="AL1333" s="1">
        <v>44816.550613425927</v>
      </c>
      <c r="AM1333" t="s">
        <v>44</v>
      </c>
    </row>
    <row r="1334" spans="1:39" x14ac:dyDescent="0.2">
      <c r="A1334" t="s">
        <v>1326</v>
      </c>
      <c r="B1334" t="s">
        <v>40</v>
      </c>
      <c r="C1334" t="s">
        <v>1323</v>
      </c>
      <c r="D1334" t="s">
        <v>42</v>
      </c>
      <c r="E1334" t="s">
        <v>43</v>
      </c>
      <c r="F1334" t="s">
        <v>44</v>
      </c>
      <c r="G1334" t="s">
        <v>45</v>
      </c>
      <c r="AH1334" t="s">
        <v>42</v>
      </c>
      <c r="AI1334" t="str">
        <f>"66298837319449"</f>
        <v>66298837319449</v>
      </c>
      <c r="AJ1334" t="str">
        <f>"37110-461F0HB"</f>
        <v>37110-461F0HB</v>
      </c>
      <c r="AK1334" t="s">
        <v>46</v>
      </c>
      <c r="AL1334" s="1">
        <v>44816.550613425927</v>
      </c>
      <c r="AM1334" t="s">
        <v>44</v>
      </c>
    </row>
    <row r="1335" spans="1:39" x14ac:dyDescent="0.2">
      <c r="A1335" t="s">
        <v>1326</v>
      </c>
      <c r="B1335" t="s">
        <v>40</v>
      </c>
      <c r="C1335" t="s">
        <v>1323</v>
      </c>
      <c r="D1335" t="s">
        <v>42</v>
      </c>
      <c r="E1335" t="s">
        <v>43</v>
      </c>
      <c r="F1335" t="s">
        <v>44</v>
      </c>
      <c r="G1335" t="s">
        <v>45</v>
      </c>
      <c r="AH1335" t="s">
        <v>42</v>
      </c>
      <c r="AI1335" t="str">
        <f>"66298837324460"</f>
        <v>66298837324460</v>
      </c>
      <c r="AJ1335" t="str">
        <f>"CHAPA-AX"</f>
        <v>CHAPA-AX</v>
      </c>
      <c r="AK1335" t="s">
        <v>46</v>
      </c>
      <c r="AL1335" s="1">
        <v>44816.550613425927</v>
      </c>
      <c r="AM1335" t="s">
        <v>44</v>
      </c>
    </row>
    <row r="1336" spans="1:39" x14ac:dyDescent="0.2">
      <c r="A1336" t="s">
        <v>1327</v>
      </c>
      <c r="B1336" t="s">
        <v>40</v>
      </c>
      <c r="C1336" t="s">
        <v>1323</v>
      </c>
      <c r="D1336" t="s">
        <v>42</v>
      </c>
      <c r="E1336" t="s">
        <v>43</v>
      </c>
      <c r="F1336" t="s">
        <v>44</v>
      </c>
      <c r="G1336" t="s">
        <v>45</v>
      </c>
      <c r="AH1336" t="s">
        <v>42</v>
      </c>
      <c r="AI1336" t="str">
        <f>"66298837387498"</f>
        <v>66298837387498</v>
      </c>
      <c r="AJ1336" t="str">
        <f>"JZ-2326-00HB"</f>
        <v>JZ-2326-00HB</v>
      </c>
      <c r="AK1336" t="s">
        <v>46</v>
      </c>
      <c r="AL1336" s="1">
        <v>44816.550613425927</v>
      </c>
      <c r="AM1336" t="s">
        <v>44</v>
      </c>
    </row>
    <row r="1337" spans="1:39" x14ac:dyDescent="0.2">
      <c r="A1337" t="s">
        <v>1328</v>
      </c>
      <c r="B1337" t="s">
        <v>40</v>
      </c>
      <c r="C1337" t="s">
        <v>1323</v>
      </c>
      <c r="D1337" t="s">
        <v>42</v>
      </c>
      <c r="E1337" t="s">
        <v>43</v>
      </c>
      <c r="F1337" t="s">
        <v>44</v>
      </c>
      <c r="G1337" t="s">
        <v>45</v>
      </c>
      <c r="AH1337" t="s">
        <v>42</v>
      </c>
      <c r="AI1337" t="str">
        <f>"66298837426740"</f>
        <v>66298837426740</v>
      </c>
      <c r="AJ1337" t="str">
        <f>"DZ-1810-04HB"</f>
        <v>DZ-1810-04HB</v>
      </c>
      <c r="AK1337" t="s">
        <v>46</v>
      </c>
      <c r="AL1337" s="1">
        <v>44816.550625000003</v>
      </c>
      <c r="AM1337" t="s">
        <v>44</v>
      </c>
    </row>
    <row r="1338" spans="1:39" x14ac:dyDescent="0.2">
      <c r="A1338" t="s">
        <v>1329</v>
      </c>
      <c r="B1338" t="s">
        <v>40</v>
      </c>
      <c r="C1338" t="s">
        <v>1323</v>
      </c>
      <c r="D1338" t="s">
        <v>42</v>
      </c>
      <c r="E1338" t="s">
        <v>43</v>
      </c>
      <c r="F1338" t="s">
        <v>44</v>
      </c>
      <c r="G1338" t="s">
        <v>45</v>
      </c>
      <c r="AH1338" t="s">
        <v>42</v>
      </c>
      <c r="AI1338" t="str">
        <f>"66298838020248"</f>
        <v>66298838020248</v>
      </c>
      <c r="AJ1338" t="str">
        <f>"37100-20G00HB"</f>
        <v>37100-20G00HB</v>
      </c>
      <c r="AK1338" t="s">
        <v>46</v>
      </c>
      <c r="AL1338" s="1">
        <v>44816.550694444442</v>
      </c>
      <c r="AM1338" t="s">
        <v>44</v>
      </c>
    </row>
    <row r="1339" spans="1:39" x14ac:dyDescent="0.2">
      <c r="A1339" t="s">
        <v>1330</v>
      </c>
      <c r="B1339" t="s">
        <v>40</v>
      </c>
      <c r="C1339" t="s">
        <v>1323</v>
      </c>
      <c r="D1339" t="s">
        <v>42</v>
      </c>
      <c r="E1339" t="s">
        <v>43</v>
      </c>
      <c r="F1339" t="s">
        <v>44</v>
      </c>
      <c r="G1339" t="s">
        <v>45</v>
      </c>
      <c r="AH1339" t="s">
        <v>42</v>
      </c>
      <c r="AI1339" t="str">
        <f>"66298837466651"</f>
        <v>66298837466651</v>
      </c>
      <c r="AJ1339" t="str">
        <f>"DU-2010-67HB"</f>
        <v>DU-2010-67HB</v>
      </c>
      <c r="AK1339" t="s">
        <v>46</v>
      </c>
      <c r="AL1339" s="1">
        <v>44816.550625000003</v>
      </c>
      <c r="AM1339" t="s">
        <v>44</v>
      </c>
    </row>
    <row r="1340" spans="1:39" x14ac:dyDescent="0.2">
      <c r="A1340" t="s">
        <v>1331</v>
      </c>
      <c r="B1340" t="s">
        <v>40</v>
      </c>
      <c r="C1340" t="s">
        <v>1323</v>
      </c>
      <c r="D1340" t="s">
        <v>42</v>
      </c>
      <c r="E1340" t="s">
        <v>43</v>
      </c>
      <c r="F1340" t="s">
        <v>44</v>
      </c>
      <c r="G1340" t="s">
        <v>45</v>
      </c>
      <c r="AH1340" t="s">
        <v>42</v>
      </c>
      <c r="AI1340" t="str">
        <f>"AB015"</f>
        <v>AB015</v>
      </c>
      <c r="AJ1340" t="str">
        <f>"AB015"</f>
        <v>AB015</v>
      </c>
      <c r="AK1340" t="s">
        <v>46</v>
      </c>
      <c r="AL1340" s="1">
        <v>45089.748287037037</v>
      </c>
      <c r="AM1340" t="s">
        <v>44</v>
      </c>
    </row>
    <row r="1341" spans="1:39" x14ac:dyDescent="0.2">
      <c r="A1341" t="s">
        <v>1332</v>
      </c>
      <c r="B1341" t="s">
        <v>40</v>
      </c>
      <c r="C1341" t="s">
        <v>1323</v>
      </c>
      <c r="D1341" t="s">
        <v>42</v>
      </c>
      <c r="E1341" t="s">
        <v>43</v>
      </c>
      <c r="F1341" t="s">
        <v>44</v>
      </c>
      <c r="G1341" t="s">
        <v>45</v>
      </c>
      <c r="AH1341" t="s">
        <v>42</v>
      </c>
      <c r="AI1341" t="str">
        <f>"AB012"</f>
        <v>AB012</v>
      </c>
      <c r="AJ1341" t="str">
        <f>"AB012"</f>
        <v>AB012</v>
      </c>
      <c r="AK1341" t="s">
        <v>46</v>
      </c>
      <c r="AL1341" s="1">
        <v>44858.670868055553</v>
      </c>
      <c r="AM1341" t="s">
        <v>44</v>
      </c>
    </row>
    <row r="1342" spans="1:39" x14ac:dyDescent="0.2">
      <c r="A1342" t="s">
        <v>1333</v>
      </c>
      <c r="B1342" t="s">
        <v>40</v>
      </c>
      <c r="C1342" t="s">
        <v>1323</v>
      </c>
      <c r="D1342" t="s">
        <v>42</v>
      </c>
      <c r="E1342" t="s">
        <v>43</v>
      </c>
      <c r="F1342" t="s">
        <v>44</v>
      </c>
      <c r="G1342" t="s">
        <v>45</v>
      </c>
      <c r="AH1342" t="s">
        <v>42</v>
      </c>
      <c r="AI1342" t="str">
        <f>"AB007"</f>
        <v>AB007</v>
      </c>
      <c r="AJ1342" t="str">
        <f>"AB007"</f>
        <v>AB007</v>
      </c>
      <c r="AK1342" t="s">
        <v>46</v>
      </c>
      <c r="AL1342" s="1">
        <v>45089.749965277777</v>
      </c>
      <c r="AM1342" t="s">
        <v>44</v>
      </c>
    </row>
    <row r="1343" spans="1:39" x14ac:dyDescent="0.2">
      <c r="A1343" t="s">
        <v>1334</v>
      </c>
      <c r="B1343" t="s">
        <v>40</v>
      </c>
      <c r="C1343" t="s">
        <v>1323</v>
      </c>
      <c r="D1343" t="s">
        <v>42</v>
      </c>
      <c r="E1343" t="s">
        <v>43</v>
      </c>
      <c r="F1343" t="s">
        <v>44</v>
      </c>
      <c r="G1343" t="s">
        <v>45</v>
      </c>
      <c r="AH1343" t="s">
        <v>42</v>
      </c>
      <c r="AI1343" t="str">
        <f>"66298837506294"</f>
        <v>66298837506294</v>
      </c>
      <c r="AJ1343" t="str">
        <f>"401046"</f>
        <v>401046</v>
      </c>
      <c r="AK1343" t="s">
        <v>46</v>
      </c>
      <c r="AL1343" s="1">
        <v>44816.550636574073</v>
      </c>
      <c r="AM1343" t="s">
        <v>44</v>
      </c>
    </row>
    <row r="1344" spans="1:39" x14ac:dyDescent="0.2">
      <c r="A1344" t="s">
        <v>1335</v>
      </c>
      <c r="B1344" t="s">
        <v>40</v>
      </c>
      <c r="C1344" t="s">
        <v>1323</v>
      </c>
      <c r="D1344" t="s">
        <v>42</v>
      </c>
      <c r="E1344" t="s">
        <v>43</v>
      </c>
      <c r="F1344" t="s">
        <v>44</v>
      </c>
      <c r="G1344" t="s">
        <v>45</v>
      </c>
      <c r="AH1344" t="s">
        <v>42</v>
      </c>
      <c r="AI1344" t="str">
        <f>"66298837542502"</f>
        <v>66298837542502</v>
      </c>
      <c r="AJ1344" t="str">
        <f>"37100-42A01HB"</f>
        <v>37100-42A01HB</v>
      </c>
      <c r="AK1344" t="s">
        <v>46</v>
      </c>
      <c r="AL1344" s="1">
        <v>44816.550636574073</v>
      </c>
      <c r="AM1344" t="s">
        <v>44</v>
      </c>
    </row>
    <row r="1345" spans="1:39" x14ac:dyDescent="0.2">
      <c r="A1345" t="s">
        <v>1336</v>
      </c>
      <c r="B1345" t="s">
        <v>40</v>
      </c>
      <c r="C1345" t="s">
        <v>1323</v>
      </c>
      <c r="D1345" t="s">
        <v>42</v>
      </c>
      <c r="E1345" t="s">
        <v>43</v>
      </c>
      <c r="F1345" t="s">
        <v>44</v>
      </c>
      <c r="G1345" t="s">
        <v>45</v>
      </c>
      <c r="AH1345" t="s">
        <v>42</v>
      </c>
      <c r="AI1345" t="str">
        <f>"AB013"</f>
        <v>AB013</v>
      </c>
      <c r="AJ1345" t="str">
        <f>"AB013"</f>
        <v>AB013</v>
      </c>
      <c r="AK1345" t="s">
        <v>46</v>
      </c>
      <c r="AL1345" s="1">
        <v>45089.883680555555</v>
      </c>
      <c r="AM1345" t="s">
        <v>44</v>
      </c>
    </row>
    <row r="1346" spans="1:39" x14ac:dyDescent="0.2">
      <c r="A1346" t="s">
        <v>1337</v>
      </c>
      <c r="B1346" t="s">
        <v>40</v>
      </c>
      <c r="C1346" t="s">
        <v>1323</v>
      </c>
      <c r="D1346" t="s">
        <v>42</v>
      </c>
      <c r="E1346" t="s">
        <v>43</v>
      </c>
      <c r="F1346" t="s">
        <v>44</v>
      </c>
      <c r="G1346" t="s">
        <v>45</v>
      </c>
      <c r="AH1346" t="s">
        <v>42</v>
      </c>
      <c r="AI1346" t="str">
        <f>"AB008"</f>
        <v>AB008</v>
      </c>
      <c r="AJ1346" t="str">
        <f>"AB008"</f>
        <v>AB008</v>
      </c>
      <c r="AK1346" t="s">
        <v>46</v>
      </c>
      <c r="AL1346" s="1">
        <v>44858.673067129632</v>
      </c>
      <c r="AM1346" t="s">
        <v>44</v>
      </c>
    </row>
    <row r="1347" spans="1:39" x14ac:dyDescent="0.2">
      <c r="A1347" t="s">
        <v>1338</v>
      </c>
      <c r="B1347" t="s">
        <v>40</v>
      </c>
      <c r="C1347" t="s">
        <v>1323</v>
      </c>
      <c r="D1347" t="s">
        <v>42</v>
      </c>
      <c r="E1347" t="s">
        <v>43</v>
      </c>
      <c r="F1347" t="s">
        <v>44</v>
      </c>
      <c r="G1347" t="s">
        <v>45</v>
      </c>
      <c r="AH1347" t="s">
        <v>42</v>
      </c>
      <c r="AI1347" t="str">
        <f>"37100-45F00"</f>
        <v>37100-45F00</v>
      </c>
      <c r="AJ1347" t="str">
        <f>"37100-45F00"</f>
        <v>37100-45F00</v>
      </c>
      <c r="AK1347" t="s">
        <v>46</v>
      </c>
      <c r="AL1347" s="1">
        <v>44898.608148148145</v>
      </c>
      <c r="AM1347" t="s">
        <v>44</v>
      </c>
    </row>
    <row r="1348" spans="1:39" x14ac:dyDescent="0.2">
      <c r="A1348" t="s">
        <v>1339</v>
      </c>
      <c r="B1348" t="s">
        <v>40</v>
      </c>
      <c r="C1348" t="s">
        <v>1323</v>
      </c>
      <c r="D1348" t="s">
        <v>42</v>
      </c>
      <c r="E1348" t="s">
        <v>43</v>
      </c>
      <c r="F1348" t="s">
        <v>44</v>
      </c>
      <c r="G1348" t="s">
        <v>45</v>
      </c>
      <c r="AH1348" t="s">
        <v>42</v>
      </c>
      <c r="AI1348" t="str">
        <f>"66298837582456"</f>
        <v>66298837582456</v>
      </c>
      <c r="AJ1348" t="str">
        <f>"C131"</f>
        <v>C131</v>
      </c>
      <c r="AK1348" t="s">
        <v>46</v>
      </c>
      <c r="AL1348" s="1">
        <v>44816.550636574073</v>
      </c>
      <c r="AM1348" t="s">
        <v>44</v>
      </c>
    </row>
    <row r="1349" spans="1:39" x14ac:dyDescent="0.2">
      <c r="A1349" t="s">
        <v>1340</v>
      </c>
      <c r="B1349" t="s">
        <v>40</v>
      </c>
      <c r="C1349" t="s">
        <v>1323</v>
      </c>
      <c r="D1349" t="s">
        <v>42</v>
      </c>
      <c r="E1349" t="s">
        <v>43</v>
      </c>
      <c r="F1349" t="s">
        <v>44</v>
      </c>
      <c r="G1349" t="s">
        <v>45</v>
      </c>
      <c r="AH1349" t="s">
        <v>42</v>
      </c>
      <c r="AI1349" t="str">
        <f>"CH-CON-GXT"</f>
        <v>CH-CON-GXT</v>
      </c>
      <c r="AJ1349" t="str">
        <f>"CH-CON-GXT"</f>
        <v>CH-CON-GXT</v>
      </c>
      <c r="AK1349" t="s">
        <v>46</v>
      </c>
      <c r="AL1349" s="1">
        <v>44999.76363425926</v>
      </c>
      <c r="AM1349" t="s">
        <v>44</v>
      </c>
    </row>
    <row r="1350" spans="1:39" x14ac:dyDescent="0.2">
      <c r="A1350" t="s">
        <v>1341</v>
      </c>
      <c r="B1350" t="s">
        <v>40</v>
      </c>
      <c r="C1350" t="s">
        <v>1323</v>
      </c>
      <c r="D1350" t="s">
        <v>42</v>
      </c>
      <c r="E1350" t="s">
        <v>43</v>
      </c>
      <c r="F1350" t="s">
        <v>44</v>
      </c>
      <c r="G1350" t="s">
        <v>45</v>
      </c>
      <c r="AH1350" t="s">
        <v>42</v>
      </c>
      <c r="AI1350" t="str">
        <f>"66298837621877"</f>
        <v>66298837621877</v>
      </c>
      <c r="AJ1350" t="str">
        <f>"CHAPA-GY/WX125"</f>
        <v>CHAPA-GY/WX125</v>
      </c>
      <c r="AK1350" t="s">
        <v>46</v>
      </c>
      <c r="AL1350" s="1">
        <v>44816.55064814815</v>
      </c>
      <c r="AM1350" t="s">
        <v>44</v>
      </c>
    </row>
    <row r="1351" spans="1:39" x14ac:dyDescent="0.2">
      <c r="A1351" t="s">
        <v>1342</v>
      </c>
      <c r="B1351" t="s">
        <v>40</v>
      </c>
      <c r="C1351" t="s">
        <v>1323</v>
      </c>
      <c r="D1351" t="s">
        <v>42</v>
      </c>
      <c r="E1351" t="s">
        <v>43</v>
      </c>
      <c r="F1351" t="s">
        <v>44</v>
      </c>
      <c r="G1351" t="s">
        <v>45</v>
      </c>
      <c r="AH1351" t="s">
        <v>42</v>
      </c>
      <c r="AI1351" t="str">
        <f>"66298837662846"</f>
        <v>66298837662846</v>
      </c>
      <c r="AJ1351" t="str">
        <f>"M108"</f>
        <v>M108</v>
      </c>
      <c r="AK1351" t="s">
        <v>46</v>
      </c>
      <c r="AL1351" s="1">
        <v>44816.55064814815</v>
      </c>
      <c r="AM1351" t="s">
        <v>44</v>
      </c>
    </row>
    <row r="1352" spans="1:39" x14ac:dyDescent="0.2">
      <c r="A1352" t="s">
        <v>1343</v>
      </c>
      <c r="B1352" t="s">
        <v>40</v>
      </c>
      <c r="C1352" t="s">
        <v>1323</v>
      </c>
      <c r="D1352" t="s">
        <v>42</v>
      </c>
      <c r="E1352" t="s">
        <v>43</v>
      </c>
      <c r="F1352" t="s">
        <v>44</v>
      </c>
      <c r="G1352" t="s">
        <v>45</v>
      </c>
      <c r="AH1352" t="s">
        <v>42</v>
      </c>
      <c r="AI1352" t="str">
        <f>"66298837699039"</f>
        <v>66298837699039</v>
      </c>
      <c r="AJ1352" t="str">
        <f>"37100H2F030H000"</f>
        <v>37100H2F030H000</v>
      </c>
      <c r="AK1352" t="s">
        <v>46</v>
      </c>
      <c r="AL1352" s="1">
        <v>44816.55064814815</v>
      </c>
      <c r="AM1352" t="s">
        <v>44</v>
      </c>
    </row>
    <row r="1353" spans="1:39" x14ac:dyDescent="0.2">
      <c r="A1353" t="s">
        <v>1344</v>
      </c>
      <c r="B1353" t="s">
        <v>40</v>
      </c>
      <c r="C1353" t="s">
        <v>1323</v>
      </c>
      <c r="D1353" t="s">
        <v>42</v>
      </c>
      <c r="E1353" t="s">
        <v>43</v>
      </c>
      <c r="F1353" t="s">
        <v>44</v>
      </c>
      <c r="G1353" t="s">
        <v>45</v>
      </c>
      <c r="AH1353" t="s">
        <v>42</v>
      </c>
      <c r="AI1353" t="str">
        <f>"JB-4014-02"</f>
        <v>JB-4014-02</v>
      </c>
      <c r="AJ1353" t="str">
        <f>"JB-4014-02"</f>
        <v>JB-4014-02</v>
      </c>
      <c r="AK1353" t="s">
        <v>46</v>
      </c>
      <c r="AL1353" s="1">
        <v>44872.640138888892</v>
      </c>
      <c r="AM1353" t="s">
        <v>44</v>
      </c>
    </row>
    <row r="1354" spans="1:39" x14ac:dyDescent="0.2">
      <c r="A1354" t="s">
        <v>1345</v>
      </c>
      <c r="B1354" t="s">
        <v>40</v>
      </c>
      <c r="C1354" t="s">
        <v>1323</v>
      </c>
      <c r="D1354" t="s">
        <v>42</v>
      </c>
      <c r="E1354" t="s">
        <v>43</v>
      </c>
      <c r="F1354" t="s">
        <v>44</v>
      </c>
      <c r="G1354" t="s">
        <v>45</v>
      </c>
      <c r="AH1354" t="s">
        <v>42</v>
      </c>
      <c r="AI1354" t="str">
        <f>"66298837745134"</f>
        <v>66298837745134</v>
      </c>
      <c r="AJ1354" t="str">
        <f>"82656"</f>
        <v>82656</v>
      </c>
      <c r="AK1354" t="s">
        <v>46</v>
      </c>
      <c r="AL1354" s="1">
        <v>44816.550659722219</v>
      </c>
      <c r="AM1354" t="s">
        <v>44</v>
      </c>
    </row>
    <row r="1355" spans="1:39" x14ac:dyDescent="0.2">
      <c r="A1355" t="s">
        <v>1345</v>
      </c>
      <c r="B1355" t="s">
        <v>40</v>
      </c>
      <c r="C1355" t="s">
        <v>1323</v>
      </c>
      <c r="D1355" t="s">
        <v>42</v>
      </c>
      <c r="E1355" t="s">
        <v>43</v>
      </c>
      <c r="F1355" t="s">
        <v>44</v>
      </c>
      <c r="G1355" t="s">
        <v>45</v>
      </c>
      <c r="AH1355" t="s">
        <v>42</v>
      </c>
      <c r="AI1355" t="str">
        <f>"66298837753329"</f>
        <v>66298837753329</v>
      </c>
      <c r="AJ1355" t="str">
        <f>"JL-1510-23HB"</f>
        <v>JL-1510-23HB</v>
      </c>
      <c r="AK1355" t="s">
        <v>46</v>
      </c>
      <c r="AL1355" s="1">
        <v>44816.550659722219</v>
      </c>
      <c r="AM1355" t="s">
        <v>44</v>
      </c>
    </row>
    <row r="1356" spans="1:39" x14ac:dyDescent="0.2">
      <c r="A1356" t="s">
        <v>1346</v>
      </c>
      <c r="B1356" t="s">
        <v>40</v>
      </c>
      <c r="C1356" t="s">
        <v>1323</v>
      </c>
      <c r="D1356" t="s">
        <v>42</v>
      </c>
      <c r="E1356" t="s">
        <v>43</v>
      </c>
      <c r="F1356" t="s">
        <v>44</v>
      </c>
      <c r="G1356" t="s">
        <v>45</v>
      </c>
      <c r="AH1356" t="s">
        <v>42</v>
      </c>
      <c r="AI1356" t="str">
        <f>"AB003"</f>
        <v>AB003</v>
      </c>
      <c r="AJ1356" t="str">
        <f>"AB003"</f>
        <v>AB003</v>
      </c>
      <c r="AK1356" t="s">
        <v>46</v>
      </c>
      <c r="AL1356" s="1">
        <v>44816.550671296296</v>
      </c>
      <c r="AM1356" t="s">
        <v>44</v>
      </c>
    </row>
    <row r="1357" spans="1:39" x14ac:dyDescent="0.2">
      <c r="A1357" t="s">
        <v>1347</v>
      </c>
      <c r="B1357" t="s">
        <v>40</v>
      </c>
      <c r="C1357" t="s">
        <v>1323</v>
      </c>
      <c r="D1357" t="s">
        <v>42</v>
      </c>
      <c r="E1357" t="s">
        <v>43</v>
      </c>
      <c r="F1357" t="s">
        <v>44</v>
      </c>
      <c r="G1357" t="s">
        <v>45</v>
      </c>
      <c r="AH1357" t="s">
        <v>42</v>
      </c>
      <c r="AI1357" t="str">
        <f>"66298837849002"</f>
        <v>66298837849002</v>
      </c>
      <c r="AJ1357" t="str">
        <f>"H2116"</f>
        <v>H2116</v>
      </c>
      <c r="AK1357" t="s">
        <v>46</v>
      </c>
      <c r="AL1357" s="1">
        <v>44816.550671296296</v>
      </c>
      <c r="AM1357" t="s">
        <v>44</v>
      </c>
    </row>
    <row r="1358" spans="1:39" x14ac:dyDescent="0.2">
      <c r="A1358" t="s">
        <v>1348</v>
      </c>
      <c r="B1358" t="s">
        <v>40</v>
      </c>
      <c r="C1358" t="s">
        <v>1323</v>
      </c>
      <c r="D1358" t="s">
        <v>42</v>
      </c>
      <c r="E1358" t="s">
        <v>43</v>
      </c>
      <c r="F1358" t="s">
        <v>44</v>
      </c>
      <c r="G1358" t="s">
        <v>45</v>
      </c>
      <c r="AH1358" t="s">
        <v>42</v>
      </c>
      <c r="AI1358" t="str">
        <f>"66298837891003"</f>
        <v>66298837891003</v>
      </c>
      <c r="AJ1358" t="str">
        <f>"3AY-H2501-V0"</f>
        <v>3AY-H2501-V0</v>
      </c>
      <c r="AK1358" t="s">
        <v>46</v>
      </c>
      <c r="AL1358" s="1">
        <v>44816.550671296296</v>
      </c>
      <c r="AM1358" t="s">
        <v>44</v>
      </c>
    </row>
    <row r="1359" spans="1:39" x14ac:dyDescent="0.2">
      <c r="A1359" t="s">
        <v>1349</v>
      </c>
      <c r="B1359" t="s">
        <v>40</v>
      </c>
      <c r="C1359" t="s">
        <v>1323</v>
      </c>
      <c r="D1359" t="s">
        <v>42</v>
      </c>
      <c r="E1359" t="s">
        <v>43</v>
      </c>
      <c r="F1359" t="s">
        <v>44</v>
      </c>
      <c r="G1359" t="s">
        <v>45</v>
      </c>
      <c r="AH1359" t="s">
        <v>42</v>
      </c>
      <c r="AI1359" t="str">
        <f>"AB001"</f>
        <v>AB001</v>
      </c>
      <c r="AJ1359" t="str">
        <f>"AB001"</f>
        <v>AB001</v>
      </c>
      <c r="AK1359" t="s">
        <v>46</v>
      </c>
      <c r="AL1359" s="1">
        <v>44858.671944444446</v>
      </c>
      <c r="AM1359" t="s">
        <v>44</v>
      </c>
    </row>
    <row r="1360" spans="1:39" x14ac:dyDescent="0.2">
      <c r="A1360" t="s">
        <v>1350</v>
      </c>
      <c r="B1360" t="s">
        <v>40</v>
      </c>
      <c r="C1360" t="s">
        <v>1323</v>
      </c>
      <c r="D1360" t="s">
        <v>42</v>
      </c>
      <c r="E1360" t="s">
        <v>43</v>
      </c>
      <c r="F1360" t="s">
        <v>44</v>
      </c>
      <c r="G1360" t="s">
        <v>45</v>
      </c>
      <c r="AH1360" t="s">
        <v>42</v>
      </c>
      <c r="AI1360" t="str">
        <f>"66298837968282"</f>
        <v>66298837968282</v>
      </c>
      <c r="AJ1360" t="str">
        <f>"400062"</f>
        <v>400062</v>
      </c>
      <c r="AK1360" t="s">
        <v>46</v>
      </c>
      <c r="AL1360" s="1">
        <v>44816.550682870373</v>
      </c>
      <c r="AM1360" t="s">
        <v>44</v>
      </c>
    </row>
    <row r="1361" spans="1:39" x14ac:dyDescent="0.2">
      <c r="A1361" t="s">
        <v>1351</v>
      </c>
      <c r="B1361" t="s">
        <v>40</v>
      </c>
      <c r="C1361" t="s">
        <v>1323</v>
      </c>
      <c r="D1361" t="s">
        <v>42</v>
      </c>
      <c r="E1361" t="s">
        <v>43</v>
      </c>
      <c r="F1361" t="s">
        <v>44</v>
      </c>
      <c r="G1361" t="s">
        <v>45</v>
      </c>
      <c r="AH1361" t="s">
        <v>42</v>
      </c>
      <c r="AI1361" t="str">
        <f>"66298837929383"</f>
        <v>66298837929383</v>
      </c>
      <c r="AJ1361" t="str">
        <f>"80804"</f>
        <v>80804</v>
      </c>
      <c r="AK1361" t="s">
        <v>46</v>
      </c>
      <c r="AL1361" s="1">
        <v>44816.550682870373</v>
      </c>
      <c r="AM1361" t="s">
        <v>44</v>
      </c>
    </row>
    <row r="1362" spans="1:39" x14ac:dyDescent="0.2">
      <c r="A1362" t="s">
        <v>1352</v>
      </c>
      <c r="B1362" t="s">
        <v>40</v>
      </c>
      <c r="C1362" t="s">
        <v>1323</v>
      </c>
      <c r="D1362" t="s">
        <v>42</v>
      </c>
      <c r="E1362" t="s">
        <v>43</v>
      </c>
      <c r="F1362" t="s">
        <v>44</v>
      </c>
      <c r="G1362" t="s">
        <v>45</v>
      </c>
      <c r="AH1362" t="s">
        <v>42</v>
      </c>
      <c r="AI1362" t="str">
        <f>"66298838071423"</f>
        <v>66298838071423</v>
      </c>
      <c r="AJ1362" t="str">
        <f>"AB014-1"</f>
        <v>AB014-1</v>
      </c>
      <c r="AK1362" t="s">
        <v>46</v>
      </c>
      <c r="AL1362" s="1">
        <v>44816.550694444442</v>
      </c>
      <c r="AM1362" t="s">
        <v>44</v>
      </c>
    </row>
    <row r="1363" spans="1:39" x14ac:dyDescent="0.2">
      <c r="A1363" t="s">
        <v>1353</v>
      </c>
      <c r="B1363" t="s">
        <v>40</v>
      </c>
      <c r="C1363" t="s">
        <v>1323</v>
      </c>
      <c r="D1363" t="s">
        <v>42</v>
      </c>
      <c r="E1363" t="s">
        <v>43</v>
      </c>
      <c r="F1363" t="s">
        <v>44</v>
      </c>
      <c r="G1363" t="s">
        <v>45</v>
      </c>
      <c r="AH1363" t="s">
        <v>42</v>
      </c>
      <c r="AI1363" t="str">
        <f>"AB021"</f>
        <v>AB021</v>
      </c>
      <c r="AJ1363" t="str">
        <f>"AB021"</f>
        <v>AB021</v>
      </c>
      <c r="AK1363" t="s">
        <v>46</v>
      </c>
      <c r="AL1363" s="1">
        <v>45089.884212962963</v>
      </c>
      <c r="AM1363" t="s">
        <v>44</v>
      </c>
    </row>
    <row r="1364" spans="1:39" x14ac:dyDescent="0.2">
      <c r="A1364" t="s">
        <v>1354</v>
      </c>
      <c r="B1364" t="s">
        <v>40</v>
      </c>
      <c r="C1364" t="s">
        <v>1323</v>
      </c>
      <c r="D1364" t="s">
        <v>42</v>
      </c>
      <c r="E1364" t="s">
        <v>43</v>
      </c>
      <c r="F1364" t="s">
        <v>44</v>
      </c>
      <c r="G1364" t="s">
        <v>45</v>
      </c>
      <c r="AH1364" t="s">
        <v>42</v>
      </c>
      <c r="AI1364" t="str">
        <f>"AB009"</f>
        <v>AB009</v>
      </c>
      <c r="AJ1364" t="str">
        <f>"AB009"</f>
        <v>AB009</v>
      </c>
      <c r="AK1364" t="s">
        <v>46</v>
      </c>
      <c r="AL1364" s="1">
        <v>44858.675497685188</v>
      </c>
      <c r="AM1364" t="s">
        <v>44</v>
      </c>
    </row>
    <row r="1365" spans="1:39" x14ac:dyDescent="0.2">
      <c r="A1365" t="s">
        <v>1355</v>
      </c>
      <c r="B1365" t="s">
        <v>40</v>
      </c>
      <c r="C1365" t="s">
        <v>1323</v>
      </c>
      <c r="D1365" t="s">
        <v>42</v>
      </c>
      <c r="E1365" t="s">
        <v>43</v>
      </c>
      <c r="F1365" t="s">
        <v>44</v>
      </c>
      <c r="G1365" t="s">
        <v>45</v>
      </c>
      <c r="AH1365" t="s">
        <v>42</v>
      </c>
      <c r="AI1365" t="str">
        <f>"AB010"</f>
        <v>AB010</v>
      </c>
      <c r="AJ1365" t="str">
        <f>"AB010"</f>
        <v>AB010</v>
      </c>
      <c r="AK1365" t="s">
        <v>46</v>
      </c>
      <c r="AL1365" s="1">
        <v>44858.673935185187</v>
      </c>
      <c r="AM1365" t="s">
        <v>44</v>
      </c>
    </row>
    <row r="1366" spans="1:39" x14ac:dyDescent="0.2">
      <c r="A1366" t="s">
        <v>1356</v>
      </c>
      <c r="B1366" t="s">
        <v>40</v>
      </c>
      <c r="C1366" t="s">
        <v>1323</v>
      </c>
      <c r="D1366" t="s">
        <v>42</v>
      </c>
      <c r="E1366" t="s">
        <v>43</v>
      </c>
      <c r="F1366" t="s">
        <v>44</v>
      </c>
      <c r="G1366" t="s">
        <v>45</v>
      </c>
      <c r="AH1366" t="s">
        <v>42</v>
      </c>
      <c r="AI1366" t="str">
        <f>"66298838108327"</f>
        <v>66298838108327</v>
      </c>
      <c r="AJ1366" t="str">
        <f>"4VP-H2501-03"</f>
        <v>4VP-H2501-03</v>
      </c>
      <c r="AK1366" t="s">
        <v>46</v>
      </c>
      <c r="AL1366" s="1">
        <v>44816.550706018519</v>
      </c>
      <c r="AM1366" t="s">
        <v>44</v>
      </c>
    </row>
    <row r="1367" spans="1:39" x14ac:dyDescent="0.2">
      <c r="A1367" t="s">
        <v>1357</v>
      </c>
      <c r="B1367" t="s">
        <v>40</v>
      </c>
      <c r="C1367" t="s">
        <v>1323</v>
      </c>
      <c r="D1367" t="s">
        <v>42</v>
      </c>
      <c r="E1367" t="s">
        <v>43</v>
      </c>
      <c r="F1367" t="s">
        <v>44</v>
      </c>
      <c r="G1367" t="s">
        <v>45</v>
      </c>
      <c r="AH1367" t="s">
        <v>42</v>
      </c>
      <c r="AI1367" t="str">
        <f>"66298838155743"</f>
        <v>66298838155743</v>
      </c>
      <c r="AJ1367" t="str">
        <f>"5S9-H2501-00"</f>
        <v>5S9-H2501-00</v>
      </c>
      <c r="AK1367" t="s">
        <v>46</v>
      </c>
      <c r="AL1367" s="1">
        <v>44816.550706018519</v>
      </c>
      <c r="AM1367" t="s">
        <v>44</v>
      </c>
    </row>
    <row r="1368" spans="1:39" x14ac:dyDescent="0.2">
      <c r="A1368" t="s">
        <v>1358</v>
      </c>
      <c r="B1368" t="s">
        <v>40</v>
      </c>
      <c r="C1368" t="s">
        <v>1359</v>
      </c>
      <c r="D1368" t="s">
        <v>42</v>
      </c>
      <c r="E1368" t="s">
        <v>43</v>
      </c>
      <c r="F1368" t="s">
        <v>44</v>
      </c>
      <c r="G1368" t="s">
        <v>45</v>
      </c>
      <c r="AH1368" t="s">
        <v>42</v>
      </c>
      <c r="AI1368" t="str">
        <f>"129012-D1"</f>
        <v>129012-D1</v>
      </c>
      <c r="AJ1368" t="str">
        <f>"129012-D1"</f>
        <v>129012-D1</v>
      </c>
      <c r="AK1368" t="s">
        <v>46</v>
      </c>
      <c r="AL1368" s="1">
        <v>44999.859155092592</v>
      </c>
      <c r="AM1368" t="s">
        <v>44</v>
      </c>
    </row>
    <row r="1369" spans="1:39" x14ac:dyDescent="0.2">
      <c r="A1369" t="s">
        <v>1360</v>
      </c>
      <c r="B1369" t="s">
        <v>40</v>
      </c>
      <c r="C1369" t="s">
        <v>1359</v>
      </c>
      <c r="D1369" t="s">
        <v>42</v>
      </c>
      <c r="E1369" t="s">
        <v>43</v>
      </c>
      <c r="F1369" t="s">
        <v>44</v>
      </c>
      <c r="G1369" t="s">
        <v>45</v>
      </c>
      <c r="AH1369" t="s">
        <v>42</v>
      </c>
      <c r="AI1369" t="str">
        <f>"66298838221359"</f>
        <v>66298838221359</v>
      </c>
      <c r="AJ1369" t="str">
        <f>"400479"</f>
        <v>400479</v>
      </c>
      <c r="AK1369" t="s">
        <v>46</v>
      </c>
      <c r="AL1369" s="1">
        <v>44816.550717592596</v>
      </c>
      <c r="AM1369" t="s">
        <v>44</v>
      </c>
    </row>
    <row r="1370" spans="1:39" x14ac:dyDescent="0.2">
      <c r="A1370" t="s">
        <v>1361</v>
      </c>
      <c r="B1370" t="s">
        <v>40</v>
      </c>
      <c r="C1370" t="s">
        <v>1359</v>
      </c>
      <c r="D1370" t="s">
        <v>42</v>
      </c>
      <c r="E1370" t="s">
        <v>43</v>
      </c>
      <c r="F1370" t="s">
        <v>44</v>
      </c>
      <c r="G1370" t="s">
        <v>45</v>
      </c>
      <c r="AH1370" t="s">
        <v>42</v>
      </c>
      <c r="AI1370" t="str">
        <f>"66298838267664"</f>
        <v>66298838267664</v>
      </c>
      <c r="AJ1370" t="str">
        <f>"400482-D"</f>
        <v>400482-D</v>
      </c>
      <c r="AK1370" t="s">
        <v>46</v>
      </c>
      <c r="AL1370" s="1">
        <v>44816.550717592596</v>
      </c>
      <c r="AM1370" t="s">
        <v>44</v>
      </c>
    </row>
    <row r="1371" spans="1:39" x14ac:dyDescent="0.2">
      <c r="A1371" t="s">
        <v>1362</v>
      </c>
      <c r="B1371" t="s">
        <v>40</v>
      </c>
      <c r="C1371" t="s">
        <v>1359</v>
      </c>
      <c r="D1371" t="s">
        <v>42</v>
      </c>
      <c r="E1371" t="s">
        <v>43</v>
      </c>
      <c r="F1371" t="s">
        <v>44</v>
      </c>
      <c r="G1371" t="s">
        <v>45</v>
      </c>
      <c r="AH1371" t="s">
        <v>42</v>
      </c>
      <c r="AI1371" t="str">
        <f>"QF015"</f>
        <v>QF015</v>
      </c>
      <c r="AJ1371" t="str">
        <f>"QF015"</f>
        <v>QF015</v>
      </c>
      <c r="AK1371" t="s">
        <v>46</v>
      </c>
      <c r="AL1371" s="1">
        <v>45089.886840277781</v>
      </c>
      <c r="AM1371" t="s">
        <v>44</v>
      </c>
    </row>
    <row r="1372" spans="1:39" x14ac:dyDescent="0.2">
      <c r="A1372" t="s">
        <v>1363</v>
      </c>
      <c r="B1372" t="s">
        <v>40</v>
      </c>
      <c r="C1372" t="s">
        <v>1359</v>
      </c>
      <c r="D1372" t="s">
        <v>42</v>
      </c>
      <c r="E1372" t="s">
        <v>43</v>
      </c>
      <c r="F1372" t="s">
        <v>44</v>
      </c>
      <c r="G1372" t="s">
        <v>45</v>
      </c>
      <c r="AH1372" t="s">
        <v>42</v>
      </c>
      <c r="AI1372" t="str">
        <f>"66298838314330"</f>
        <v>66298838314330</v>
      </c>
      <c r="AJ1372" t="str">
        <f>"82645"</f>
        <v>82645</v>
      </c>
      <c r="AK1372" t="s">
        <v>46</v>
      </c>
      <c r="AL1372" s="1">
        <v>44816.550729166665</v>
      </c>
      <c r="AM1372" t="s">
        <v>44</v>
      </c>
    </row>
    <row r="1373" spans="1:39" x14ac:dyDescent="0.2">
      <c r="A1373" t="s">
        <v>1364</v>
      </c>
      <c r="B1373" t="s">
        <v>40</v>
      </c>
      <c r="C1373" t="s">
        <v>1359</v>
      </c>
      <c r="D1373" t="s">
        <v>42</v>
      </c>
      <c r="E1373" t="s">
        <v>43</v>
      </c>
      <c r="F1373" t="s">
        <v>44</v>
      </c>
      <c r="G1373" t="s">
        <v>45</v>
      </c>
      <c r="AH1373" t="s">
        <v>42</v>
      </c>
      <c r="AI1373" t="str">
        <f>"EMHJ52102"</f>
        <v>EMHJ52102</v>
      </c>
      <c r="AJ1373" t="str">
        <f>"EMHJ52102"</f>
        <v>EMHJ52102</v>
      </c>
      <c r="AK1373" t="s">
        <v>46</v>
      </c>
      <c r="AL1373" s="1">
        <v>45119.866122685184</v>
      </c>
      <c r="AM1373" t="s">
        <v>44</v>
      </c>
    </row>
    <row r="1374" spans="1:39" x14ac:dyDescent="0.2">
      <c r="A1374" t="s">
        <v>1365</v>
      </c>
      <c r="B1374" t="s">
        <v>40</v>
      </c>
      <c r="C1374" t="s">
        <v>1359</v>
      </c>
      <c r="D1374" t="s">
        <v>42</v>
      </c>
      <c r="E1374" t="s">
        <v>43</v>
      </c>
      <c r="F1374" t="s">
        <v>44</v>
      </c>
      <c r="G1374" t="s">
        <v>45</v>
      </c>
      <c r="AH1374" t="s">
        <v>42</v>
      </c>
      <c r="AI1374" t="str">
        <f>"QF005"</f>
        <v>QF005</v>
      </c>
      <c r="AJ1374" t="str">
        <f>"QF005"</f>
        <v>QF005</v>
      </c>
      <c r="AK1374" t="s">
        <v>46</v>
      </c>
      <c r="AL1374" s="1">
        <v>45089.913391203707</v>
      </c>
      <c r="AM1374" t="s">
        <v>44</v>
      </c>
    </row>
    <row r="1375" spans="1:39" x14ac:dyDescent="0.2">
      <c r="A1375" t="s">
        <v>1366</v>
      </c>
      <c r="B1375" t="s">
        <v>40</v>
      </c>
      <c r="C1375" t="s">
        <v>1359</v>
      </c>
      <c r="D1375" t="s">
        <v>42</v>
      </c>
      <c r="E1375" t="s">
        <v>43</v>
      </c>
      <c r="F1375" t="s">
        <v>44</v>
      </c>
      <c r="G1375" t="s">
        <v>45</v>
      </c>
      <c r="AH1375" t="s">
        <v>42</v>
      </c>
      <c r="AI1375" t="str">
        <f>"66298838355635"</f>
        <v>66298838355635</v>
      </c>
      <c r="AJ1375" t="str">
        <f>"QF022-A"</f>
        <v>QF022-A</v>
      </c>
      <c r="AK1375" t="s">
        <v>46</v>
      </c>
      <c r="AL1375" s="1">
        <v>44816.550729166665</v>
      </c>
      <c r="AM1375" t="s">
        <v>44</v>
      </c>
    </row>
    <row r="1376" spans="1:39" x14ac:dyDescent="0.2">
      <c r="A1376" t="s">
        <v>1367</v>
      </c>
      <c r="B1376" t="s">
        <v>40</v>
      </c>
      <c r="C1376" t="s">
        <v>1359</v>
      </c>
      <c r="D1376" t="s">
        <v>42</v>
      </c>
      <c r="E1376" t="s">
        <v>43</v>
      </c>
      <c r="F1376" t="s">
        <v>44</v>
      </c>
      <c r="G1376" t="s">
        <v>45</v>
      </c>
      <c r="AH1376" t="s">
        <v>42</v>
      </c>
      <c r="AI1376" t="str">
        <f>"EMHJ52459"</f>
        <v>EMHJ52459</v>
      </c>
      <c r="AJ1376" t="str">
        <f>"EMHJ52459"</f>
        <v>EMHJ52459</v>
      </c>
      <c r="AK1376" t="s">
        <v>46</v>
      </c>
      <c r="AL1376" s="1">
        <v>45119.88621527778</v>
      </c>
      <c r="AM1376" t="s">
        <v>44</v>
      </c>
    </row>
    <row r="1377" spans="1:39" x14ac:dyDescent="0.2">
      <c r="A1377" t="s">
        <v>1368</v>
      </c>
      <c r="B1377" t="s">
        <v>40</v>
      </c>
      <c r="C1377" t="s">
        <v>1359</v>
      </c>
      <c r="D1377" t="s">
        <v>42</v>
      </c>
      <c r="E1377" t="s">
        <v>43</v>
      </c>
      <c r="F1377" t="s">
        <v>44</v>
      </c>
      <c r="G1377" t="s">
        <v>45</v>
      </c>
      <c r="AH1377" t="s">
        <v>42</v>
      </c>
      <c r="AI1377" t="str">
        <f>"66298838397501"</f>
        <v>66298838397501</v>
      </c>
      <c r="AJ1377" t="str">
        <f>"JL401405"</f>
        <v>JL401405</v>
      </c>
      <c r="AK1377" t="s">
        <v>46</v>
      </c>
      <c r="AL1377" s="1">
        <v>44816.550729166665</v>
      </c>
      <c r="AM1377" t="s">
        <v>44</v>
      </c>
    </row>
    <row r="1378" spans="1:39" x14ac:dyDescent="0.2">
      <c r="A1378" t="s">
        <v>1369</v>
      </c>
      <c r="B1378" t="s">
        <v>40</v>
      </c>
      <c r="C1378" t="s">
        <v>1359</v>
      </c>
      <c r="D1378" t="s">
        <v>42</v>
      </c>
      <c r="E1378" t="s">
        <v>43</v>
      </c>
      <c r="F1378" t="s">
        <v>44</v>
      </c>
      <c r="G1378" t="s">
        <v>45</v>
      </c>
      <c r="AH1378" t="s">
        <v>42</v>
      </c>
      <c r="AI1378" t="str">
        <f>"66298838440383"</f>
        <v>66298838440383</v>
      </c>
      <c r="AJ1378" t="str">
        <f>"401037"</f>
        <v>401037</v>
      </c>
      <c r="AK1378" t="s">
        <v>46</v>
      </c>
      <c r="AL1378" s="1">
        <v>44816.550740740742</v>
      </c>
      <c r="AM1378" t="s">
        <v>44</v>
      </c>
    </row>
    <row r="1379" spans="1:39" x14ac:dyDescent="0.2">
      <c r="A1379" t="s">
        <v>1370</v>
      </c>
      <c r="B1379" t="s">
        <v>40</v>
      </c>
      <c r="C1379" t="s">
        <v>1359</v>
      </c>
      <c r="D1379" t="s">
        <v>42</v>
      </c>
      <c r="E1379" t="s">
        <v>43</v>
      </c>
      <c r="F1379" t="s">
        <v>44</v>
      </c>
      <c r="G1379" t="s">
        <v>45</v>
      </c>
      <c r="AH1379" t="s">
        <v>42</v>
      </c>
      <c r="AI1379" t="str">
        <f>"83183"</f>
        <v>83183</v>
      </c>
      <c r="AJ1379" t="str">
        <f>"83183"</f>
        <v>83183</v>
      </c>
      <c r="AK1379" t="s">
        <v>46</v>
      </c>
      <c r="AL1379" s="1">
        <v>44935.654062499998</v>
      </c>
      <c r="AM1379" t="s">
        <v>44</v>
      </c>
    </row>
    <row r="1380" spans="1:39" x14ac:dyDescent="0.2">
      <c r="A1380" t="s">
        <v>1371</v>
      </c>
      <c r="B1380" t="s">
        <v>40</v>
      </c>
      <c r="C1380" t="s">
        <v>1323</v>
      </c>
      <c r="D1380" t="s">
        <v>42</v>
      </c>
      <c r="E1380" t="s">
        <v>43</v>
      </c>
      <c r="F1380" t="s">
        <v>44</v>
      </c>
      <c r="G1380" t="s">
        <v>45</v>
      </c>
      <c r="AH1380" t="s">
        <v>42</v>
      </c>
      <c r="AI1380" t="str">
        <f>"QF007"</f>
        <v>QF007</v>
      </c>
      <c r="AJ1380" t="str">
        <f>"QF007"</f>
        <v>QF007</v>
      </c>
      <c r="AK1380" t="s">
        <v>46</v>
      </c>
      <c r="AL1380" s="1">
        <v>45089.887314814812</v>
      </c>
      <c r="AM1380" t="s">
        <v>44</v>
      </c>
    </row>
    <row r="1381" spans="1:39" x14ac:dyDescent="0.2">
      <c r="A1381" t="s">
        <v>1372</v>
      </c>
      <c r="B1381" t="s">
        <v>40</v>
      </c>
      <c r="C1381" t="s">
        <v>1359</v>
      </c>
      <c r="D1381" t="s">
        <v>42</v>
      </c>
      <c r="E1381" t="s">
        <v>43</v>
      </c>
      <c r="F1381" t="s">
        <v>44</v>
      </c>
      <c r="G1381" t="s">
        <v>45</v>
      </c>
      <c r="AH1381" t="s">
        <v>42</v>
      </c>
      <c r="AI1381" t="str">
        <f>"104012-D1"</f>
        <v>104012-D1</v>
      </c>
      <c r="AJ1381" t="str">
        <f>"104012-D1"</f>
        <v>104012-D1</v>
      </c>
      <c r="AK1381" t="s">
        <v>46</v>
      </c>
      <c r="AL1381" s="1">
        <v>44999.839733796296</v>
      </c>
      <c r="AM1381" t="s">
        <v>44</v>
      </c>
    </row>
    <row r="1382" spans="1:39" x14ac:dyDescent="0.2">
      <c r="A1382" t="s">
        <v>1372</v>
      </c>
      <c r="B1382" t="s">
        <v>40</v>
      </c>
      <c r="C1382" t="s">
        <v>1359</v>
      </c>
      <c r="D1382" t="s">
        <v>42</v>
      </c>
      <c r="E1382" t="s">
        <v>43</v>
      </c>
      <c r="F1382" t="s">
        <v>44</v>
      </c>
      <c r="G1382" t="s">
        <v>45</v>
      </c>
      <c r="AH1382" t="s">
        <v>42</v>
      </c>
      <c r="AI1382" t="str">
        <f>"104012-D2"</f>
        <v>104012-D2</v>
      </c>
      <c r="AJ1382" t="str">
        <f>"104012-D2"</f>
        <v>104012-D2</v>
      </c>
      <c r="AK1382" t="s">
        <v>46</v>
      </c>
      <c r="AL1382" s="1">
        <v>44999.85732638889</v>
      </c>
      <c r="AM1382" t="s">
        <v>44</v>
      </c>
    </row>
    <row r="1383" spans="1:39" x14ac:dyDescent="0.2">
      <c r="A1383" t="s">
        <v>1372</v>
      </c>
      <c r="B1383" t="s">
        <v>40</v>
      </c>
      <c r="C1383" t="s">
        <v>1359</v>
      </c>
      <c r="D1383" t="s">
        <v>42</v>
      </c>
      <c r="E1383" t="s">
        <v>43</v>
      </c>
      <c r="F1383" t="s">
        <v>44</v>
      </c>
      <c r="G1383" t="s">
        <v>45</v>
      </c>
      <c r="AH1383" t="s">
        <v>42</v>
      </c>
      <c r="AI1383" t="str">
        <f>"QF001"</f>
        <v>QF001</v>
      </c>
      <c r="AJ1383" t="str">
        <f>"QF001"</f>
        <v>QF001</v>
      </c>
      <c r="AK1383" t="s">
        <v>46</v>
      </c>
      <c r="AL1383" s="1">
        <v>45089.914120370369</v>
      </c>
      <c r="AM1383" t="s">
        <v>44</v>
      </c>
    </row>
    <row r="1384" spans="1:39" x14ac:dyDescent="0.2">
      <c r="A1384" t="s">
        <v>1372</v>
      </c>
      <c r="B1384" t="s">
        <v>40</v>
      </c>
      <c r="C1384" t="s">
        <v>1359</v>
      </c>
      <c r="D1384" t="s">
        <v>42</v>
      </c>
      <c r="E1384" t="s">
        <v>43</v>
      </c>
      <c r="F1384" t="s">
        <v>44</v>
      </c>
      <c r="G1384" t="s">
        <v>45</v>
      </c>
      <c r="AH1384" t="s">
        <v>42</v>
      </c>
      <c r="AI1384" t="str">
        <f>"QF003"</f>
        <v>QF003</v>
      </c>
      <c r="AJ1384" t="str">
        <f>"QF003"</f>
        <v>QF003</v>
      </c>
      <c r="AK1384" t="s">
        <v>46</v>
      </c>
      <c r="AL1384" s="1">
        <v>45089.917037037034</v>
      </c>
      <c r="AM1384" t="s">
        <v>44</v>
      </c>
    </row>
    <row r="1385" spans="1:39" x14ac:dyDescent="0.2">
      <c r="A1385" t="s">
        <v>1373</v>
      </c>
      <c r="B1385" t="s">
        <v>40</v>
      </c>
      <c r="C1385" t="s">
        <v>1359</v>
      </c>
      <c r="D1385" t="s">
        <v>42</v>
      </c>
      <c r="E1385" t="s">
        <v>43</v>
      </c>
      <c r="F1385" t="s">
        <v>44</v>
      </c>
      <c r="G1385" t="s">
        <v>45</v>
      </c>
      <c r="AH1385" t="s">
        <v>42</v>
      </c>
      <c r="AI1385" t="str">
        <f>"66298838479165"</f>
        <v>66298838479165</v>
      </c>
      <c r="AJ1385" t="str">
        <f>"QF017"</f>
        <v>QF017</v>
      </c>
      <c r="AK1385" t="s">
        <v>46</v>
      </c>
      <c r="AL1385" s="1">
        <v>44816.550740740742</v>
      </c>
      <c r="AM1385" t="s">
        <v>44</v>
      </c>
    </row>
    <row r="1386" spans="1:39" x14ac:dyDescent="0.2">
      <c r="A1386" t="s">
        <v>1374</v>
      </c>
      <c r="B1386" t="s">
        <v>40</v>
      </c>
      <c r="C1386" t="s">
        <v>1359</v>
      </c>
      <c r="D1386" t="s">
        <v>42</v>
      </c>
      <c r="E1386" t="s">
        <v>43</v>
      </c>
      <c r="F1386" t="s">
        <v>44</v>
      </c>
      <c r="G1386" t="s">
        <v>45</v>
      </c>
      <c r="AH1386" t="s">
        <v>42</v>
      </c>
      <c r="AI1386" t="str">
        <f>"66298838520272"</f>
        <v>66298838520272</v>
      </c>
      <c r="AJ1386" t="str">
        <f>"80964"</f>
        <v>80964</v>
      </c>
      <c r="AK1386" t="s">
        <v>46</v>
      </c>
      <c r="AL1386" s="1">
        <v>44816.550752314812</v>
      </c>
      <c r="AM1386" t="s">
        <v>44</v>
      </c>
    </row>
    <row r="1387" spans="1:39" x14ac:dyDescent="0.2">
      <c r="A1387" t="s">
        <v>1375</v>
      </c>
      <c r="B1387" t="s">
        <v>40</v>
      </c>
      <c r="C1387" t="s">
        <v>1359</v>
      </c>
      <c r="D1387" t="s">
        <v>42</v>
      </c>
      <c r="E1387" t="s">
        <v>43</v>
      </c>
      <c r="F1387" t="s">
        <v>44</v>
      </c>
      <c r="G1387" t="s">
        <v>45</v>
      </c>
      <c r="AH1387" t="s">
        <v>42</v>
      </c>
      <c r="AI1387" t="str">
        <f>"66298838602825"</f>
        <v>66298838602825</v>
      </c>
      <c r="AJ1387" t="str">
        <f>"80963"</f>
        <v>80963</v>
      </c>
      <c r="AK1387" t="s">
        <v>46</v>
      </c>
      <c r="AL1387" s="1">
        <v>44816.550763888888</v>
      </c>
      <c r="AM1387" t="s">
        <v>44</v>
      </c>
    </row>
    <row r="1388" spans="1:39" x14ac:dyDescent="0.2">
      <c r="A1388" t="s">
        <v>1376</v>
      </c>
      <c r="B1388" t="s">
        <v>40</v>
      </c>
      <c r="C1388" t="s">
        <v>1359</v>
      </c>
      <c r="D1388" t="s">
        <v>42</v>
      </c>
      <c r="E1388" t="s">
        <v>43</v>
      </c>
      <c r="F1388" t="s">
        <v>44</v>
      </c>
      <c r="G1388" t="s">
        <v>45</v>
      </c>
      <c r="AH1388" t="s">
        <v>42</v>
      </c>
      <c r="AI1388" t="str">
        <f>"66298838562557"</f>
        <v>66298838562557</v>
      </c>
      <c r="AJ1388" t="str">
        <f>"80965"</f>
        <v>80965</v>
      </c>
      <c r="AK1388" t="s">
        <v>46</v>
      </c>
      <c r="AL1388" s="1">
        <v>44816.550752314812</v>
      </c>
      <c r="AM1388" t="s">
        <v>44</v>
      </c>
    </row>
    <row r="1389" spans="1:39" x14ac:dyDescent="0.2">
      <c r="A1389" t="s">
        <v>1377</v>
      </c>
      <c r="B1389" t="s">
        <v>40</v>
      </c>
      <c r="C1389" t="s">
        <v>1359</v>
      </c>
      <c r="D1389" t="s">
        <v>42</v>
      </c>
      <c r="E1389" t="s">
        <v>43</v>
      </c>
      <c r="F1389" t="s">
        <v>44</v>
      </c>
      <c r="G1389" t="s">
        <v>45</v>
      </c>
      <c r="AH1389" t="s">
        <v>42</v>
      </c>
      <c r="AI1389" t="str">
        <f>"66298838643614"</f>
        <v>66298838643614</v>
      </c>
      <c r="AJ1389" t="str">
        <f>"80853"</f>
        <v>80853</v>
      </c>
      <c r="AK1389" t="s">
        <v>46</v>
      </c>
      <c r="AL1389" s="1">
        <v>44816.550763888888</v>
      </c>
      <c r="AM1389" t="s">
        <v>44</v>
      </c>
    </row>
    <row r="1390" spans="1:39" x14ac:dyDescent="0.2">
      <c r="A1390" t="s">
        <v>1378</v>
      </c>
      <c r="B1390" t="s">
        <v>40</v>
      </c>
      <c r="C1390" t="s">
        <v>1359</v>
      </c>
      <c r="D1390" t="s">
        <v>42</v>
      </c>
      <c r="E1390" t="s">
        <v>43</v>
      </c>
      <c r="F1390" t="s">
        <v>44</v>
      </c>
      <c r="G1390" t="s">
        <v>45</v>
      </c>
      <c r="AH1390" t="s">
        <v>42</v>
      </c>
      <c r="AI1390" t="str">
        <f>"66298838683576"</f>
        <v>66298838683576</v>
      </c>
      <c r="AJ1390" t="str">
        <f>"80959"</f>
        <v>80959</v>
      </c>
      <c r="AK1390" t="s">
        <v>46</v>
      </c>
      <c r="AL1390" s="1">
        <v>44816.550763888888</v>
      </c>
      <c r="AM1390" t="s">
        <v>44</v>
      </c>
    </row>
    <row r="1391" spans="1:39" x14ac:dyDescent="0.2">
      <c r="A1391" t="s">
        <v>1379</v>
      </c>
      <c r="B1391" t="s">
        <v>40</v>
      </c>
      <c r="C1391" t="s">
        <v>1359</v>
      </c>
      <c r="D1391" t="s">
        <v>42</v>
      </c>
      <c r="E1391" t="s">
        <v>43</v>
      </c>
      <c r="F1391" t="s">
        <v>44</v>
      </c>
      <c r="G1391" t="s">
        <v>45</v>
      </c>
      <c r="AH1391" t="s">
        <v>42</v>
      </c>
      <c r="AI1391" t="str">
        <f>"66298838722454"</f>
        <v>66298838722454</v>
      </c>
      <c r="AJ1391" t="str">
        <f>"80960"</f>
        <v>80960</v>
      </c>
      <c r="AK1391" t="s">
        <v>46</v>
      </c>
      <c r="AL1391" s="1">
        <v>44816.550775462965</v>
      </c>
      <c r="AM1391" t="s">
        <v>44</v>
      </c>
    </row>
    <row r="1392" spans="1:39" x14ac:dyDescent="0.2">
      <c r="A1392" t="s">
        <v>1380</v>
      </c>
      <c r="B1392" t="s">
        <v>40</v>
      </c>
      <c r="C1392" t="s">
        <v>1359</v>
      </c>
      <c r="D1392" t="s">
        <v>42</v>
      </c>
      <c r="E1392" t="s">
        <v>43</v>
      </c>
      <c r="F1392" t="s">
        <v>44</v>
      </c>
      <c r="G1392" t="s">
        <v>45</v>
      </c>
      <c r="AH1392" t="s">
        <v>42</v>
      </c>
      <c r="AI1392" t="str">
        <f>"66298838769049"</f>
        <v>66298838769049</v>
      </c>
      <c r="AJ1392" t="str">
        <f>"80859"</f>
        <v>80859</v>
      </c>
      <c r="AK1392" t="s">
        <v>46</v>
      </c>
      <c r="AL1392" s="1">
        <v>44816.550775462965</v>
      </c>
      <c r="AM1392" t="s">
        <v>44</v>
      </c>
    </row>
    <row r="1393" spans="1:39" x14ac:dyDescent="0.2">
      <c r="A1393" t="s">
        <v>1381</v>
      </c>
      <c r="B1393" t="s">
        <v>40</v>
      </c>
      <c r="C1393" t="s">
        <v>1359</v>
      </c>
      <c r="D1393" t="s">
        <v>42</v>
      </c>
      <c r="E1393" t="s">
        <v>43</v>
      </c>
      <c r="F1393" t="s">
        <v>44</v>
      </c>
      <c r="G1393" t="s">
        <v>45</v>
      </c>
      <c r="AH1393" t="s">
        <v>42</v>
      </c>
      <c r="AI1393" t="str">
        <f>"129012-IZ1"</f>
        <v>129012-IZ1</v>
      </c>
      <c r="AJ1393" t="str">
        <f>"129012-IZ1"</f>
        <v>129012-IZ1</v>
      </c>
      <c r="AK1393" t="s">
        <v>46</v>
      </c>
      <c r="AL1393" s="1">
        <v>44999.886006944442</v>
      </c>
      <c r="AM1393" t="s">
        <v>44</v>
      </c>
    </row>
    <row r="1394" spans="1:39" x14ac:dyDescent="0.2">
      <c r="A1394" t="s">
        <v>1382</v>
      </c>
      <c r="B1394" t="s">
        <v>40</v>
      </c>
      <c r="C1394" t="s">
        <v>1359</v>
      </c>
      <c r="D1394" t="s">
        <v>42</v>
      </c>
      <c r="E1394" t="s">
        <v>43</v>
      </c>
      <c r="F1394" t="s">
        <v>44</v>
      </c>
      <c r="G1394" t="s">
        <v>45</v>
      </c>
      <c r="AH1394" t="s">
        <v>42</v>
      </c>
      <c r="AI1394" t="str">
        <f>"66298838808371"</f>
        <v>66298838808371</v>
      </c>
      <c r="AJ1394" t="str">
        <f>"400481"</f>
        <v>400481</v>
      </c>
      <c r="AK1394" t="s">
        <v>46</v>
      </c>
      <c r="AL1394" s="1">
        <v>44816.550787037035</v>
      </c>
      <c r="AM1394" t="s">
        <v>44</v>
      </c>
    </row>
    <row r="1395" spans="1:39" x14ac:dyDescent="0.2">
      <c r="A1395" t="s">
        <v>1383</v>
      </c>
      <c r="B1395" t="s">
        <v>40</v>
      </c>
      <c r="C1395" t="s">
        <v>1359</v>
      </c>
      <c r="D1395" t="s">
        <v>42</v>
      </c>
      <c r="E1395" t="s">
        <v>43</v>
      </c>
      <c r="F1395" t="s">
        <v>44</v>
      </c>
      <c r="G1395" t="s">
        <v>45</v>
      </c>
      <c r="AH1395" t="s">
        <v>42</v>
      </c>
      <c r="AI1395" t="str">
        <f>"66298838852043"</f>
        <v>66298838852043</v>
      </c>
      <c r="AJ1395" t="str">
        <f>"400482-I"</f>
        <v>400482-I</v>
      </c>
      <c r="AK1395" t="s">
        <v>46</v>
      </c>
      <c r="AL1395" s="1">
        <v>44816.550787037035</v>
      </c>
      <c r="AM1395" t="s">
        <v>44</v>
      </c>
    </row>
    <row r="1396" spans="1:39" x14ac:dyDescent="0.2">
      <c r="A1396" t="s">
        <v>1384</v>
      </c>
      <c r="B1396" t="s">
        <v>40</v>
      </c>
      <c r="C1396" t="s">
        <v>1359</v>
      </c>
      <c r="D1396" t="s">
        <v>42</v>
      </c>
      <c r="E1396" t="s">
        <v>43</v>
      </c>
      <c r="F1396" t="s">
        <v>44</v>
      </c>
      <c r="G1396" t="s">
        <v>45</v>
      </c>
      <c r="AH1396" t="s">
        <v>42</v>
      </c>
      <c r="AI1396" t="str">
        <f>"QF014"</f>
        <v>QF014</v>
      </c>
      <c r="AJ1396" t="str">
        <f>"QF014"</f>
        <v>QF014</v>
      </c>
      <c r="AK1396" t="s">
        <v>46</v>
      </c>
      <c r="AL1396" s="1">
        <v>45089.927083333336</v>
      </c>
      <c r="AM1396" t="s">
        <v>44</v>
      </c>
    </row>
    <row r="1397" spans="1:39" x14ac:dyDescent="0.2">
      <c r="A1397" t="s">
        <v>1385</v>
      </c>
      <c r="B1397" t="s">
        <v>40</v>
      </c>
      <c r="C1397" t="s">
        <v>1359</v>
      </c>
      <c r="D1397" t="s">
        <v>42</v>
      </c>
      <c r="E1397" t="s">
        <v>43</v>
      </c>
      <c r="F1397" t="s">
        <v>44</v>
      </c>
      <c r="G1397" t="s">
        <v>45</v>
      </c>
      <c r="AH1397" t="s">
        <v>42</v>
      </c>
      <c r="AI1397" t="str">
        <f>"66298838893211"</f>
        <v>66298838893211</v>
      </c>
      <c r="AJ1397" t="str">
        <f>"CHA-IZQ-GS"</f>
        <v>CHA-IZQ-GS</v>
      </c>
      <c r="AK1397" t="s">
        <v>46</v>
      </c>
      <c r="AL1397" s="1">
        <v>44816.550787037035</v>
      </c>
      <c r="AM1397" t="s">
        <v>44</v>
      </c>
    </row>
    <row r="1398" spans="1:39" x14ac:dyDescent="0.2">
      <c r="A1398" t="s">
        <v>1386</v>
      </c>
      <c r="B1398" t="s">
        <v>40</v>
      </c>
      <c r="C1398" t="s">
        <v>1359</v>
      </c>
      <c r="D1398" t="s">
        <v>42</v>
      </c>
      <c r="E1398" t="s">
        <v>43</v>
      </c>
      <c r="F1398" t="s">
        <v>44</v>
      </c>
      <c r="G1398" t="s">
        <v>45</v>
      </c>
      <c r="AH1398" t="s">
        <v>42</v>
      </c>
      <c r="AI1398" t="str">
        <f>"66298838930371"</f>
        <v>66298838930371</v>
      </c>
      <c r="AJ1398" t="str">
        <f>"82644"</f>
        <v>82644</v>
      </c>
      <c r="AK1398" t="s">
        <v>46</v>
      </c>
      <c r="AL1398" s="1">
        <v>44816.550798611112</v>
      </c>
      <c r="AM1398" t="s">
        <v>44</v>
      </c>
    </row>
    <row r="1399" spans="1:39" x14ac:dyDescent="0.2">
      <c r="A1399" t="s">
        <v>1387</v>
      </c>
      <c r="B1399" t="s">
        <v>40</v>
      </c>
      <c r="C1399" t="s">
        <v>1359</v>
      </c>
      <c r="D1399" t="s">
        <v>42</v>
      </c>
      <c r="E1399" t="s">
        <v>43</v>
      </c>
      <c r="F1399" t="s">
        <v>44</v>
      </c>
      <c r="G1399" t="s">
        <v>45</v>
      </c>
      <c r="AH1399" t="s">
        <v>42</v>
      </c>
      <c r="AI1399" t="str">
        <f>"66298838973708"</f>
        <v>66298838973708</v>
      </c>
      <c r="AJ1399" t="str">
        <f>"JL150GY3-F3-24"</f>
        <v>JL150GY3-F3-24</v>
      </c>
      <c r="AK1399" t="s">
        <v>46</v>
      </c>
      <c r="AL1399" s="1">
        <v>44816.550798611112</v>
      </c>
      <c r="AM1399" t="s">
        <v>44</v>
      </c>
    </row>
    <row r="1400" spans="1:39" x14ac:dyDescent="0.2">
      <c r="A1400" t="s">
        <v>1388</v>
      </c>
      <c r="B1400" t="s">
        <v>40</v>
      </c>
      <c r="C1400" t="s">
        <v>1359</v>
      </c>
      <c r="D1400" t="s">
        <v>42</v>
      </c>
      <c r="E1400" t="s">
        <v>43</v>
      </c>
      <c r="F1400" t="s">
        <v>44</v>
      </c>
      <c r="G1400" t="s">
        <v>45</v>
      </c>
      <c r="AH1400" t="s">
        <v>42</v>
      </c>
      <c r="AI1400" t="str">
        <f>"66298839018884"</f>
        <v>66298839018884</v>
      </c>
      <c r="AJ1400" t="str">
        <f>"JL250A-F18-4"</f>
        <v>JL250A-F18-4</v>
      </c>
      <c r="AK1400" t="s">
        <v>46</v>
      </c>
      <c r="AL1400" s="1">
        <v>44816.550810185188</v>
      </c>
      <c r="AM1400" t="s">
        <v>44</v>
      </c>
    </row>
    <row r="1401" spans="1:39" x14ac:dyDescent="0.2">
      <c r="A1401" t="s">
        <v>1389</v>
      </c>
      <c r="B1401" t="s">
        <v>40</v>
      </c>
      <c r="C1401" t="s">
        <v>1359</v>
      </c>
      <c r="D1401" t="s">
        <v>42</v>
      </c>
      <c r="E1401" t="s">
        <v>43</v>
      </c>
      <c r="F1401" t="s">
        <v>44</v>
      </c>
      <c r="G1401" t="s">
        <v>45</v>
      </c>
      <c r="AH1401" t="s">
        <v>42</v>
      </c>
      <c r="AI1401" t="str">
        <f>"66298839059487"</f>
        <v>66298839059487</v>
      </c>
      <c r="AJ1401" t="str">
        <f>"37400H2A001H000"</f>
        <v>37400H2A001H000</v>
      </c>
      <c r="AK1401" t="s">
        <v>46</v>
      </c>
      <c r="AL1401" s="1">
        <v>44816.550810185188</v>
      </c>
      <c r="AM1401" t="s">
        <v>44</v>
      </c>
    </row>
    <row r="1402" spans="1:39" x14ac:dyDescent="0.2">
      <c r="A1402" t="s">
        <v>1390</v>
      </c>
      <c r="B1402" t="s">
        <v>40</v>
      </c>
      <c r="C1402" t="s">
        <v>1359</v>
      </c>
      <c r="D1402" t="s">
        <v>42</v>
      </c>
      <c r="E1402" t="s">
        <v>43</v>
      </c>
      <c r="F1402" t="s">
        <v>44</v>
      </c>
      <c r="G1402" t="s">
        <v>45</v>
      </c>
      <c r="AH1402" t="s">
        <v>42</v>
      </c>
      <c r="AI1402" t="str">
        <f>"66298839099213"</f>
        <v>66298839099213</v>
      </c>
      <c r="AJ1402" t="str">
        <f>"37400H40100H000"</f>
        <v>37400H40100H000</v>
      </c>
      <c r="AK1402" t="s">
        <v>46</v>
      </c>
      <c r="AL1402" s="1">
        <v>44816.550810185188</v>
      </c>
      <c r="AM1402" t="s">
        <v>44</v>
      </c>
    </row>
    <row r="1403" spans="1:39" x14ac:dyDescent="0.2">
      <c r="A1403" t="s">
        <v>1391</v>
      </c>
      <c r="B1403" t="s">
        <v>40</v>
      </c>
      <c r="C1403" t="s">
        <v>1359</v>
      </c>
      <c r="D1403" t="s">
        <v>42</v>
      </c>
      <c r="E1403" t="s">
        <v>43</v>
      </c>
      <c r="F1403" t="s">
        <v>44</v>
      </c>
      <c r="G1403" t="s">
        <v>45</v>
      </c>
      <c r="AH1403" t="s">
        <v>42</v>
      </c>
      <c r="AI1403" t="str">
        <f>"66298839146136"</f>
        <v>66298839146136</v>
      </c>
      <c r="AJ1403" t="str">
        <f>"35200-MCG-771BR"</f>
        <v>35200-MCG-771BR</v>
      </c>
      <c r="AK1403" t="s">
        <v>46</v>
      </c>
      <c r="AL1403" s="1">
        <v>44816.550821759258</v>
      </c>
      <c r="AM1403" t="s">
        <v>44</v>
      </c>
    </row>
    <row r="1404" spans="1:39" x14ac:dyDescent="0.2">
      <c r="A1404" t="s">
        <v>1392</v>
      </c>
      <c r="B1404" t="s">
        <v>40</v>
      </c>
      <c r="C1404" t="s">
        <v>1359</v>
      </c>
      <c r="D1404" t="s">
        <v>42</v>
      </c>
      <c r="E1404" t="s">
        <v>43</v>
      </c>
      <c r="F1404" t="s">
        <v>44</v>
      </c>
      <c r="G1404" t="s">
        <v>45</v>
      </c>
      <c r="AH1404" t="s">
        <v>42</v>
      </c>
      <c r="AI1404" t="str">
        <f>"66298839184316"</f>
        <v>66298839184316</v>
      </c>
      <c r="AJ1404" t="str">
        <f>"80966"</f>
        <v>80966</v>
      </c>
      <c r="AK1404" t="s">
        <v>46</v>
      </c>
      <c r="AL1404" s="1">
        <v>44816.550821759258</v>
      </c>
      <c r="AM1404" t="s">
        <v>44</v>
      </c>
    </row>
    <row r="1405" spans="1:39" x14ac:dyDescent="0.2">
      <c r="A1405" t="s">
        <v>1393</v>
      </c>
      <c r="B1405" t="s">
        <v>40</v>
      </c>
      <c r="C1405" t="s">
        <v>1359</v>
      </c>
      <c r="D1405" t="s">
        <v>42</v>
      </c>
      <c r="E1405" t="s">
        <v>43</v>
      </c>
      <c r="F1405" t="s">
        <v>44</v>
      </c>
      <c r="G1405" t="s">
        <v>45</v>
      </c>
      <c r="AH1405" t="s">
        <v>42</v>
      </c>
      <c r="AI1405" t="str">
        <f>"66298839228557"</f>
        <v>66298839228557</v>
      </c>
      <c r="AJ1405" t="str">
        <f>"80863"</f>
        <v>80863</v>
      </c>
      <c r="AK1405" t="s">
        <v>46</v>
      </c>
      <c r="AL1405" s="1">
        <v>44816.550833333335</v>
      </c>
      <c r="AM1405" t="s">
        <v>44</v>
      </c>
    </row>
    <row r="1406" spans="1:39" x14ac:dyDescent="0.2">
      <c r="A1406" t="s">
        <v>1394</v>
      </c>
      <c r="B1406" t="s">
        <v>40</v>
      </c>
      <c r="C1406" t="s">
        <v>1359</v>
      </c>
      <c r="D1406" t="s">
        <v>42</v>
      </c>
      <c r="E1406" t="s">
        <v>43</v>
      </c>
      <c r="F1406" t="s">
        <v>44</v>
      </c>
      <c r="G1406" t="s">
        <v>45</v>
      </c>
      <c r="AH1406" t="s">
        <v>42</v>
      </c>
      <c r="AI1406" t="str">
        <f>"66298839267498"</f>
        <v>66298839267498</v>
      </c>
      <c r="AJ1406" t="str">
        <f>"401044"</f>
        <v>401044</v>
      </c>
      <c r="AK1406" t="s">
        <v>46</v>
      </c>
      <c r="AL1406" s="1">
        <v>44816.550833333335</v>
      </c>
      <c r="AM1406" t="s">
        <v>44</v>
      </c>
    </row>
    <row r="1407" spans="1:39" x14ac:dyDescent="0.2">
      <c r="A1407" t="s">
        <v>1395</v>
      </c>
      <c r="B1407" t="s">
        <v>40</v>
      </c>
      <c r="C1407" t="s">
        <v>1359</v>
      </c>
      <c r="D1407" t="s">
        <v>42</v>
      </c>
      <c r="E1407" t="s">
        <v>43</v>
      </c>
      <c r="F1407" t="s">
        <v>44</v>
      </c>
      <c r="G1407" t="s">
        <v>45</v>
      </c>
      <c r="AH1407" t="s">
        <v>42</v>
      </c>
      <c r="AI1407" t="str">
        <f>"QF008"</f>
        <v>QF008</v>
      </c>
      <c r="AJ1407" t="str">
        <f>"QF008"</f>
        <v>QF008</v>
      </c>
      <c r="AK1407" t="s">
        <v>46</v>
      </c>
      <c r="AL1407" s="1">
        <v>45089.925347222219</v>
      </c>
      <c r="AM1407" t="s">
        <v>44</v>
      </c>
    </row>
    <row r="1408" spans="1:39" x14ac:dyDescent="0.2">
      <c r="A1408" t="s">
        <v>1396</v>
      </c>
      <c r="B1408" t="s">
        <v>40</v>
      </c>
      <c r="C1408" t="s">
        <v>1359</v>
      </c>
      <c r="D1408" t="s">
        <v>42</v>
      </c>
      <c r="E1408" t="s">
        <v>43</v>
      </c>
      <c r="F1408" t="s">
        <v>44</v>
      </c>
      <c r="G1408" t="s">
        <v>45</v>
      </c>
      <c r="AH1408" t="s">
        <v>42</v>
      </c>
      <c r="AI1408" t="str">
        <f>"QF006"</f>
        <v>QF006</v>
      </c>
      <c r="AJ1408" t="str">
        <f>"QF006"</f>
        <v>QF006</v>
      </c>
      <c r="AK1408" t="s">
        <v>46</v>
      </c>
      <c r="AL1408" s="1">
        <v>44816.550844907404</v>
      </c>
      <c r="AM1408" t="s">
        <v>44</v>
      </c>
    </row>
    <row r="1409" spans="1:39" x14ac:dyDescent="0.2">
      <c r="A1409" t="s">
        <v>1397</v>
      </c>
      <c r="B1409" t="s">
        <v>40</v>
      </c>
      <c r="C1409" t="s">
        <v>1359</v>
      </c>
      <c r="D1409" t="s">
        <v>42</v>
      </c>
      <c r="E1409" t="s">
        <v>43</v>
      </c>
      <c r="F1409" t="s">
        <v>44</v>
      </c>
      <c r="G1409" t="s">
        <v>45</v>
      </c>
      <c r="AH1409" t="s">
        <v>42</v>
      </c>
      <c r="AI1409" t="str">
        <f>"66298839350248"</f>
        <v>66298839350248</v>
      </c>
      <c r="AJ1409" t="str">
        <f>"80856"</f>
        <v>80856</v>
      </c>
      <c r="AK1409" t="s">
        <v>46</v>
      </c>
      <c r="AL1409" s="1">
        <v>44816.550844907404</v>
      </c>
      <c r="AM1409" t="s">
        <v>44</v>
      </c>
    </row>
    <row r="1410" spans="1:39" x14ac:dyDescent="0.2">
      <c r="A1410" t="s">
        <v>1398</v>
      </c>
      <c r="B1410" t="s">
        <v>40</v>
      </c>
      <c r="C1410" t="s">
        <v>1359</v>
      </c>
      <c r="D1410" t="s">
        <v>42</v>
      </c>
      <c r="E1410" t="s">
        <v>43</v>
      </c>
      <c r="F1410" t="s">
        <v>44</v>
      </c>
      <c r="G1410" t="s">
        <v>45</v>
      </c>
      <c r="AH1410" t="s">
        <v>42</v>
      </c>
      <c r="AI1410" t="str">
        <f>"66298839391049"</f>
        <v>66298839391049</v>
      </c>
      <c r="AJ1410" t="str">
        <f>"80855"</f>
        <v>80855</v>
      </c>
      <c r="AK1410" t="s">
        <v>46</v>
      </c>
      <c r="AL1410" s="1">
        <v>44816.550844907404</v>
      </c>
      <c r="AM1410" t="s">
        <v>44</v>
      </c>
    </row>
    <row r="1411" spans="1:39" x14ac:dyDescent="0.2">
      <c r="A1411" t="s">
        <v>1399</v>
      </c>
      <c r="B1411" t="s">
        <v>40</v>
      </c>
      <c r="C1411" t="s">
        <v>1359</v>
      </c>
      <c r="D1411" t="s">
        <v>42</v>
      </c>
      <c r="E1411" t="s">
        <v>43</v>
      </c>
      <c r="F1411" t="s">
        <v>44</v>
      </c>
      <c r="G1411" t="s">
        <v>45</v>
      </c>
      <c r="AH1411" t="s">
        <v>42</v>
      </c>
      <c r="AI1411" t="str">
        <f>"66298839429114"</f>
        <v>66298839429114</v>
      </c>
      <c r="AJ1411" t="str">
        <f>"80862"</f>
        <v>80862</v>
      </c>
      <c r="AK1411" t="s">
        <v>46</v>
      </c>
      <c r="AL1411" s="1">
        <v>44816.550856481481</v>
      </c>
      <c r="AM1411" t="s">
        <v>44</v>
      </c>
    </row>
    <row r="1412" spans="1:39" x14ac:dyDescent="0.2">
      <c r="A1412" t="s">
        <v>1400</v>
      </c>
      <c r="B1412" t="s">
        <v>40</v>
      </c>
      <c r="C1412" t="s">
        <v>1359</v>
      </c>
      <c r="D1412" t="s">
        <v>42</v>
      </c>
      <c r="E1412" t="s">
        <v>43</v>
      </c>
      <c r="F1412" t="s">
        <v>44</v>
      </c>
      <c r="G1412" t="s">
        <v>45</v>
      </c>
      <c r="AH1412" t="s">
        <v>42</v>
      </c>
      <c r="AI1412" t="str">
        <f>"66298839468329"</f>
        <v>66298839468329</v>
      </c>
      <c r="AJ1412" t="str">
        <f>"JL401400"</f>
        <v>JL401400</v>
      </c>
      <c r="AK1412" t="s">
        <v>46</v>
      </c>
      <c r="AL1412" s="1">
        <v>44816.550856481481</v>
      </c>
      <c r="AM1412" t="s">
        <v>44</v>
      </c>
    </row>
    <row r="1413" spans="1:39" x14ac:dyDescent="0.2">
      <c r="A1413" t="s">
        <v>1400</v>
      </c>
      <c r="B1413" t="s">
        <v>40</v>
      </c>
      <c r="C1413" t="s">
        <v>1359</v>
      </c>
      <c r="D1413" t="s">
        <v>42</v>
      </c>
      <c r="E1413" t="s">
        <v>43</v>
      </c>
      <c r="F1413" t="s">
        <v>44</v>
      </c>
      <c r="G1413" t="s">
        <v>45</v>
      </c>
      <c r="AH1413" t="s">
        <v>42</v>
      </c>
      <c r="AI1413" t="str">
        <f>"104012-IZ1"</f>
        <v>104012-IZ1</v>
      </c>
      <c r="AJ1413" t="str">
        <f>"104012-IZ1"</f>
        <v>104012-IZ1</v>
      </c>
      <c r="AK1413" t="s">
        <v>46</v>
      </c>
      <c r="AL1413" s="1">
        <v>44999.853900462964</v>
      </c>
      <c r="AM1413" t="s">
        <v>44</v>
      </c>
    </row>
    <row r="1414" spans="1:39" x14ac:dyDescent="0.2">
      <c r="A1414" t="s">
        <v>1400</v>
      </c>
      <c r="B1414" t="s">
        <v>40</v>
      </c>
      <c r="C1414" t="s">
        <v>1359</v>
      </c>
      <c r="D1414" t="s">
        <v>42</v>
      </c>
      <c r="E1414" t="s">
        <v>43</v>
      </c>
      <c r="F1414" t="s">
        <v>44</v>
      </c>
      <c r="G1414" t="s">
        <v>45</v>
      </c>
      <c r="AH1414" t="s">
        <v>42</v>
      </c>
      <c r="AI1414" t="str">
        <f>"104012-IZ2"</f>
        <v>104012-IZ2</v>
      </c>
      <c r="AJ1414" t="str">
        <f>"104012-IZ2"</f>
        <v>104012-IZ2</v>
      </c>
      <c r="AK1414" t="s">
        <v>46</v>
      </c>
      <c r="AL1414" s="1">
        <v>44999.855474537035</v>
      </c>
      <c r="AM1414" t="s">
        <v>44</v>
      </c>
    </row>
    <row r="1415" spans="1:39" x14ac:dyDescent="0.2">
      <c r="A1415" t="s">
        <v>1400</v>
      </c>
      <c r="B1415" t="s">
        <v>40</v>
      </c>
      <c r="C1415" t="s">
        <v>1359</v>
      </c>
      <c r="D1415" t="s">
        <v>42</v>
      </c>
      <c r="E1415" t="s">
        <v>43</v>
      </c>
      <c r="F1415" t="s">
        <v>44</v>
      </c>
      <c r="G1415" t="s">
        <v>45</v>
      </c>
      <c r="AH1415" t="s">
        <v>42</v>
      </c>
      <c r="AI1415" t="str">
        <f>"QF002"</f>
        <v>QF002</v>
      </c>
      <c r="AJ1415" t="str">
        <f>"QF002"</f>
        <v>QF002</v>
      </c>
      <c r="AK1415" t="s">
        <v>46</v>
      </c>
      <c r="AL1415" s="1">
        <v>45090.946631944447</v>
      </c>
      <c r="AM1415" t="s">
        <v>44</v>
      </c>
    </row>
    <row r="1416" spans="1:39" x14ac:dyDescent="0.2">
      <c r="A1416" t="s">
        <v>1400</v>
      </c>
      <c r="B1416" t="s">
        <v>40</v>
      </c>
      <c r="C1416" t="s">
        <v>1359</v>
      </c>
      <c r="D1416" t="s">
        <v>42</v>
      </c>
      <c r="E1416" t="s">
        <v>43</v>
      </c>
      <c r="F1416" t="s">
        <v>44</v>
      </c>
      <c r="G1416" t="s">
        <v>45</v>
      </c>
      <c r="AH1416" t="s">
        <v>42</v>
      </c>
      <c r="AI1416" t="str">
        <f>"QF004"</f>
        <v>QF004</v>
      </c>
      <c r="AJ1416" t="str">
        <f>"QF004"</f>
        <v>QF004</v>
      </c>
      <c r="AK1416" t="s">
        <v>46</v>
      </c>
      <c r="AL1416" s="1">
        <v>45090.947175925925</v>
      </c>
      <c r="AM1416" t="s">
        <v>44</v>
      </c>
    </row>
    <row r="1417" spans="1:39" x14ac:dyDescent="0.2">
      <c r="A1417" t="s">
        <v>1401</v>
      </c>
      <c r="B1417" t="s">
        <v>40</v>
      </c>
      <c r="C1417" t="s">
        <v>1359</v>
      </c>
      <c r="D1417" t="s">
        <v>42</v>
      </c>
      <c r="E1417" t="s">
        <v>43</v>
      </c>
      <c r="F1417" t="s">
        <v>44</v>
      </c>
      <c r="G1417" t="s">
        <v>45</v>
      </c>
      <c r="AH1417" t="s">
        <v>42</v>
      </c>
      <c r="AI1417" t="str">
        <f>"66298839514686"</f>
        <v>66298839514686</v>
      </c>
      <c r="AJ1417" t="str">
        <f>"80968"</f>
        <v>80968</v>
      </c>
      <c r="AK1417" t="s">
        <v>46</v>
      </c>
      <c r="AL1417" s="1">
        <v>44816.550868055558</v>
      </c>
      <c r="AM1417" t="s">
        <v>44</v>
      </c>
    </row>
    <row r="1418" spans="1:39" x14ac:dyDescent="0.2">
      <c r="A1418" t="s">
        <v>1401</v>
      </c>
      <c r="B1418" t="s">
        <v>40</v>
      </c>
      <c r="C1418" t="s">
        <v>1359</v>
      </c>
      <c r="D1418" t="s">
        <v>42</v>
      </c>
      <c r="E1418" t="s">
        <v>43</v>
      </c>
      <c r="F1418" t="s">
        <v>44</v>
      </c>
      <c r="G1418" t="s">
        <v>45</v>
      </c>
      <c r="AH1418" t="s">
        <v>42</v>
      </c>
      <c r="AI1418" t="str">
        <f>"66298839520419"</f>
        <v>66298839520419</v>
      </c>
      <c r="AJ1418" t="str">
        <f>"80864"</f>
        <v>80864</v>
      </c>
      <c r="AK1418" t="s">
        <v>46</v>
      </c>
      <c r="AL1418" s="1">
        <v>44816.550868055558</v>
      </c>
      <c r="AM1418" t="s">
        <v>44</v>
      </c>
    </row>
    <row r="1419" spans="1:39" x14ac:dyDescent="0.2">
      <c r="A1419" t="s">
        <v>1402</v>
      </c>
      <c r="B1419" t="s">
        <v>40</v>
      </c>
      <c r="C1419" t="s">
        <v>1359</v>
      </c>
      <c r="D1419" t="s">
        <v>42</v>
      </c>
      <c r="E1419" t="s">
        <v>43</v>
      </c>
      <c r="F1419" t="s">
        <v>44</v>
      </c>
      <c r="G1419" t="s">
        <v>45</v>
      </c>
      <c r="AH1419" t="s">
        <v>42</v>
      </c>
      <c r="AI1419" t="str">
        <f>"66298839576695"</f>
        <v>66298839576695</v>
      </c>
      <c r="AJ1419" t="str">
        <f>"QF020"</f>
        <v>QF020</v>
      </c>
      <c r="AK1419" t="s">
        <v>46</v>
      </c>
      <c r="AL1419" s="1">
        <v>44816.550868055558</v>
      </c>
      <c r="AM1419" t="s">
        <v>44</v>
      </c>
    </row>
    <row r="1420" spans="1:39" x14ac:dyDescent="0.2">
      <c r="A1420" t="s">
        <v>1403</v>
      </c>
      <c r="B1420" t="s">
        <v>40</v>
      </c>
      <c r="C1420" t="s">
        <v>1359</v>
      </c>
      <c r="D1420" t="s">
        <v>42</v>
      </c>
      <c r="E1420" t="s">
        <v>43</v>
      </c>
      <c r="F1420" t="s">
        <v>44</v>
      </c>
      <c r="G1420" t="s">
        <v>45</v>
      </c>
      <c r="AH1420" t="s">
        <v>42</v>
      </c>
      <c r="AI1420" t="str">
        <f>"66298839616216"</f>
        <v>66298839616216</v>
      </c>
      <c r="AJ1420" t="str">
        <f>"80961"</f>
        <v>80961</v>
      </c>
      <c r="AK1420" t="s">
        <v>46</v>
      </c>
      <c r="AL1420" s="1">
        <v>44816.550879629627</v>
      </c>
      <c r="AM1420" t="s">
        <v>44</v>
      </c>
    </row>
    <row r="1421" spans="1:39" x14ac:dyDescent="0.2">
      <c r="A1421" t="s">
        <v>1404</v>
      </c>
      <c r="B1421" t="s">
        <v>40</v>
      </c>
      <c r="C1421" t="s">
        <v>1359</v>
      </c>
      <c r="D1421" t="s">
        <v>42</v>
      </c>
      <c r="E1421" t="s">
        <v>43</v>
      </c>
      <c r="F1421" t="s">
        <v>44</v>
      </c>
      <c r="G1421" t="s">
        <v>45</v>
      </c>
      <c r="AH1421" t="s">
        <v>42</v>
      </c>
      <c r="AI1421" t="str">
        <f>"66298839657215"</f>
        <v>66298839657215</v>
      </c>
      <c r="AJ1421" t="str">
        <f>"400480"</f>
        <v>400480</v>
      </c>
      <c r="AK1421" t="s">
        <v>46</v>
      </c>
      <c r="AL1421" s="1">
        <v>44816.550879629627</v>
      </c>
      <c r="AM1421" t="s">
        <v>44</v>
      </c>
    </row>
    <row r="1422" spans="1:39" x14ac:dyDescent="0.2">
      <c r="A1422" t="s">
        <v>1405</v>
      </c>
      <c r="B1422" t="s">
        <v>40</v>
      </c>
      <c r="C1422" t="s">
        <v>1359</v>
      </c>
      <c r="D1422" t="s">
        <v>42</v>
      </c>
      <c r="E1422" t="s">
        <v>43</v>
      </c>
      <c r="F1422" t="s">
        <v>44</v>
      </c>
      <c r="G1422" t="s">
        <v>45</v>
      </c>
      <c r="H1422" t="s">
        <v>1406</v>
      </c>
      <c r="AH1422" t="s">
        <v>42</v>
      </c>
      <c r="AI1422" t="str">
        <f>"QF009-DER"</f>
        <v>QF009-DER</v>
      </c>
      <c r="AJ1422" t="str">
        <f>"QF009-DER"</f>
        <v>QF009-DER</v>
      </c>
      <c r="AK1422" t="s">
        <v>46</v>
      </c>
      <c r="AL1422" s="1">
        <v>44929.669282407405</v>
      </c>
      <c r="AM1422" t="s">
        <v>44</v>
      </c>
    </row>
    <row r="1423" spans="1:39" x14ac:dyDescent="0.2">
      <c r="A1423" t="s">
        <v>1405</v>
      </c>
      <c r="B1423" t="s">
        <v>40</v>
      </c>
      <c r="C1423" t="s">
        <v>1359</v>
      </c>
      <c r="D1423" t="s">
        <v>42</v>
      </c>
      <c r="E1423" t="s">
        <v>43</v>
      </c>
      <c r="F1423" t="s">
        <v>44</v>
      </c>
      <c r="G1423" t="s">
        <v>45</v>
      </c>
      <c r="H1423" t="s">
        <v>1407</v>
      </c>
      <c r="AH1423" t="s">
        <v>42</v>
      </c>
      <c r="AI1423" t="str">
        <f>"QF009-IZQ"</f>
        <v>QF009-IZQ</v>
      </c>
      <c r="AJ1423" t="str">
        <f>"QF009-IZQ"</f>
        <v>QF009-IZQ</v>
      </c>
      <c r="AK1423" t="s">
        <v>46</v>
      </c>
      <c r="AL1423" s="1">
        <v>44929.669583333336</v>
      </c>
      <c r="AM1423" t="s">
        <v>44</v>
      </c>
    </row>
    <row r="1424" spans="1:39" x14ac:dyDescent="0.2">
      <c r="A1424" t="s">
        <v>1408</v>
      </c>
      <c r="B1424" t="s">
        <v>40</v>
      </c>
      <c r="C1424" t="s">
        <v>1359</v>
      </c>
      <c r="D1424" t="s">
        <v>42</v>
      </c>
      <c r="E1424" t="s">
        <v>43</v>
      </c>
      <c r="F1424" t="s">
        <v>44</v>
      </c>
      <c r="G1424" t="s">
        <v>45</v>
      </c>
      <c r="H1424" t="s">
        <v>1406</v>
      </c>
      <c r="AH1424" t="s">
        <v>42</v>
      </c>
      <c r="AI1424" t="str">
        <f>"QF010-DER"</f>
        <v>QF010-DER</v>
      </c>
      <c r="AJ1424" t="str">
        <f>"QF010-DER"</f>
        <v>QF010-DER</v>
      </c>
      <c r="AK1424" t="s">
        <v>46</v>
      </c>
      <c r="AL1424" s="1">
        <v>44929.670416666668</v>
      </c>
      <c r="AM1424" t="s">
        <v>44</v>
      </c>
    </row>
    <row r="1425" spans="1:39" x14ac:dyDescent="0.2">
      <c r="A1425" t="s">
        <v>1408</v>
      </c>
      <c r="B1425" t="s">
        <v>40</v>
      </c>
      <c r="C1425" t="s">
        <v>1359</v>
      </c>
      <c r="D1425" t="s">
        <v>42</v>
      </c>
      <c r="E1425" t="s">
        <v>43</v>
      </c>
      <c r="F1425" t="s">
        <v>44</v>
      </c>
      <c r="G1425" t="s">
        <v>45</v>
      </c>
      <c r="H1425" t="s">
        <v>1407</v>
      </c>
      <c r="AH1425" t="s">
        <v>42</v>
      </c>
      <c r="AI1425" t="str">
        <f>"QF010-IZQ"</f>
        <v>QF010-IZQ</v>
      </c>
      <c r="AJ1425" t="str">
        <f>"QF010-IZQ"</f>
        <v>QF010-IZQ</v>
      </c>
      <c r="AK1425" t="s">
        <v>46</v>
      </c>
      <c r="AL1425" s="1">
        <v>44929.670613425929</v>
      </c>
      <c r="AM1425" t="s">
        <v>44</v>
      </c>
    </row>
    <row r="1426" spans="1:39" x14ac:dyDescent="0.2">
      <c r="A1426" t="s">
        <v>1409</v>
      </c>
      <c r="B1426" t="s">
        <v>40</v>
      </c>
      <c r="C1426" t="s">
        <v>1359</v>
      </c>
      <c r="D1426" t="s">
        <v>42</v>
      </c>
      <c r="E1426" t="s">
        <v>43</v>
      </c>
      <c r="F1426" t="s">
        <v>44</v>
      </c>
      <c r="G1426" t="s">
        <v>45</v>
      </c>
      <c r="AH1426" t="s">
        <v>42</v>
      </c>
      <c r="AI1426" t="str">
        <f>"66298839699038"</f>
        <v>66298839699038</v>
      </c>
      <c r="AJ1426" t="str">
        <f>"QG010"</f>
        <v>QG010</v>
      </c>
      <c r="AK1426" t="s">
        <v>46</v>
      </c>
      <c r="AL1426" s="1">
        <v>44816.550879629627</v>
      </c>
      <c r="AM1426" t="s">
        <v>44</v>
      </c>
    </row>
    <row r="1427" spans="1:39" x14ac:dyDescent="0.2">
      <c r="A1427" t="s">
        <v>1410</v>
      </c>
      <c r="B1427" t="s">
        <v>40</v>
      </c>
      <c r="C1427" t="s">
        <v>1411</v>
      </c>
      <c r="D1427" t="s">
        <v>42</v>
      </c>
      <c r="E1427" t="s">
        <v>43</v>
      </c>
      <c r="F1427" t="s">
        <v>44</v>
      </c>
      <c r="G1427" t="s">
        <v>45</v>
      </c>
      <c r="AH1427" t="s">
        <v>42</v>
      </c>
      <c r="AI1427" t="str">
        <f>"31800-15501JP"</f>
        <v>31800-15501JP</v>
      </c>
      <c r="AJ1427" t="str">
        <f>"31800-15501JP"</f>
        <v>31800-15501JP</v>
      </c>
      <c r="AK1427" t="s">
        <v>46</v>
      </c>
      <c r="AL1427" s="1">
        <v>44898.646145833336</v>
      </c>
      <c r="AM1427" t="s">
        <v>44</v>
      </c>
    </row>
    <row r="1428" spans="1:39" x14ac:dyDescent="0.2">
      <c r="A1428" t="s">
        <v>1412</v>
      </c>
      <c r="B1428" t="s">
        <v>40</v>
      </c>
      <c r="C1428" t="s">
        <v>1411</v>
      </c>
      <c r="D1428" t="s">
        <v>42</v>
      </c>
      <c r="E1428" t="s">
        <v>43</v>
      </c>
      <c r="F1428" t="s">
        <v>44</v>
      </c>
      <c r="G1428" t="s">
        <v>45</v>
      </c>
      <c r="AH1428" t="s">
        <v>42</v>
      </c>
      <c r="AI1428" t="str">
        <f>"VC011"</f>
        <v>VC011</v>
      </c>
      <c r="AJ1428" t="str">
        <f>"VC011"</f>
        <v>VC011</v>
      </c>
      <c r="AK1428" t="s">
        <v>46</v>
      </c>
      <c r="AL1428" s="1">
        <v>44858.731782407405</v>
      </c>
      <c r="AM1428" t="s">
        <v>44</v>
      </c>
    </row>
    <row r="1429" spans="1:39" x14ac:dyDescent="0.2">
      <c r="A1429" t="s">
        <v>1413</v>
      </c>
      <c r="B1429" t="s">
        <v>40</v>
      </c>
      <c r="C1429" t="s">
        <v>1411</v>
      </c>
      <c r="D1429" t="s">
        <v>42</v>
      </c>
      <c r="E1429" t="s">
        <v>43</v>
      </c>
      <c r="F1429" t="s">
        <v>44</v>
      </c>
      <c r="G1429" t="s">
        <v>45</v>
      </c>
      <c r="AH1429" t="s">
        <v>42</v>
      </c>
      <c r="AI1429" t="str">
        <f>"VC001"</f>
        <v>VC001</v>
      </c>
      <c r="AJ1429" t="str">
        <f>"VC001"</f>
        <v>VC001</v>
      </c>
      <c r="AK1429" t="s">
        <v>46</v>
      </c>
      <c r="AL1429" s="1">
        <v>44858.732627314814</v>
      </c>
      <c r="AM1429" t="s">
        <v>44</v>
      </c>
    </row>
    <row r="1430" spans="1:39" x14ac:dyDescent="0.2">
      <c r="A1430" t="s">
        <v>1414</v>
      </c>
      <c r="B1430" t="s">
        <v>40</v>
      </c>
      <c r="C1430" t="s">
        <v>1411</v>
      </c>
      <c r="D1430" t="s">
        <v>42</v>
      </c>
      <c r="E1430" t="s">
        <v>43</v>
      </c>
      <c r="F1430" t="s">
        <v>44</v>
      </c>
      <c r="G1430" t="s">
        <v>45</v>
      </c>
      <c r="AH1430" t="s">
        <v>42</v>
      </c>
      <c r="AI1430" t="str">
        <f>"VC007"</f>
        <v>VC007</v>
      </c>
      <c r="AJ1430" t="str">
        <f>"VC007"</f>
        <v>VC007</v>
      </c>
      <c r="AK1430" t="s">
        <v>46</v>
      </c>
      <c r="AL1430" s="1">
        <v>45099.639884259261</v>
      </c>
      <c r="AM1430" t="s">
        <v>44</v>
      </c>
    </row>
    <row r="1431" spans="1:39" x14ac:dyDescent="0.2">
      <c r="A1431" t="s">
        <v>1415</v>
      </c>
      <c r="B1431" t="s">
        <v>40</v>
      </c>
      <c r="C1431" t="s">
        <v>1411</v>
      </c>
      <c r="D1431" t="s">
        <v>42</v>
      </c>
      <c r="E1431" t="s">
        <v>43</v>
      </c>
      <c r="F1431" t="s">
        <v>44</v>
      </c>
      <c r="G1431" t="s">
        <v>45</v>
      </c>
      <c r="AH1431" t="s">
        <v>42</v>
      </c>
      <c r="AI1431" t="str">
        <f>"66298839735530"</f>
        <v>66298839735530</v>
      </c>
      <c r="AJ1431" t="str">
        <f>"83180"</f>
        <v>83180</v>
      </c>
      <c r="AK1431" t="s">
        <v>46</v>
      </c>
      <c r="AL1431" s="1">
        <v>44816.550891203704</v>
      </c>
      <c r="AM1431" t="s">
        <v>44</v>
      </c>
    </row>
    <row r="1432" spans="1:39" x14ac:dyDescent="0.2">
      <c r="A1432" t="s">
        <v>1416</v>
      </c>
      <c r="B1432" t="s">
        <v>40</v>
      </c>
      <c r="C1432" t="s">
        <v>1411</v>
      </c>
      <c r="D1432" t="s">
        <v>42</v>
      </c>
      <c r="E1432" t="s">
        <v>43</v>
      </c>
      <c r="F1432" t="s">
        <v>44</v>
      </c>
      <c r="G1432" t="s">
        <v>45</v>
      </c>
      <c r="AH1432" t="s">
        <v>42</v>
      </c>
      <c r="AI1432" t="str">
        <f>"CHA-UNIV"</f>
        <v>CHA-UNIV</v>
      </c>
      <c r="AJ1432" t="str">
        <f>"CHA-UNIV"</f>
        <v>CHA-UNIV</v>
      </c>
      <c r="AK1432" t="s">
        <v>46</v>
      </c>
      <c r="AL1432" s="1">
        <v>45133.850266203706</v>
      </c>
      <c r="AM1432" t="s">
        <v>44</v>
      </c>
    </row>
    <row r="1433" spans="1:39" x14ac:dyDescent="0.2">
      <c r="A1433" t="s">
        <v>1417</v>
      </c>
      <c r="B1433" t="s">
        <v>40</v>
      </c>
      <c r="C1433" t="s">
        <v>1411</v>
      </c>
      <c r="D1433" t="s">
        <v>42</v>
      </c>
      <c r="E1433" t="s">
        <v>43</v>
      </c>
      <c r="F1433" t="s">
        <v>44</v>
      </c>
      <c r="G1433" t="s">
        <v>45</v>
      </c>
      <c r="AH1433" t="s">
        <v>42</v>
      </c>
      <c r="AI1433" t="str">
        <f>"2518"</f>
        <v>2518</v>
      </c>
      <c r="AJ1433" t="str">
        <f>"2518"</f>
        <v>2518</v>
      </c>
      <c r="AK1433" t="s">
        <v>46</v>
      </c>
      <c r="AL1433" s="1">
        <v>45070.879548611112</v>
      </c>
      <c r="AM1433" t="s">
        <v>44</v>
      </c>
    </row>
    <row r="1434" spans="1:39" x14ac:dyDescent="0.2">
      <c r="A1434" t="s">
        <v>1418</v>
      </c>
      <c r="B1434" t="s">
        <v>40</v>
      </c>
      <c r="C1434" t="s">
        <v>1411</v>
      </c>
      <c r="D1434" t="s">
        <v>42</v>
      </c>
      <c r="E1434" t="s">
        <v>43</v>
      </c>
      <c r="F1434" t="s">
        <v>44</v>
      </c>
      <c r="G1434" t="s">
        <v>45</v>
      </c>
      <c r="AH1434" t="s">
        <v>42</v>
      </c>
      <c r="AI1434" t="str">
        <f>"66298839778166"</f>
        <v>66298839778166</v>
      </c>
      <c r="AJ1434" t="str">
        <f>"400071"</f>
        <v>400071</v>
      </c>
      <c r="AK1434" t="s">
        <v>46</v>
      </c>
      <c r="AL1434" s="1">
        <v>44816.550891203704</v>
      </c>
      <c r="AM1434" t="s">
        <v>44</v>
      </c>
    </row>
    <row r="1435" spans="1:39" x14ac:dyDescent="0.2">
      <c r="A1435" t="s">
        <v>1419</v>
      </c>
      <c r="B1435" t="s">
        <v>40</v>
      </c>
      <c r="C1435" t="s">
        <v>1411</v>
      </c>
      <c r="D1435" t="s">
        <v>42</v>
      </c>
      <c r="E1435" t="s">
        <v>43</v>
      </c>
      <c r="F1435" t="s">
        <v>44</v>
      </c>
      <c r="G1435" t="s">
        <v>45</v>
      </c>
      <c r="AH1435" t="s">
        <v>42</v>
      </c>
      <c r="AI1435" t="str">
        <f>"66298839822072"</f>
        <v>66298839822072</v>
      </c>
      <c r="AJ1435" t="str">
        <f>"400144"</f>
        <v>400144</v>
      </c>
      <c r="AK1435" t="s">
        <v>46</v>
      </c>
      <c r="AL1435" s="1">
        <v>44816.550902777781</v>
      </c>
      <c r="AM1435" t="s">
        <v>44</v>
      </c>
    </row>
    <row r="1436" spans="1:39" x14ac:dyDescent="0.2">
      <c r="A1436" t="s">
        <v>1420</v>
      </c>
      <c r="B1436" t="s">
        <v>40</v>
      </c>
      <c r="C1436" t="s">
        <v>1411</v>
      </c>
      <c r="D1436" t="s">
        <v>42</v>
      </c>
      <c r="E1436" t="s">
        <v>43</v>
      </c>
      <c r="F1436" t="s">
        <v>44</v>
      </c>
      <c r="G1436" t="s">
        <v>45</v>
      </c>
      <c r="AH1436" t="s">
        <v>42</v>
      </c>
      <c r="AI1436" t="str">
        <f>"66298839862328"</f>
        <v>66298839862328</v>
      </c>
      <c r="AJ1436" t="str">
        <f>"AP-2010-29HB"</f>
        <v>AP-2010-29HB</v>
      </c>
      <c r="AK1436" t="s">
        <v>46</v>
      </c>
      <c r="AL1436" s="1">
        <v>44816.550902777781</v>
      </c>
      <c r="AM1436" t="s">
        <v>44</v>
      </c>
    </row>
    <row r="1437" spans="1:39" x14ac:dyDescent="0.2">
      <c r="A1437" t="s">
        <v>1421</v>
      </c>
      <c r="B1437" t="s">
        <v>40</v>
      </c>
      <c r="C1437" t="s">
        <v>1411</v>
      </c>
      <c r="D1437" t="s">
        <v>42</v>
      </c>
      <c r="E1437" t="s">
        <v>43</v>
      </c>
      <c r="F1437" t="s">
        <v>44</v>
      </c>
      <c r="G1437" t="s">
        <v>45</v>
      </c>
      <c r="AH1437" t="s">
        <v>42</v>
      </c>
      <c r="AI1437" t="str">
        <f>"1052-S"</f>
        <v>1052-S</v>
      </c>
      <c r="AJ1437" t="str">
        <f>"1052-S"</f>
        <v>1052-S</v>
      </c>
      <c r="AK1437" t="s">
        <v>46</v>
      </c>
      <c r="AL1437" s="1">
        <v>45154.925983796296</v>
      </c>
      <c r="AM1437" t="s">
        <v>44</v>
      </c>
    </row>
    <row r="1438" spans="1:39" x14ac:dyDescent="0.2">
      <c r="A1438" t="s">
        <v>1422</v>
      </c>
      <c r="B1438" t="s">
        <v>40</v>
      </c>
      <c r="C1438" t="s">
        <v>1411</v>
      </c>
      <c r="D1438" t="s">
        <v>42</v>
      </c>
      <c r="E1438" t="s">
        <v>43</v>
      </c>
      <c r="F1438" t="s">
        <v>44</v>
      </c>
      <c r="G1438" t="s">
        <v>45</v>
      </c>
      <c r="AH1438" t="s">
        <v>42</v>
      </c>
      <c r="AI1438" t="str">
        <f>"66298839903308"</f>
        <v>66298839903308</v>
      </c>
      <c r="AJ1438" t="str">
        <f>"80367"</f>
        <v>80367</v>
      </c>
      <c r="AK1438" t="s">
        <v>46</v>
      </c>
      <c r="AL1438" s="1">
        <v>44816.55091435185</v>
      </c>
      <c r="AM1438" t="s">
        <v>44</v>
      </c>
    </row>
    <row r="1439" spans="1:39" x14ac:dyDescent="0.2">
      <c r="A1439" t="s">
        <v>1422</v>
      </c>
      <c r="B1439" t="s">
        <v>40</v>
      </c>
      <c r="C1439" t="s">
        <v>1411</v>
      </c>
      <c r="D1439" t="s">
        <v>42</v>
      </c>
      <c r="E1439" t="s">
        <v>43</v>
      </c>
      <c r="F1439" t="s">
        <v>44</v>
      </c>
      <c r="G1439" t="s">
        <v>45</v>
      </c>
      <c r="AH1439" t="s">
        <v>42</v>
      </c>
      <c r="AI1439" t="str">
        <f>"VC006"</f>
        <v>VC006</v>
      </c>
      <c r="AJ1439" t="str">
        <f>"VC006"</f>
        <v>VC006</v>
      </c>
      <c r="AK1439" t="s">
        <v>46</v>
      </c>
      <c r="AL1439" s="1">
        <v>44816.55091435185</v>
      </c>
      <c r="AM1439" t="s">
        <v>44</v>
      </c>
    </row>
    <row r="1440" spans="1:39" x14ac:dyDescent="0.2">
      <c r="A1440" t="s">
        <v>1423</v>
      </c>
      <c r="B1440" t="s">
        <v>40</v>
      </c>
      <c r="C1440" t="s">
        <v>1323</v>
      </c>
      <c r="D1440" t="s">
        <v>42</v>
      </c>
      <c r="E1440" t="s">
        <v>43</v>
      </c>
      <c r="F1440" t="s">
        <v>44</v>
      </c>
      <c r="G1440" t="s">
        <v>45</v>
      </c>
      <c r="AH1440" t="s">
        <v>42</v>
      </c>
      <c r="AI1440" t="str">
        <f>"49CC27"</f>
        <v>49CC27</v>
      </c>
      <c r="AJ1440" t="str">
        <f>"49CC27"</f>
        <v>49CC27</v>
      </c>
      <c r="AK1440" t="s">
        <v>46</v>
      </c>
      <c r="AL1440" s="1">
        <v>44946.866412037038</v>
      </c>
      <c r="AM1440" t="s">
        <v>44</v>
      </c>
    </row>
    <row r="1441" spans="1:39" x14ac:dyDescent="0.2">
      <c r="A1441" t="s">
        <v>1424</v>
      </c>
      <c r="B1441" t="s">
        <v>40</v>
      </c>
      <c r="C1441" t="s">
        <v>1323</v>
      </c>
      <c r="D1441" t="s">
        <v>42</v>
      </c>
      <c r="E1441" t="s">
        <v>43</v>
      </c>
      <c r="F1441" t="s">
        <v>44</v>
      </c>
      <c r="G1441" t="s">
        <v>45</v>
      </c>
      <c r="AH1441" t="s">
        <v>42</v>
      </c>
      <c r="AI1441" t="str">
        <f>"66298839985467"</f>
        <v>66298839985467</v>
      </c>
      <c r="AJ1441" t="str">
        <f>"11717"</f>
        <v>11717</v>
      </c>
      <c r="AK1441" t="s">
        <v>46</v>
      </c>
      <c r="AL1441" s="1">
        <v>44816.55091435185</v>
      </c>
      <c r="AM1441" t="s">
        <v>44</v>
      </c>
    </row>
    <row r="1442" spans="1:39" x14ac:dyDescent="0.2">
      <c r="A1442" t="s">
        <v>1425</v>
      </c>
      <c r="B1442" t="s">
        <v>40</v>
      </c>
      <c r="C1442" t="s">
        <v>1323</v>
      </c>
      <c r="D1442" t="s">
        <v>42</v>
      </c>
      <c r="E1442" t="s">
        <v>43</v>
      </c>
      <c r="F1442" t="s">
        <v>44</v>
      </c>
      <c r="G1442" t="s">
        <v>45</v>
      </c>
      <c r="AH1442" t="s">
        <v>42</v>
      </c>
      <c r="AI1442" t="str">
        <f>"AC007"</f>
        <v>AC007</v>
      </c>
      <c r="AJ1442" t="str">
        <f>"AC007"</f>
        <v>AC007</v>
      </c>
      <c r="AK1442" t="s">
        <v>46</v>
      </c>
      <c r="AL1442" s="1">
        <v>44890.616122685184</v>
      </c>
      <c r="AM1442" t="s">
        <v>44</v>
      </c>
    </row>
    <row r="1443" spans="1:39" x14ac:dyDescent="0.2">
      <c r="A1443" t="s">
        <v>1426</v>
      </c>
      <c r="B1443" t="s">
        <v>40</v>
      </c>
      <c r="C1443" t="s">
        <v>1323</v>
      </c>
      <c r="D1443" t="s">
        <v>42</v>
      </c>
      <c r="E1443" t="s">
        <v>43</v>
      </c>
      <c r="F1443" t="s">
        <v>44</v>
      </c>
      <c r="G1443" t="s">
        <v>45</v>
      </c>
      <c r="AH1443" t="s">
        <v>42</v>
      </c>
      <c r="AI1443" t="str">
        <f>"AC004"</f>
        <v>AC004</v>
      </c>
      <c r="AJ1443" t="str">
        <f>"AC004"</f>
        <v>AC004</v>
      </c>
      <c r="AK1443" t="s">
        <v>46</v>
      </c>
      <c r="AL1443" s="1">
        <v>44890.614722222221</v>
      </c>
      <c r="AM1443" t="s">
        <v>44</v>
      </c>
    </row>
    <row r="1444" spans="1:39" x14ac:dyDescent="0.2">
      <c r="A1444" t="s">
        <v>1427</v>
      </c>
      <c r="B1444" t="s">
        <v>40</v>
      </c>
      <c r="C1444" t="s">
        <v>1323</v>
      </c>
      <c r="D1444" t="s">
        <v>42</v>
      </c>
      <c r="E1444" t="s">
        <v>43</v>
      </c>
      <c r="F1444" t="s">
        <v>44</v>
      </c>
      <c r="G1444" t="s">
        <v>45</v>
      </c>
      <c r="AH1444" t="s">
        <v>42</v>
      </c>
      <c r="AI1444" t="str">
        <f>"66298840028405"</f>
        <v>66298840028405</v>
      </c>
      <c r="AJ1444" t="str">
        <f>"M109"</f>
        <v>M109</v>
      </c>
      <c r="AK1444" t="s">
        <v>46</v>
      </c>
      <c r="AL1444" s="1">
        <v>44816.550925925927</v>
      </c>
      <c r="AM1444" t="s">
        <v>44</v>
      </c>
    </row>
    <row r="1445" spans="1:39" x14ac:dyDescent="0.2">
      <c r="A1445" t="s">
        <v>1428</v>
      </c>
      <c r="B1445" t="s">
        <v>40</v>
      </c>
      <c r="C1445" t="s">
        <v>1323</v>
      </c>
      <c r="D1445" t="s">
        <v>42</v>
      </c>
      <c r="E1445" t="s">
        <v>43</v>
      </c>
      <c r="F1445" t="s">
        <v>44</v>
      </c>
      <c r="G1445" t="s">
        <v>45</v>
      </c>
      <c r="AH1445" t="s">
        <v>42</v>
      </c>
      <c r="AI1445" t="str">
        <f>"AC011"</f>
        <v>AC011</v>
      </c>
      <c r="AJ1445" t="str">
        <f>"AC011"</f>
        <v>AC011</v>
      </c>
      <c r="AK1445" t="s">
        <v>46</v>
      </c>
      <c r="AL1445" s="1">
        <v>44890.616527777776</v>
      </c>
      <c r="AM1445" t="s">
        <v>44</v>
      </c>
    </row>
    <row r="1446" spans="1:39" x14ac:dyDescent="0.2">
      <c r="A1446" t="s">
        <v>1429</v>
      </c>
      <c r="B1446" t="s">
        <v>40</v>
      </c>
      <c r="C1446" t="s">
        <v>1323</v>
      </c>
      <c r="D1446" t="s">
        <v>42</v>
      </c>
      <c r="E1446" t="s">
        <v>43</v>
      </c>
      <c r="F1446" t="s">
        <v>44</v>
      </c>
      <c r="G1446" t="s">
        <v>45</v>
      </c>
      <c r="AH1446" t="s">
        <v>42</v>
      </c>
      <c r="AI1446" t="str">
        <f>"AB020"</f>
        <v>AB020</v>
      </c>
      <c r="AJ1446" t="str">
        <f>"AB020"</f>
        <v>AB020</v>
      </c>
      <c r="AK1446" t="s">
        <v>46</v>
      </c>
      <c r="AL1446" s="1">
        <v>44890.61509259259</v>
      </c>
      <c r="AM1446" t="s">
        <v>44</v>
      </c>
    </row>
    <row r="1447" spans="1:39" x14ac:dyDescent="0.2">
      <c r="A1447" t="s">
        <v>1430</v>
      </c>
      <c r="B1447" t="s">
        <v>40</v>
      </c>
      <c r="C1447" t="s">
        <v>1323</v>
      </c>
      <c r="D1447" t="s">
        <v>42</v>
      </c>
      <c r="E1447" t="s">
        <v>43</v>
      </c>
      <c r="F1447" t="s">
        <v>44</v>
      </c>
      <c r="G1447" t="s">
        <v>45</v>
      </c>
      <c r="AH1447" t="s">
        <v>42</v>
      </c>
      <c r="AI1447" t="str">
        <f>"66298840067193"</f>
        <v>66298840067193</v>
      </c>
      <c r="AJ1447" t="str">
        <f>"37000-34860"</f>
        <v>37000-34860</v>
      </c>
      <c r="AK1447" t="s">
        <v>46</v>
      </c>
      <c r="AL1447" s="1">
        <v>44816.550925925927</v>
      </c>
      <c r="AM1447" t="s">
        <v>44</v>
      </c>
    </row>
    <row r="1448" spans="1:39" x14ac:dyDescent="0.2">
      <c r="A1448" t="s">
        <v>1431</v>
      </c>
      <c r="B1448" t="s">
        <v>40</v>
      </c>
      <c r="C1448" t="s">
        <v>1323</v>
      </c>
      <c r="D1448" t="s">
        <v>42</v>
      </c>
      <c r="E1448" t="s">
        <v>43</v>
      </c>
      <c r="F1448" t="s">
        <v>44</v>
      </c>
      <c r="G1448" t="s">
        <v>45</v>
      </c>
      <c r="AH1448" t="s">
        <v>42</v>
      </c>
      <c r="AI1448" t="str">
        <f>"66298840105724"</f>
        <v>66298840105724</v>
      </c>
      <c r="AJ1448" t="str">
        <f>"AC003"</f>
        <v>AC003</v>
      </c>
      <c r="AK1448" t="s">
        <v>46</v>
      </c>
      <c r="AL1448" s="1">
        <v>44816.550937499997</v>
      </c>
      <c r="AM1448" t="s">
        <v>44</v>
      </c>
    </row>
    <row r="1449" spans="1:39" x14ac:dyDescent="0.2">
      <c r="A1449" t="s">
        <v>1432</v>
      </c>
      <c r="B1449" t="s">
        <v>40</v>
      </c>
      <c r="C1449" t="s">
        <v>1323</v>
      </c>
      <c r="D1449" t="s">
        <v>42</v>
      </c>
      <c r="E1449" t="s">
        <v>43</v>
      </c>
      <c r="F1449" t="s">
        <v>44</v>
      </c>
      <c r="G1449" t="s">
        <v>45</v>
      </c>
      <c r="AH1449" t="s">
        <v>42</v>
      </c>
      <c r="AI1449" t="str">
        <f>"66298840144771"</f>
        <v>66298840144771</v>
      </c>
      <c r="AJ1449" t="str">
        <f>"37011H2F00BH000"</f>
        <v>37011H2F00BH000</v>
      </c>
      <c r="AK1449" t="s">
        <v>46</v>
      </c>
      <c r="AL1449" s="1">
        <v>44816.550937499997</v>
      </c>
      <c r="AM1449" t="s">
        <v>44</v>
      </c>
    </row>
    <row r="1450" spans="1:39" x14ac:dyDescent="0.2">
      <c r="A1450" t="s">
        <v>1433</v>
      </c>
      <c r="B1450" t="s">
        <v>40</v>
      </c>
      <c r="C1450" t="s">
        <v>1323</v>
      </c>
      <c r="D1450" t="s">
        <v>42</v>
      </c>
      <c r="E1450" t="s">
        <v>43</v>
      </c>
      <c r="F1450" t="s">
        <v>44</v>
      </c>
      <c r="G1450" t="s">
        <v>45</v>
      </c>
      <c r="AH1450" t="s">
        <v>42</v>
      </c>
      <c r="AI1450" t="str">
        <f>"KT-2152KZ"</f>
        <v>KT-2152KZ</v>
      </c>
      <c r="AJ1450" t="str">
        <f>"KT-2152KZ"</f>
        <v>KT-2152KZ</v>
      </c>
      <c r="AK1450" t="s">
        <v>46</v>
      </c>
      <c r="AL1450" s="1">
        <v>44929.854664351849</v>
      </c>
      <c r="AM1450" t="s">
        <v>44</v>
      </c>
    </row>
    <row r="1451" spans="1:39" x14ac:dyDescent="0.2">
      <c r="A1451" t="s">
        <v>1434</v>
      </c>
      <c r="B1451" t="s">
        <v>40</v>
      </c>
      <c r="C1451" t="s">
        <v>1323</v>
      </c>
      <c r="D1451" t="s">
        <v>42</v>
      </c>
      <c r="E1451" t="s">
        <v>43</v>
      </c>
      <c r="F1451" t="s">
        <v>44</v>
      </c>
      <c r="G1451" t="s">
        <v>45</v>
      </c>
      <c r="AH1451" t="s">
        <v>42</v>
      </c>
      <c r="AI1451" t="str">
        <f>"AC009"</f>
        <v>AC009</v>
      </c>
      <c r="AJ1451" t="str">
        <f>"AC009"</f>
        <v>AC009</v>
      </c>
      <c r="AK1451" t="s">
        <v>46</v>
      </c>
      <c r="AL1451" s="1">
        <v>44890.617164351854</v>
      </c>
      <c r="AM1451" t="s">
        <v>44</v>
      </c>
    </row>
    <row r="1452" spans="1:39" x14ac:dyDescent="0.2">
      <c r="A1452" t="s">
        <v>1435</v>
      </c>
      <c r="B1452" t="s">
        <v>40</v>
      </c>
      <c r="C1452" t="s">
        <v>1323</v>
      </c>
      <c r="D1452" t="s">
        <v>42</v>
      </c>
      <c r="E1452" t="s">
        <v>43</v>
      </c>
      <c r="F1452" t="s">
        <v>44</v>
      </c>
      <c r="G1452" t="s">
        <v>45</v>
      </c>
      <c r="AH1452" t="s">
        <v>42</v>
      </c>
      <c r="AI1452" t="str">
        <f>"66298840222925"</f>
        <v>66298840222925</v>
      </c>
      <c r="AJ1452" t="str">
        <f>"84595"</f>
        <v>84595</v>
      </c>
      <c r="AK1452" t="s">
        <v>46</v>
      </c>
      <c r="AL1452" s="1">
        <v>44816.550949074073</v>
      </c>
      <c r="AM1452" t="s">
        <v>44</v>
      </c>
    </row>
    <row r="1453" spans="1:39" x14ac:dyDescent="0.2">
      <c r="A1453" t="s">
        <v>1436</v>
      </c>
      <c r="B1453" t="s">
        <v>40</v>
      </c>
      <c r="C1453" t="s">
        <v>1323</v>
      </c>
      <c r="D1453" t="s">
        <v>42</v>
      </c>
      <c r="E1453" t="s">
        <v>43</v>
      </c>
      <c r="F1453" t="s">
        <v>44</v>
      </c>
      <c r="G1453" t="s">
        <v>45</v>
      </c>
      <c r="AH1453" t="s">
        <v>42</v>
      </c>
      <c r="AI1453" t="str">
        <f>"66298840183132"</f>
        <v>66298840183132</v>
      </c>
      <c r="AJ1453" t="str">
        <f>"AC005"</f>
        <v>AC005</v>
      </c>
      <c r="AK1453" t="s">
        <v>46</v>
      </c>
      <c r="AL1453" s="1">
        <v>44816.550937499997</v>
      </c>
      <c r="AM1453" t="s">
        <v>44</v>
      </c>
    </row>
    <row r="1454" spans="1:39" x14ac:dyDescent="0.2">
      <c r="A1454" t="s">
        <v>1437</v>
      </c>
      <c r="B1454" t="s">
        <v>40</v>
      </c>
      <c r="C1454" t="s">
        <v>1438</v>
      </c>
      <c r="D1454" t="s">
        <v>42</v>
      </c>
      <c r="E1454" t="s">
        <v>43</v>
      </c>
      <c r="F1454" t="s">
        <v>44</v>
      </c>
      <c r="G1454" t="s">
        <v>45</v>
      </c>
      <c r="AH1454" t="s">
        <v>42</v>
      </c>
      <c r="AI1454" t="str">
        <f>"AC002"</f>
        <v>AC002</v>
      </c>
      <c r="AJ1454" t="str">
        <f>"AC002"</f>
        <v>AC002</v>
      </c>
      <c r="AK1454" t="s">
        <v>46</v>
      </c>
      <c r="AL1454" s="1">
        <v>45090.948981481481</v>
      </c>
      <c r="AM1454" t="s">
        <v>44</v>
      </c>
    </row>
    <row r="1455" spans="1:39" x14ac:dyDescent="0.2">
      <c r="A1455" t="s">
        <v>1439</v>
      </c>
      <c r="B1455" t="s">
        <v>40</v>
      </c>
      <c r="C1455" t="s">
        <v>1323</v>
      </c>
      <c r="D1455" t="s">
        <v>42</v>
      </c>
      <c r="E1455" t="s">
        <v>43</v>
      </c>
      <c r="F1455" t="s">
        <v>44</v>
      </c>
      <c r="G1455" t="s">
        <v>45</v>
      </c>
      <c r="AH1455" t="s">
        <v>42</v>
      </c>
      <c r="AI1455" t="str">
        <f>"11183"</f>
        <v>11183</v>
      </c>
      <c r="AJ1455" t="str">
        <f>"11183"</f>
        <v>11183</v>
      </c>
      <c r="AK1455" t="s">
        <v>46</v>
      </c>
      <c r="AL1455" s="1">
        <v>44951.747245370374</v>
      </c>
      <c r="AM1455" t="s">
        <v>44</v>
      </c>
    </row>
    <row r="1456" spans="1:39" x14ac:dyDescent="0.2">
      <c r="A1456" t="s">
        <v>1440</v>
      </c>
      <c r="B1456" t="s">
        <v>40</v>
      </c>
      <c r="C1456" t="s">
        <v>1323</v>
      </c>
      <c r="D1456" t="s">
        <v>42</v>
      </c>
      <c r="E1456" t="s">
        <v>43</v>
      </c>
      <c r="F1456" t="s">
        <v>44</v>
      </c>
      <c r="G1456" t="s">
        <v>45</v>
      </c>
      <c r="AH1456" t="s">
        <v>42</v>
      </c>
      <c r="AI1456" t="str">
        <f>"AC010"</f>
        <v>AC010</v>
      </c>
      <c r="AJ1456" t="str">
        <f>"AC010"</f>
        <v>AC010</v>
      </c>
      <c r="AK1456" t="s">
        <v>46</v>
      </c>
      <c r="AL1456" s="1">
        <v>44890.617511574077</v>
      </c>
      <c r="AM1456" t="s">
        <v>44</v>
      </c>
    </row>
    <row r="1457" spans="1:39" x14ac:dyDescent="0.2">
      <c r="A1457" t="s">
        <v>1441</v>
      </c>
      <c r="B1457" t="s">
        <v>40</v>
      </c>
      <c r="C1457" t="s">
        <v>1442</v>
      </c>
      <c r="D1457" t="s">
        <v>42</v>
      </c>
      <c r="E1457" t="s">
        <v>43</v>
      </c>
      <c r="F1457" t="s">
        <v>44</v>
      </c>
      <c r="G1457" t="s">
        <v>45</v>
      </c>
      <c r="AH1457" t="s">
        <v>42</v>
      </c>
      <c r="AI1457" t="str">
        <f>"66298840263719"</f>
        <v>66298840263719</v>
      </c>
      <c r="AJ1457" t="str">
        <f>"B096"</f>
        <v>B096</v>
      </c>
      <c r="AK1457" t="s">
        <v>46</v>
      </c>
      <c r="AL1457" s="1">
        <v>44816.550949074073</v>
      </c>
      <c r="AM1457" t="s">
        <v>44</v>
      </c>
    </row>
    <row r="1458" spans="1:39" x14ac:dyDescent="0.2">
      <c r="A1458" t="s">
        <v>1443</v>
      </c>
      <c r="B1458" t="s">
        <v>40</v>
      </c>
      <c r="C1458" t="s">
        <v>129</v>
      </c>
      <c r="D1458" t="s">
        <v>42</v>
      </c>
      <c r="E1458" t="s">
        <v>43</v>
      </c>
      <c r="F1458" t="s">
        <v>44</v>
      </c>
      <c r="G1458" t="s">
        <v>45</v>
      </c>
      <c r="AH1458" t="s">
        <v>42</v>
      </c>
      <c r="AI1458" t="str">
        <f>"66298840314866"</f>
        <v>66298840314866</v>
      </c>
      <c r="AJ1458" t="str">
        <f>"H221"</f>
        <v>H221</v>
      </c>
      <c r="AK1458" t="s">
        <v>46</v>
      </c>
      <c r="AL1458" s="1">
        <v>44816.55096064815</v>
      </c>
      <c r="AM1458" t="s">
        <v>44</v>
      </c>
    </row>
    <row r="1459" spans="1:39" x14ac:dyDescent="0.2">
      <c r="A1459" t="s">
        <v>1444</v>
      </c>
      <c r="B1459" t="s">
        <v>40</v>
      </c>
      <c r="C1459" t="s">
        <v>1442</v>
      </c>
      <c r="D1459" t="s">
        <v>42</v>
      </c>
      <c r="E1459" t="s">
        <v>43</v>
      </c>
      <c r="F1459" t="s">
        <v>44</v>
      </c>
      <c r="G1459" t="s">
        <v>45</v>
      </c>
      <c r="AH1459" t="s">
        <v>42</v>
      </c>
      <c r="AI1459" t="str">
        <f>"DG009"</f>
        <v>DG009</v>
      </c>
      <c r="AJ1459" t="str">
        <f>"DG009"</f>
        <v>DG009</v>
      </c>
      <c r="AK1459" t="s">
        <v>46</v>
      </c>
      <c r="AL1459" s="1">
        <v>44946.814050925925</v>
      </c>
      <c r="AM1459" t="s">
        <v>44</v>
      </c>
    </row>
    <row r="1460" spans="1:39" x14ac:dyDescent="0.2">
      <c r="A1460" t="s">
        <v>1445</v>
      </c>
      <c r="B1460" t="s">
        <v>40</v>
      </c>
      <c r="C1460" t="s">
        <v>1442</v>
      </c>
      <c r="D1460" t="s">
        <v>42</v>
      </c>
      <c r="E1460" t="s">
        <v>43</v>
      </c>
      <c r="F1460" t="s">
        <v>44</v>
      </c>
      <c r="G1460" t="s">
        <v>45</v>
      </c>
      <c r="AH1460" t="s">
        <v>42</v>
      </c>
      <c r="AI1460" t="str">
        <f>"66298840352827"</f>
        <v>66298840352827</v>
      </c>
      <c r="AJ1460" t="str">
        <f>"DG007"</f>
        <v>DG007</v>
      </c>
      <c r="AK1460" t="s">
        <v>46</v>
      </c>
      <c r="AL1460" s="1">
        <v>44816.55096064815</v>
      </c>
      <c r="AM1460" t="s">
        <v>44</v>
      </c>
    </row>
    <row r="1461" spans="1:39" x14ac:dyDescent="0.2">
      <c r="A1461" t="s">
        <v>1446</v>
      </c>
      <c r="B1461" t="s">
        <v>40</v>
      </c>
      <c r="C1461" t="s">
        <v>1442</v>
      </c>
      <c r="D1461" t="s">
        <v>42</v>
      </c>
      <c r="E1461" t="s">
        <v>43</v>
      </c>
      <c r="F1461" t="s">
        <v>44</v>
      </c>
      <c r="G1461" t="s">
        <v>45</v>
      </c>
      <c r="AH1461" t="s">
        <v>42</v>
      </c>
      <c r="AI1461" t="str">
        <f>"66298840391916"</f>
        <v>66298840391916</v>
      </c>
      <c r="AJ1461" t="str">
        <f>"83976"</f>
        <v>83976</v>
      </c>
      <c r="AK1461" t="s">
        <v>46</v>
      </c>
      <c r="AL1461" s="1">
        <v>44816.55096064815</v>
      </c>
      <c r="AM1461" t="s">
        <v>44</v>
      </c>
    </row>
    <row r="1462" spans="1:39" x14ac:dyDescent="0.2">
      <c r="A1462" t="s">
        <v>1447</v>
      </c>
      <c r="B1462" t="s">
        <v>40</v>
      </c>
      <c r="C1462" t="s">
        <v>1442</v>
      </c>
      <c r="D1462" t="s">
        <v>42</v>
      </c>
      <c r="E1462" t="s">
        <v>43</v>
      </c>
      <c r="F1462" t="s">
        <v>44</v>
      </c>
      <c r="G1462" t="s">
        <v>45</v>
      </c>
      <c r="AH1462" t="s">
        <v>42</v>
      </c>
      <c r="AI1462" t="str">
        <f>"DG011"</f>
        <v>DG011</v>
      </c>
      <c r="AJ1462" t="str">
        <f>"DG011"</f>
        <v>DG011</v>
      </c>
      <c r="AK1462" t="s">
        <v>46</v>
      </c>
      <c r="AL1462" s="1">
        <v>44946.814351851855</v>
      </c>
      <c r="AM1462" t="s">
        <v>44</v>
      </c>
    </row>
    <row r="1463" spans="1:39" x14ac:dyDescent="0.2">
      <c r="A1463" t="s">
        <v>1448</v>
      </c>
      <c r="B1463" t="s">
        <v>40</v>
      </c>
      <c r="C1463" t="s">
        <v>1442</v>
      </c>
      <c r="D1463" t="s">
        <v>42</v>
      </c>
      <c r="E1463" t="s">
        <v>43</v>
      </c>
      <c r="F1463" t="s">
        <v>44</v>
      </c>
      <c r="G1463" t="s">
        <v>45</v>
      </c>
      <c r="AH1463" t="s">
        <v>42</v>
      </c>
      <c r="AI1463" t="str">
        <f>"DG013"</f>
        <v>DG013</v>
      </c>
      <c r="AJ1463" t="str">
        <f>"DG013"</f>
        <v>DG013</v>
      </c>
      <c r="AK1463" t="s">
        <v>46</v>
      </c>
      <c r="AL1463" s="1">
        <v>44946.813796296294</v>
      </c>
      <c r="AM1463" t="s">
        <v>44</v>
      </c>
    </row>
    <row r="1464" spans="1:39" x14ac:dyDescent="0.2">
      <c r="A1464" t="s">
        <v>1449</v>
      </c>
      <c r="B1464" t="s">
        <v>40</v>
      </c>
      <c r="C1464" t="s">
        <v>1442</v>
      </c>
      <c r="D1464" t="s">
        <v>42</v>
      </c>
      <c r="E1464" t="s">
        <v>43</v>
      </c>
      <c r="F1464" t="s">
        <v>44</v>
      </c>
      <c r="G1464" t="s">
        <v>45</v>
      </c>
      <c r="AH1464" t="s">
        <v>42</v>
      </c>
      <c r="AI1464" t="str">
        <f>"66298840432572"</f>
        <v>66298840432572</v>
      </c>
      <c r="AJ1464" t="str">
        <f>"DG003"</f>
        <v>DG003</v>
      </c>
      <c r="AK1464" t="s">
        <v>46</v>
      </c>
      <c r="AL1464" s="1">
        <v>44816.55097222222</v>
      </c>
      <c r="AM1464" t="s">
        <v>44</v>
      </c>
    </row>
    <row r="1465" spans="1:39" x14ac:dyDescent="0.2">
      <c r="A1465" t="s">
        <v>1450</v>
      </c>
      <c r="B1465" t="s">
        <v>40</v>
      </c>
      <c r="C1465" t="s">
        <v>1442</v>
      </c>
      <c r="D1465" t="s">
        <v>42</v>
      </c>
      <c r="E1465" t="s">
        <v>43</v>
      </c>
      <c r="F1465" t="s">
        <v>44</v>
      </c>
      <c r="G1465" t="s">
        <v>45</v>
      </c>
      <c r="AH1465" t="s">
        <v>42</v>
      </c>
      <c r="AI1465" t="str">
        <f>"DG008"</f>
        <v>DG008</v>
      </c>
      <c r="AJ1465" t="str">
        <f>"DG008"</f>
        <v>DG008</v>
      </c>
      <c r="AK1465" t="s">
        <v>46</v>
      </c>
      <c r="AL1465" s="1">
        <v>44946.814652777779</v>
      </c>
      <c r="AM1465" t="s">
        <v>44</v>
      </c>
    </row>
    <row r="1466" spans="1:39" x14ac:dyDescent="0.2">
      <c r="A1466" t="s">
        <v>1451</v>
      </c>
      <c r="B1466" t="s">
        <v>40</v>
      </c>
      <c r="C1466" t="s">
        <v>1442</v>
      </c>
      <c r="D1466" t="s">
        <v>42</v>
      </c>
      <c r="E1466" t="s">
        <v>43</v>
      </c>
      <c r="F1466" t="s">
        <v>44</v>
      </c>
      <c r="G1466" t="s">
        <v>45</v>
      </c>
      <c r="AH1466" t="s">
        <v>42</v>
      </c>
      <c r="AI1466" t="str">
        <f>"DG006"</f>
        <v>DG006</v>
      </c>
      <c r="AJ1466" t="str">
        <f>"DG006"</f>
        <v>DG006</v>
      </c>
      <c r="AK1466" t="s">
        <v>46</v>
      </c>
      <c r="AL1466" s="1">
        <v>44904.57236111111</v>
      </c>
      <c r="AM1466" t="s">
        <v>44</v>
      </c>
    </row>
    <row r="1467" spans="1:39" x14ac:dyDescent="0.2">
      <c r="A1467" t="s">
        <v>1452</v>
      </c>
      <c r="B1467" t="s">
        <v>40</v>
      </c>
      <c r="C1467" t="s">
        <v>1453</v>
      </c>
      <c r="D1467" t="s">
        <v>42</v>
      </c>
      <c r="E1467" t="s">
        <v>43</v>
      </c>
      <c r="F1467" t="s">
        <v>44</v>
      </c>
      <c r="G1467" t="s">
        <v>45</v>
      </c>
      <c r="AH1467" t="s">
        <v>42</v>
      </c>
      <c r="AI1467" t="str">
        <f>"66298840481598"</f>
        <v>66298840481598</v>
      </c>
      <c r="AJ1467" t="str">
        <f>"80267"</f>
        <v>80267</v>
      </c>
      <c r="AK1467" t="s">
        <v>46</v>
      </c>
      <c r="AL1467" s="1">
        <v>44816.55097222222</v>
      </c>
      <c r="AM1467" t="s">
        <v>44</v>
      </c>
    </row>
    <row r="1468" spans="1:39" x14ac:dyDescent="0.2">
      <c r="A1468" t="s">
        <v>1454</v>
      </c>
      <c r="B1468" t="s">
        <v>40</v>
      </c>
      <c r="C1468" t="s">
        <v>1453</v>
      </c>
      <c r="D1468" t="s">
        <v>42</v>
      </c>
      <c r="E1468" t="s">
        <v>43</v>
      </c>
      <c r="F1468" t="s">
        <v>44</v>
      </c>
      <c r="G1468" t="s">
        <v>45</v>
      </c>
      <c r="AH1468" t="s">
        <v>42</v>
      </c>
      <c r="AI1468" t="str">
        <f>"66298840520747"</f>
        <v>66298840520747</v>
      </c>
      <c r="AJ1468" t="str">
        <f>"80271"</f>
        <v>80271</v>
      </c>
      <c r="AK1468" t="s">
        <v>46</v>
      </c>
      <c r="AL1468" s="1">
        <v>44816.550983796296</v>
      </c>
      <c r="AM1468" t="s">
        <v>44</v>
      </c>
    </row>
    <row r="1469" spans="1:39" x14ac:dyDescent="0.2">
      <c r="A1469" t="s">
        <v>1455</v>
      </c>
      <c r="B1469" t="s">
        <v>40</v>
      </c>
      <c r="C1469" t="s">
        <v>1456</v>
      </c>
      <c r="D1469" t="s">
        <v>42</v>
      </c>
      <c r="E1469" t="s">
        <v>43</v>
      </c>
      <c r="F1469" t="s">
        <v>44</v>
      </c>
      <c r="G1469" t="s">
        <v>45</v>
      </c>
      <c r="AH1469" t="s">
        <v>42</v>
      </c>
      <c r="AI1469" t="str">
        <f>"66298840563231"</f>
        <v>66298840563231</v>
      </c>
      <c r="AJ1469" t="str">
        <f>"TB004-AMARILLO"</f>
        <v>TB004-AMARILLO</v>
      </c>
      <c r="AK1469" t="s">
        <v>46</v>
      </c>
      <c r="AL1469" s="1">
        <v>44816.550983796296</v>
      </c>
      <c r="AM1469" t="s">
        <v>44</v>
      </c>
    </row>
    <row r="1470" spans="1:39" x14ac:dyDescent="0.2">
      <c r="A1470" t="s">
        <v>1457</v>
      </c>
      <c r="B1470" t="s">
        <v>40</v>
      </c>
      <c r="C1470" t="s">
        <v>1456</v>
      </c>
      <c r="D1470" t="s">
        <v>42</v>
      </c>
      <c r="E1470" t="s">
        <v>43</v>
      </c>
      <c r="F1470" t="s">
        <v>44</v>
      </c>
      <c r="G1470" t="s">
        <v>45</v>
      </c>
      <c r="AH1470" t="s">
        <v>42</v>
      </c>
      <c r="AI1470" t="str">
        <f>"66298840602495"</f>
        <v>66298840602495</v>
      </c>
      <c r="AJ1470" t="str">
        <f>"TB004-AZUL"</f>
        <v>TB004-AZUL</v>
      </c>
      <c r="AK1470" t="s">
        <v>46</v>
      </c>
      <c r="AL1470" s="1">
        <v>44816.550995370373</v>
      </c>
      <c r="AM1470" t="s">
        <v>44</v>
      </c>
    </row>
    <row r="1471" spans="1:39" x14ac:dyDescent="0.2">
      <c r="A1471" t="s">
        <v>1458</v>
      </c>
      <c r="B1471" t="s">
        <v>40</v>
      </c>
      <c r="C1471" t="s">
        <v>1456</v>
      </c>
      <c r="D1471" t="s">
        <v>42</v>
      </c>
      <c r="E1471" t="s">
        <v>43</v>
      </c>
      <c r="F1471" t="s">
        <v>44</v>
      </c>
      <c r="G1471" t="s">
        <v>45</v>
      </c>
      <c r="AH1471" t="s">
        <v>42</v>
      </c>
      <c r="AI1471" t="str">
        <f>"66298840641803"</f>
        <v>66298840641803</v>
      </c>
      <c r="AJ1471" t="str">
        <f>"TB001-A-BEIGE"</f>
        <v>TB001-A-BEIGE</v>
      </c>
      <c r="AK1471" t="s">
        <v>46</v>
      </c>
      <c r="AL1471" s="1">
        <v>44816.550995370373</v>
      </c>
      <c r="AM1471" t="s">
        <v>44</v>
      </c>
    </row>
    <row r="1472" spans="1:39" x14ac:dyDescent="0.2">
      <c r="A1472" t="s">
        <v>1459</v>
      </c>
      <c r="B1472" t="s">
        <v>40</v>
      </c>
      <c r="C1472" t="s">
        <v>1456</v>
      </c>
      <c r="D1472" t="s">
        <v>42</v>
      </c>
      <c r="E1472" t="s">
        <v>43</v>
      </c>
      <c r="F1472" t="s">
        <v>44</v>
      </c>
      <c r="G1472" t="s">
        <v>45</v>
      </c>
      <c r="AH1472" t="s">
        <v>42</v>
      </c>
      <c r="AI1472" t="str">
        <f>"66298840681107"</f>
        <v>66298840681107</v>
      </c>
      <c r="AJ1472" t="str">
        <f>"TB004-BLANCO"</f>
        <v>TB004-BLANCO</v>
      </c>
      <c r="AK1472" t="s">
        <v>46</v>
      </c>
      <c r="AL1472" s="1">
        <v>44816.550995370373</v>
      </c>
      <c r="AM1472" t="s">
        <v>44</v>
      </c>
    </row>
    <row r="1473" spans="1:39" x14ac:dyDescent="0.2">
      <c r="A1473" t="s">
        <v>1460</v>
      </c>
      <c r="B1473" t="s">
        <v>40</v>
      </c>
      <c r="C1473" t="s">
        <v>1456</v>
      </c>
      <c r="D1473" t="s">
        <v>42</v>
      </c>
      <c r="E1473" t="s">
        <v>43</v>
      </c>
      <c r="F1473" t="s">
        <v>44</v>
      </c>
      <c r="G1473" t="s">
        <v>45</v>
      </c>
      <c r="AH1473" t="s">
        <v>42</v>
      </c>
      <c r="AI1473" t="str">
        <f>"66298840723726"</f>
        <v>66298840723726</v>
      </c>
      <c r="AJ1473" t="str">
        <f>"TB004-ROJO"</f>
        <v>TB004-ROJO</v>
      </c>
      <c r="AK1473" t="s">
        <v>46</v>
      </c>
      <c r="AL1473" s="1">
        <v>44816.551006944443</v>
      </c>
      <c r="AM1473" t="s">
        <v>44</v>
      </c>
    </row>
    <row r="1474" spans="1:39" x14ac:dyDescent="0.2">
      <c r="A1474" t="s">
        <v>1461</v>
      </c>
      <c r="B1474" t="s">
        <v>40</v>
      </c>
      <c r="C1474" t="s">
        <v>50</v>
      </c>
      <c r="D1474" t="s">
        <v>42</v>
      </c>
      <c r="E1474" t="s">
        <v>43</v>
      </c>
      <c r="F1474" t="s">
        <v>44</v>
      </c>
      <c r="G1474" t="s">
        <v>45</v>
      </c>
      <c r="AH1474" t="s">
        <v>42</v>
      </c>
      <c r="AI1474" t="str">
        <f>"TB004"</f>
        <v>TB004</v>
      </c>
      <c r="AJ1474" t="str">
        <f>"TB004"</f>
        <v>TB004</v>
      </c>
      <c r="AK1474" t="s">
        <v>46</v>
      </c>
      <c r="AL1474" s="1">
        <v>45091.853888888887</v>
      </c>
      <c r="AM1474" t="s">
        <v>44</v>
      </c>
    </row>
    <row r="1475" spans="1:39" x14ac:dyDescent="0.2">
      <c r="A1475" t="s">
        <v>1462</v>
      </c>
      <c r="B1475" t="s">
        <v>40</v>
      </c>
      <c r="C1475" t="s">
        <v>1456</v>
      </c>
      <c r="D1475" t="s">
        <v>42</v>
      </c>
      <c r="E1475" t="s">
        <v>43</v>
      </c>
      <c r="F1475" t="s">
        <v>44</v>
      </c>
      <c r="G1475" t="s">
        <v>45</v>
      </c>
      <c r="AH1475" t="s">
        <v>42</v>
      </c>
      <c r="AI1475" t="str">
        <f>"66298840763610"</f>
        <v>66298840763610</v>
      </c>
      <c r="AJ1475" t="str">
        <f>"18233-437-000BR"</f>
        <v>18233-437-000BR</v>
      </c>
      <c r="AK1475" t="s">
        <v>46</v>
      </c>
      <c r="AL1475" s="1">
        <v>44816.551006944443</v>
      </c>
      <c r="AM1475" t="s">
        <v>44</v>
      </c>
    </row>
    <row r="1476" spans="1:39" x14ac:dyDescent="0.2">
      <c r="A1476" t="s">
        <v>1463</v>
      </c>
      <c r="B1476" t="s">
        <v>40</v>
      </c>
      <c r="C1476" t="s">
        <v>1464</v>
      </c>
      <c r="D1476" t="s">
        <v>42</v>
      </c>
      <c r="E1476" t="s">
        <v>43</v>
      </c>
      <c r="F1476" t="s">
        <v>44</v>
      </c>
      <c r="G1476" t="s">
        <v>45</v>
      </c>
      <c r="AH1476" t="s">
        <v>42</v>
      </c>
      <c r="AI1476" t="str">
        <f>"66298840804671"</f>
        <v>66298840804671</v>
      </c>
      <c r="AJ1476" t="str">
        <f>"BH007"</f>
        <v>BH007</v>
      </c>
      <c r="AK1476" t="s">
        <v>46</v>
      </c>
      <c r="AL1476" s="1">
        <v>44816.551018518519</v>
      </c>
      <c r="AM1476" t="s">
        <v>44</v>
      </c>
    </row>
    <row r="1477" spans="1:39" x14ac:dyDescent="0.2">
      <c r="A1477" t="s">
        <v>1465</v>
      </c>
      <c r="B1477" t="s">
        <v>40</v>
      </c>
      <c r="C1477" t="s">
        <v>1466</v>
      </c>
      <c r="D1477" t="s">
        <v>42</v>
      </c>
      <c r="E1477" t="s">
        <v>43</v>
      </c>
      <c r="F1477" t="s">
        <v>44</v>
      </c>
      <c r="G1477" t="s">
        <v>45</v>
      </c>
      <c r="AH1477" t="s">
        <v>42</v>
      </c>
      <c r="AI1477" t="str">
        <f>"BH003"</f>
        <v>BH003</v>
      </c>
      <c r="AJ1477" t="str">
        <f>"BH003"</f>
        <v>BH003</v>
      </c>
      <c r="AK1477" t="s">
        <v>46</v>
      </c>
      <c r="AL1477" s="1">
        <v>45099.63789351852</v>
      </c>
      <c r="AM1477" t="s">
        <v>44</v>
      </c>
    </row>
    <row r="1478" spans="1:39" x14ac:dyDescent="0.2">
      <c r="A1478" t="s">
        <v>1467</v>
      </c>
      <c r="B1478" t="s">
        <v>40</v>
      </c>
      <c r="C1478" t="s">
        <v>1464</v>
      </c>
      <c r="D1478" t="s">
        <v>42</v>
      </c>
      <c r="E1478" t="s">
        <v>43</v>
      </c>
      <c r="F1478" t="s">
        <v>44</v>
      </c>
      <c r="G1478" t="s">
        <v>45</v>
      </c>
      <c r="AH1478" t="s">
        <v>42</v>
      </c>
      <c r="AI1478" t="str">
        <f>"66298840844927"</f>
        <v>66298840844927</v>
      </c>
      <c r="AJ1478" t="str">
        <f>"BH010"</f>
        <v>BH010</v>
      </c>
      <c r="AK1478" t="s">
        <v>46</v>
      </c>
      <c r="AL1478" s="1">
        <v>44816.551018518519</v>
      </c>
      <c r="AM1478" t="s">
        <v>44</v>
      </c>
    </row>
    <row r="1479" spans="1:39" x14ac:dyDescent="0.2">
      <c r="A1479" t="s">
        <v>1468</v>
      </c>
      <c r="B1479" t="s">
        <v>40</v>
      </c>
      <c r="C1479" t="s">
        <v>1464</v>
      </c>
      <c r="D1479" t="s">
        <v>42</v>
      </c>
      <c r="E1479" t="s">
        <v>43</v>
      </c>
      <c r="F1479" t="s">
        <v>44</v>
      </c>
      <c r="G1479" t="s">
        <v>45</v>
      </c>
      <c r="AH1479" t="s">
        <v>42</v>
      </c>
      <c r="AI1479" t="str">
        <f>"66298840887030"</f>
        <v>66298840887030</v>
      </c>
      <c r="AJ1479" t="str">
        <f>"BH005"</f>
        <v>BH005</v>
      </c>
      <c r="AK1479" t="s">
        <v>46</v>
      </c>
      <c r="AL1479" s="1">
        <v>44816.551018518519</v>
      </c>
      <c r="AM1479" t="s">
        <v>44</v>
      </c>
    </row>
    <row r="1480" spans="1:39" x14ac:dyDescent="0.2">
      <c r="A1480" t="s">
        <v>1469</v>
      </c>
      <c r="B1480" t="s">
        <v>40</v>
      </c>
      <c r="C1480" t="s">
        <v>1464</v>
      </c>
      <c r="D1480" t="s">
        <v>42</v>
      </c>
      <c r="E1480" t="s">
        <v>43</v>
      </c>
      <c r="F1480" t="s">
        <v>44</v>
      </c>
      <c r="G1480" t="s">
        <v>45</v>
      </c>
      <c r="AH1480" t="s">
        <v>42</v>
      </c>
      <c r="AI1480" t="str">
        <f>"66298840928723"</f>
        <v>66298840928723</v>
      </c>
      <c r="AJ1480" t="str">
        <f>"HH030"</f>
        <v>HH030</v>
      </c>
      <c r="AK1480" t="s">
        <v>46</v>
      </c>
      <c r="AL1480" s="1">
        <v>44816.551030092596</v>
      </c>
      <c r="AM1480" t="s">
        <v>44</v>
      </c>
    </row>
    <row r="1481" spans="1:39" x14ac:dyDescent="0.2">
      <c r="A1481" t="s">
        <v>1470</v>
      </c>
      <c r="B1481" t="s">
        <v>40</v>
      </c>
      <c r="C1481" t="s">
        <v>50</v>
      </c>
      <c r="D1481" t="s">
        <v>42</v>
      </c>
      <c r="E1481" t="s">
        <v>43</v>
      </c>
      <c r="F1481" t="s">
        <v>44</v>
      </c>
      <c r="G1481" t="s">
        <v>45</v>
      </c>
      <c r="AH1481" t="s">
        <v>42</v>
      </c>
      <c r="AI1481" t="str">
        <f>"2402"</f>
        <v>2402</v>
      </c>
      <c r="AJ1481" t="str">
        <f>"2402"</f>
        <v>2402</v>
      </c>
      <c r="AK1481" t="s">
        <v>46</v>
      </c>
      <c r="AL1481" s="1">
        <v>44860.687094907407</v>
      </c>
      <c r="AM1481" t="s">
        <v>44</v>
      </c>
    </row>
    <row r="1482" spans="1:39" x14ac:dyDescent="0.2">
      <c r="A1482" t="s">
        <v>1471</v>
      </c>
      <c r="B1482" t="s">
        <v>40</v>
      </c>
      <c r="C1482" t="s">
        <v>1472</v>
      </c>
      <c r="D1482" t="s">
        <v>42</v>
      </c>
      <c r="E1482" t="s">
        <v>43</v>
      </c>
      <c r="F1482" t="s">
        <v>44</v>
      </c>
      <c r="G1482" t="s">
        <v>45</v>
      </c>
      <c r="AH1482" t="s">
        <v>42</v>
      </c>
      <c r="AI1482" t="str">
        <f>"66298841010613"</f>
        <v>66298841010613</v>
      </c>
      <c r="AJ1482" t="str">
        <f>"400034"</f>
        <v>400034</v>
      </c>
      <c r="AK1482" t="s">
        <v>46</v>
      </c>
      <c r="AL1482" s="1">
        <v>44816.551041666666</v>
      </c>
      <c r="AM1482" t="s">
        <v>44</v>
      </c>
    </row>
    <row r="1483" spans="1:39" x14ac:dyDescent="0.2">
      <c r="A1483" t="s">
        <v>1473</v>
      </c>
      <c r="B1483" t="s">
        <v>40</v>
      </c>
      <c r="C1483" t="s">
        <v>1472</v>
      </c>
      <c r="D1483" t="s">
        <v>42</v>
      </c>
      <c r="E1483" t="s">
        <v>43</v>
      </c>
      <c r="F1483" t="s">
        <v>44</v>
      </c>
      <c r="G1483" t="s">
        <v>45</v>
      </c>
      <c r="AH1483" t="s">
        <v>42</v>
      </c>
      <c r="AI1483" t="str">
        <f>"66298840971812"</f>
        <v>66298840971812</v>
      </c>
      <c r="AJ1483" t="str">
        <f>"ND002"</f>
        <v>ND002</v>
      </c>
      <c r="AK1483" t="s">
        <v>46</v>
      </c>
      <c r="AL1483" s="1">
        <v>44816.551030092596</v>
      </c>
      <c r="AM1483" t="s">
        <v>44</v>
      </c>
    </row>
    <row r="1484" spans="1:39" x14ac:dyDescent="0.2">
      <c r="A1484" t="s">
        <v>1473</v>
      </c>
      <c r="B1484" t="s">
        <v>40</v>
      </c>
      <c r="C1484" t="s">
        <v>1472</v>
      </c>
      <c r="D1484" t="s">
        <v>42</v>
      </c>
      <c r="E1484" t="s">
        <v>43</v>
      </c>
      <c r="F1484" t="s">
        <v>44</v>
      </c>
      <c r="G1484" t="s">
        <v>45</v>
      </c>
      <c r="AH1484" t="s">
        <v>42</v>
      </c>
      <c r="AI1484" t="str">
        <f>"743-20-30JP"</f>
        <v>743-20-30JP</v>
      </c>
      <c r="AJ1484" t="str">
        <f>"743-20-30JP"</f>
        <v>743-20-30JP</v>
      </c>
      <c r="AK1484" t="s">
        <v>46</v>
      </c>
      <c r="AL1484" s="1">
        <v>45090.951932870368</v>
      </c>
      <c r="AM1484" t="s">
        <v>44</v>
      </c>
    </row>
    <row r="1485" spans="1:39" x14ac:dyDescent="0.2">
      <c r="A1485" t="s">
        <v>1474</v>
      </c>
      <c r="B1485" t="s">
        <v>40</v>
      </c>
      <c r="C1485" t="s">
        <v>1472</v>
      </c>
      <c r="D1485" t="s">
        <v>42</v>
      </c>
      <c r="E1485" t="s">
        <v>43</v>
      </c>
      <c r="F1485" t="s">
        <v>44</v>
      </c>
      <c r="G1485" t="s">
        <v>45</v>
      </c>
      <c r="AH1485" t="s">
        <v>42</v>
      </c>
      <c r="AI1485" t="str">
        <f>"66298841350918"</f>
        <v>66298841350918</v>
      </c>
      <c r="AJ1485" t="str">
        <f>"4VP-17641-00JP"</f>
        <v>4VP-17641-00JP</v>
      </c>
      <c r="AK1485" t="s">
        <v>46</v>
      </c>
      <c r="AL1485" s="1">
        <v>44816.551076388889</v>
      </c>
      <c r="AM1485" t="s">
        <v>44</v>
      </c>
    </row>
    <row r="1486" spans="1:39" x14ac:dyDescent="0.2">
      <c r="A1486" t="s">
        <v>1475</v>
      </c>
      <c r="B1486" t="s">
        <v>40</v>
      </c>
      <c r="C1486" t="s">
        <v>1472</v>
      </c>
      <c r="D1486" t="s">
        <v>42</v>
      </c>
      <c r="E1486" t="s">
        <v>43</v>
      </c>
      <c r="F1486" t="s">
        <v>44</v>
      </c>
      <c r="G1486" t="s">
        <v>45</v>
      </c>
      <c r="AH1486" t="s">
        <v>42</v>
      </c>
      <c r="AI1486" t="str">
        <f>"66298841055209"</f>
        <v>66298841055209</v>
      </c>
      <c r="AJ1486" t="str">
        <f>"23100-KEC4-900JP"</f>
        <v>23100-KEC4-900JP</v>
      </c>
      <c r="AK1486" t="s">
        <v>46</v>
      </c>
      <c r="AL1486" s="1">
        <v>44816.551041666666</v>
      </c>
      <c r="AM1486" t="s">
        <v>44</v>
      </c>
    </row>
    <row r="1487" spans="1:39" x14ac:dyDescent="0.2">
      <c r="A1487" t="s">
        <v>1476</v>
      </c>
      <c r="B1487" t="s">
        <v>40</v>
      </c>
      <c r="C1487" t="s">
        <v>1472</v>
      </c>
      <c r="D1487" t="s">
        <v>42</v>
      </c>
      <c r="E1487" t="s">
        <v>43</v>
      </c>
      <c r="F1487" t="s">
        <v>44</v>
      </c>
      <c r="G1487" t="s">
        <v>45</v>
      </c>
      <c r="AH1487" t="s">
        <v>42</v>
      </c>
      <c r="AI1487" t="str">
        <f>"66298841523617"</f>
        <v>66298841523617</v>
      </c>
      <c r="AJ1487" t="str">
        <f>"5S9-E7641-00JP"</f>
        <v>5S9-E7641-00JP</v>
      </c>
      <c r="AK1487" t="s">
        <v>46</v>
      </c>
      <c r="AL1487" s="1">
        <v>44816.551099537035</v>
      </c>
      <c r="AM1487" t="s">
        <v>44</v>
      </c>
    </row>
    <row r="1488" spans="1:39" x14ac:dyDescent="0.2">
      <c r="A1488" t="s">
        <v>1477</v>
      </c>
      <c r="B1488" t="s">
        <v>40</v>
      </c>
      <c r="C1488" t="s">
        <v>1472</v>
      </c>
      <c r="D1488" t="s">
        <v>42</v>
      </c>
      <c r="E1488" t="s">
        <v>43</v>
      </c>
      <c r="F1488" t="s">
        <v>44</v>
      </c>
      <c r="G1488" t="s">
        <v>45</v>
      </c>
      <c r="AH1488" t="s">
        <v>42</v>
      </c>
      <c r="AI1488" t="str">
        <f>"66298841272975"</f>
        <v>66298841272975</v>
      </c>
      <c r="AJ1488" t="str">
        <f>"5TL-E7641-01JP"</f>
        <v>5TL-E7641-01JP</v>
      </c>
      <c r="AK1488" t="s">
        <v>46</v>
      </c>
      <c r="AL1488" s="1">
        <v>44816.551064814812</v>
      </c>
      <c r="AM1488" t="s">
        <v>44</v>
      </c>
    </row>
    <row r="1489" spans="1:39" x14ac:dyDescent="0.2">
      <c r="A1489" t="s">
        <v>1478</v>
      </c>
      <c r="B1489" t="s">
        <v>40</v>
      </c>
      <c r="C1489" t="s">
        <v>1472</v>
      </c>
      <c r="D1489" t="s">
        <v>42</v>
      </c>
      <c r="E1489" t="s">
        <v>43</v>
      </c>
      <c r="F1489" t="s">
        <v>44</v>
      </c>
      <c r="G1489" t="s">
        <v>45</v>
      </c>
      <c r="AH1489" t="s">
        <v>42</v>
      </c>
      <c r="AI1489" t="str">
        <f>"66298841093672"</f>
        <v>66298841093672</v>
      </c>
      <c r="AJ1489" t="str">
        <f>"400035"</f>
        <v>400035</v>
      </c>
      <c r="AK1489" t="s">
        <v>46</v>
      </c>
      <c r="AL1489" s="1">
        <v>44816.551041666666</v>
      </c>
      <c r="AM1489" t="s">
        <v>44</v>
      </c>
    </row>
    <row r="1490" spans="1:39" x14ac:dyDescent="0.2">
      <c r="A1490" t="s">
        <v>1479</v>
      </c>
      <c r="B1490" t="s">
        <v>40</v>
      </c>
      <c r="C1490" t="s">
        <v>1472</v>
      </c>
      <c r="D1490" t="s">
        <v>42</v>
      </c>
      <c r="E1490" t="s">
        <v>43</v>
      </c>
      <c r="F1490" t="s">
        <v>44</v>
      </c>
      <c r="G1490" t="s">
        <v>45</v>
      </c>
      <c r="AH1490" t="s">
        <v>42</v>
      </c>
      <c r="AI1490" t="str">
        <f>"835-20-30JPNPC"</f>
        <v>835-20-30JPNPC</v>
      </c>
      <c r="AJ1490" t="str">
        <f>"835-20-30JPNPC"</f>
        <v>835-20-30JPNPC</v>
      </c>
      <c r="AK1490" t="s">
        <v>46</v>
      </c>
      <c r="AL1490" s="1">
        <v>45090.954155092593</v>
      </c>
      <c r="AM1490" t="s">
        <v>44</v>
      </c>
    </row>
    <row r="1491" spans="1:39" x14ac:dyDescent="0.2">
      <c r="A1491" t="s">
        <v>1480</v>
      </c>
      <c r="B1491" t="s">
        <v>40</v>
      </c>
      <c r="C1491" t="s">
        <v>1472</v>
      </c>
      <c r="D1491" t="s">
        <v>42</v>
      </c>
      <c r="E1491" t="s">
        <v>43</v>
      </c>
      <c r="F1491" t="s">
        <v>44</v>
      </c>
      <c r="G1491" t="s">
        <v>45</v>
      </c>
      <c r="AH1491" t="s">
        <v>42</v>
      </c>
      <c r="AI1491" t="str">
        <f>"66298841198249"</f>
        <v>66298841198249</v>
      </c>
      <c r="AJ1491" t="str">
        <f>"400036"</f>
        <v>400036</v>
      </c>
      <c r="AK1491" t="s">
        <v>46</v>
      </c>
      <c r="AL1491" s="1">
        <v>44816.551053240742</v>
      </c>
      <c r="AM1491" t="s">
        <v>44</v>
      </c>
    </row>
    <row r="1492" spans="1:39" x14ac:dyDescent="0.2">
      <c r="A1492" t="s">
        <v>1481</v>
      </c>
      <c r="B1492" t="s">
        <v>40</v>
      </c>
      <c r="C1492" t="s">
        <v>1472</v>
      </c>
      <c r="D1492" t="s">
        <v>42</v>
      </c>
      <c r="E1492" t="s">
        <v>43</v>
      </c>
      <c r="F1492" t="s">
        <v>44</v>
      </c>
      <c r="G1492" t="s">
        <v>45</v>
      </c>
      <c r="AH1492" t="s">
        <v>42</v>
      </c>
      <c r="AI1492" t="str">
        <f>"66298841137489"</f>
        <v>66298841137489</v>
      </c>
      <c r="AJ1492" t="str">
        <f>"842-20-30JP"</f>
        <v>842-20-30JP</v>
      </c>
      <c r="AK1492" t="s">
        <v>46</v>
      </c>
      <c r="AL1492" s="1">
        <v>44816.551053240742</v>
      </c>
      <c r="AM1492" t="s">
        <v>44</v>
      </c>
    </row>
    <row r="1493" spans="1:39" x14ac:dyDescent="0.2">
      <c r="A1493" t="s">
        <v>1481</v>
      </c>
      <c r="B1493" t="s">
        <v>40</v>
      </c>
      <c r="C1493" t="s">
        <v>1472</v>
      </c>
      <c r="D1493" t="s">
        <v>42</v>
      </c>
      <c r="E1493" t="s">
        <v>43</v>
      </c>
      <c r="F1493" t="s">
        <v>44</v>
      </c>
      <c r="G1493" t="s">
        <v>45</v>
      </c>
      <c r="AH1493" t="s">
        <v>42</v>
      </c>
      <c r="AI1493" t="str">
        <f>"66298841145150"</f>
        <v>66298841145150</v>
      </c>
      <c r="AJ1493" t="str">
        <f>"ND001"</f>
        <v>ND001</v>
      </c>
      <c r="AK1493" t="s">
        <v>46</v>
      </c>
      <c r="AL1493" s="1">
        <v>44816.551053240742</v>
      </c>
      <c r="AM1493" t="s">
        <v>44</v>
      </c>
    </row>
    <row r="1494" spans="1:39" x14ac:dyDescent="0.2">
      <c r="A1494" t="s">
        <v>1482</v>
      </c>
      <c r="B1494" t="s">
        <v>40</v>
      </c>
      <c r="C1494" t="s">
        <v>1472</v>
      </c>
      <c r="D1494" t="s">
        <v>42</v>
      </c>
      <c r="E1494" t="s">
        <v>43</v>
      </c>
      <c r="F1494" t="s">
        <v>44</v>
      </c>
      <c r="G1494" t="s">
        <v>45</v>
      </c>
      <c r="AH1494" t="s">
        <v>42</v>
      </c>
      <c r="AI1494" t="str">
        <f>"ND006"</f>
        <v>ND006</v>
      </c>
      <c r="AJ1494" t="str">
        <f>"ND006"</f>
        <v>ND006</v>
      </c>
      <c r="AK1494" t="s">
        <v>46</v>
      </c>
      <c r="AL1494" s="1">
        <v>45084.813738425924</v>
      </c>
      <c r="AM1494" t="s">
        <v>44</v>
      </c>
    </row>
    <row r="1495" spans="1:39" x14ac:dyDescent="0.2">
      <c r="A1495" t="s">
        <v>1483</v>
      </c>
      <c r="B1495" t="s">
        <v>40</v>
      </c>
      <c r="C1495" t="s">
        <v>1472</v>
      </c>
      <c r="D1495" t="s">
        <v>42</v>
      </c>
      <c r="E1495" t="s">
        <v>43</v>
      </c>
      <c r="F1495" t="s">
        <v>44</v>
      </c>
      <c r="G1495" t="s">
        <v>45</v>
      </c>
      <c r="AH1495" t="s">
        <v>42</v>
      </c>
      <c r="AI1495" t="str">
        <f>"66298841234708"</f>
        <v>66298841234708</v>
      </c>
      <c r="AJ1495" t="str">
        <f>"400099"</f>
        <v>400099</v>
      </c>
      <c r="AK1495" t="s">
        <v>46</v>
      </c>
      <c r="AL1495" s="1">
        <v>44816.551064814812</v>
      </c>
      <c r="AM1495" t="s">
        <v>44</v>
      </c>
    </row>
    <row r="1496" spans="1:39" x14ac:dyDescent="0.2">
      <c r="A1496" t="s">
        <v>1484</v>
      </c>
      <c r="B1496" t="s">
        <v>40</v>
      </c>
      <c r="C1496" t="s">
        <v>1472</v>
      </c>
      <c r="D1496" t="s">
        <v>42</v>
      </c>
      <c r="E1496" t="s">
        <v>43</v>
      </c>
      <c r="F1496" t="s">
        <v>44</v>
      </c>
      <c r="G1496" t="s">
        <v>45</v>
      </c>
      <c r="AH1496" t="s">
        <v>42</v>
      </c>
      <c r="AI1496" t="str">
        <f>"12787"</f>
        <v>12787</v>
      </c>
      <c r="AJ1496" t="str">
        <f>"12787"</f>
        <v>12787</v>
      </c>
      <c r="AK1496" t="s">
        <v>46</v>
      </c>
      <c r="AL1496" s="1">
        <v>44950.836157407408</v>
      </c>
      <c r="AM1496" t="s">
        <v>44</v>
      </c>
    </row>
    <row r="1497" spans="1:39" x14ac:dyDescent="0.2">
      <c r="A1497" t="s">
        <v>1485</v>
      </c>
      <c r="B1497" t="s">
        <v>40</v>
      </c>
      <c r="C1497" t="s">
        <v>1472</v>
      </c>
      <c r="D1497" t="s">
        <v>42</v>
      </c>
      <c r="E1497" t="s">
        <v>43</v>
      </c>
      <c r="F1497" t="s">
        <v>44</v>
      </c>
      <c r="G1497" t="s">
        <v>45</v>
      </c>
      <c r="AH1497" t="s">
        <v>42</v>
      </c>
      <c r="AI1497" t="str">
        <f>"66298841312524"</f>
        <v>66298841312524</v>
      </c>
      <c r="AJ1497" t="str">
        <f>"27601-21J10-000"</f>
        <v>27601-21J10-000</v>
      </c>
      <c r="AK1497" t="s">
        <v>46</v>
      </c>
      <c r="AL1497" s="1">
        <v>44816.551076388889</v>
      </c>
      <c r="AM1497" t="s">
        <v>44</v>
      </c>
    </row>
    <row r="1498" spans="1:39" x14ac:dyDescent="0.2">
      <c r="A1498" t="s">
        <v>1486</v>
      </c>
      <c r="B1498" t="s">
        <v>40</v>
      </c>
      <c r="C1498" t="s">
        <v>1472</v>
      </c>
      <c r="D1498" t="s">
        <v>42</v>
      </c>
      <c r="E1498" t="s">
        <v>43</v>
      </c>
      <c r="F1498" t="s">
        <v>44</v>
      </c>
      <c r="G1498" t="s">
        <v>45</v>
      </c>
      <c r="AH1498" t="s">
        <v>42</v>
      </c>
      <c r="AI1498" t="str">
        <f>"66298841470841"</f>
        <v>66298841470841</v>
      </c>
      <c r="AJ1498" t="str">
        <f>"400754"</f>
        <v>400754</v>
      </c>
      <c r="AK1498" t="s">
        <v>46</v>
      </c>
      <c r="AL1498" s="1">
        <v>44816.551087962966</v>
      </c>
      <c r="AM1498" t="s">
        <v>44</v>
      </c>
    </row>
    <row r="1499" spans="1:39" x14ac:dyDescent="0.2">
      <c r="A1499" t="s">
        <v>1487</v>
      </c>
      <c r="B1499" t="s">
        <v>40</v>
      </c>
      <c r="C1499" t="s">
        <v>1472</v>
      </c>
      <c r="D1499" t="s">
        <v>42</v>
      </c>
      <c r="E1499" t="s">
        <v>43</v>
      </c>
      <c r="F1499" t="s">
        <v>44</v>
      </c>
      <c r="G1499" t="s">
        <v>45</v>
      </c>
      <c r="AH1499" t="s">
        <v>42</v>
      </c>
      <c r="AI1499" t="str">
        <f>"66298841397852"</f>
        <v>66298841397852</v>
      </c>
      <c r="AJ1499" t="str">
        <f>"ND005"</f>
        <v>ND005</v>
      </c>
      <c r="AK1499" t="s">
        <v>46</v>
      </c>
      <c r="AL1499" s="1">
        <v>44816.551076388889</v>
      </c>
      <c r="AM1499" t="s">
        <v>44</v>
      </c>
    </row>
    <row r="1500" spans="1:39" x14ac:dyDescent="0.2">
      <c r="A1500" t="s">
        <v>1488</v>
      </c>
      <c r="B1500" t="s">
        <v>40</v>
      </c>
      <c r="C1500" t="s">
        <v>1489</v>
      </c>
      <c r="D1500" t="s">
        <v>42</v>
      </c>
      <c r="E1500" t="s">
        <v>43</v>
      </c>
      <c r="F1500" t="s">
        <v>44</v>
      </c>
      <c r="G1500" t="s">
        <v>45</v>
      </c>
      <c r="AH1500" t="s">
        <v>42</v>
      </c>
      <c r="AI1500" t="str">
        <f>"2354"</f>
        <v>2354</v>
      </c>
      <c r="AJ1500" t="str">
        <f>"2354"</f>
        <v>2354</v>
      </c>
      <c r="AK1500" t="s">
        <v>46</v>
      </c>
      <c r="AL1500" s="1">
        <v>44995.740347222221</v>
      </c>
      <c r="AM1500" t="s">
        <v>44</v>
      </c>
    </row>
    <row r="1501" spans="1:39" x14ac:dyDescent="0.2">
      <c r="A1501" t="s">
        <v>1490</v>
      </c>
      <c r="B1501" t="s">
        <v>40</v>
      </c>
      <c r="C1501" t="s">
        <v>1489</v>
      </c>
      <c r="D1501" t="s">
        <v>42</v>
      </c>
      <c r="E1501" t="s">
        <v>43</v>
      </c>
      <c r="F1501" t="s">
        <v>44</v>
      </c>
      <c r="G1501" t="s">
        <v>45</v>
      </c>
      <c r="AH1501" t="s">
        <v>42</v>
      </c>
      <c r="AI1501" t="str">
        <f>"66298841562461"</f>
        <v>66298841562461</v>
      </c>
      <c r="AJ1501" t="str">
        <f>"400649"</f>
        <v>400649</v>
      </c>
      <c r="AK1501" t="s">
        <v>46</v>
      </c>
      <c r="AL1501" s="1">
        <v>44816.551099537035</v>
      </c>
      <c r="AM1501" t="s">
        <v>44</v>
      </c>
    </row>
    <row r="1502" spans="1:39" x14ac:dyDescent="0.2">
      <c r="A1502" t="s">
        <v>1491</v>
      </c>
      <c r="B1502" t="s">
        <v>40</v>
      </c>
      <c r="C1502" t="s">
        <v>1489</v>
      </c>
      <c r="D1502" t="s">
        <v>42</v>
      </c>
      <c r="E1502" t="s">
        <v>43</v>
      </c>
      <c r="F1502" t="s">
        <v>44</v>
      </c>
      <c r="G1502" t="s">
        <v>45</v>
      </c>
      <c r="AH1502" t="s">
        <v>42</v>
      </c>
      <c r="AI1502" t="str">
        <f>"CE012"</f>
        <v>CE012</v>
      </c>
      <c r="AJ1502" t="str">
        <f>"CE012"</f>
        <v>CE012</v>
      </c>
      <c r="AK1502" t="s">
        <v>46</v>
      </c>
      <c r="AL1502" s="1">
        <v>44952.537881944445</v>
      </c>
      <c r="AM1502" t="s">
        <v>44</v>
      </c>
    </row>
    <row r="1503" spans="1:39" x14ac:dyDescent="0.2">
      <c r="A1503" t="s">
        <v>1492</v>
      </c>
      <c r="B1503" t="s">
        <v>40</v>
      </c>
      <c r="C1503" t="s">
        <v>1489</v>
      </c>
      <c r="D1503" t="s">
        <v>42</v>
      </c>
      <c r="E1503" t="s">
        <v>43</v>
      </c>
      <c r="F1503" t="s">
        <v>44</v>
      </c>
      <c r="G1503" t="s">
        <v>45</v>
      </c>
      <c r="AH1503" t="s">
        <v>42</v>
      </c>
      <c r="AI1503" t="str">
        <f>"BR050.07"</f>
        <v>BR050.07</v>
      </c>
      <c r="AJ1503" t="str">
        <f>"BR050.07"</f>
        <v>BR050.07</v>
      </c>
      <c r="AK1503" t="s">
        <v>46</v>
      </c>
      <c r="AL1503" s="1">
        <v>45085.895729166667</v>
      </c>
      <c r="AM1503" t="s">
        <v>44</v>
      </c>
    </row>
    <row r="1504" spans="1:39" x14ac:dyDescent="0.2">
      <c r="A1504" t="s">
        <v>1492</v>
      </c>
      <c r="B1504" t="s">
        <v>40</v>
      </c>
      <c r="C1504" t="s">
        <v>1489</v>
      </c>
      <c r="D1504" t="s">
        <v>42</v>
      </c>
      <c r="E1504" t="s">
        <v>43</v>
      </c>
      <c r="F1504" t="s">
        <v>44</v>
      </c>
      <c r="G1504" t="s">
        <v>45</v>
      </c>
      <c r="AH1504" t="s">
        <v>42</v>
      </c>
      <c r="AI1504" t="str">
        <f>"25K170S"</f>
        <v>25K170S</v>
      </c>
      <c r="AJ1504" t="str">
        <f>"25K170S"</f>
        <v>25K170S</v>
      </c>
      <c r="AK1504" t="s">
        <v>46</v>
      </c>
      <c r="AL1504" s="1">
        <v>45090.957858796297</v>
      </c>
      <c r="AM1504" t="s">
        <v>44</v>
      </c>
    </row>
    <row r="1505" spans="1:39" x14ac:dyDescent="0.2">
      <c r="A1505" t="s">
        <v>1493</v>
      </c>
      <c r="B1505" t="s">
        <v>40</v>
      </c>
      <c r="C1505" t="s">
        <v>1489</v>
      </c>
      <c r="D1505" t="s">
        <v>42</v>
      </c>
      <c r="E1505" t="s">
        <v>43</v>
      </c>
      <c r="F1505" t="s">
        <v>44</v>
      </c>
      <c r="G1505" t="s">
        <v>45</v>
      </c>
      <c r="AH1505" t="s">
        <v>42</v>
      </c>
      <c r="AI1505" t="str">
        <f>"66298841614379"</f>
        <v>66298841614379</v>
      </c>
      <c r="AJ1505" t="str">
        <f>"400650"</f>
        <v>400650</v>
      </c>
      <c r="AK1505" t="s">
        <v>46</v>
      </c>
      <c r="AL1505" s="1">
        <v>44816.551111111112</v>
      </c>
      <c r="AM1505" t="s">
        <v>44</v>
      </c>
    </row>
    <row r="1506" spans="1:39" x14ac:dyDescent="0.2">
      <c r="A1506" t="s">
        <v>1494</v>
      </c>
      <c r="B1506" t="s">
        <v>40</v>
      </c>
      <c r="C1506" t="s">
        <v>1489</v>
      </c>
      <c r="D1506" t="s">
        <v>42</v>
      </c>
      <c r="E1506" t="s">
        <v>43</v>
      </c>
      <c r="F1506" t="s">
        <v>44</v>
      </c>
      <c r="G1506" t="s">
        <v>45</v>
      </c>
      <c r="AH1506" t="s">
        <v>42</v>
      </c>
      <c r="AI1506" t="str">
        <f>"66298841654643"</f>
        <v>66298841654643</v>
      </c>
      <c r="AJ1506" t="str">
        <f>"BR0101-4531WGK"</f>
        <v>BR0101-4531WGK</v>
      </c>
      <c r="AK1506" t="s">
        <v>46</v>
      </c>
      <c r="AL1506" s="1">
        <v>44816.551111111112</v>
      </c>
      <c r="AM1506" t="s">
        <v>44</v>
      </c>
    </row>
    <row r="1507" spans="1:39" x14ac:dyDescent="0.2">
      <c r="A1507" t="s">
        <v>1494</v>
      </c>
      <c r="B1507" t="s">
        <v>40</v>
      </c>
      <c r="C1507" t="s">
        <v>1489</v>
      </c>
      <c r="D1507" t="s">
        <v>42</v>
      </c>
      <c r="E1507" t="s">
        <v>43</v>
      </c>
      <c r="F1507" t="s">
        <v>44</v>
      </c>
      <c r="G1507" t="s">
        <v>45</v>
      </c>
      <c r="AH1507" t="s">
        <v>42</v>
      </c>
      <c r="AI1507" t="str">
        <f>"CE016"</f>
        <v>CE016</v>
      </c>
      <c r="AJ1507" t="str">
        <f>"CE016"</f>
        <v>CE016</v>
      </c>
      <c r="AK1507" t="s">
        <v>46</v>
      </c>
      <c r="AL1507" s="1">
        <v>44952.642361111109</v>
      </c>
      <c r="AM1507" t="s">
        <v>44</v>
      </c>
    </row>
    <row r="1508" spans="1:39" x14ac:dyDescent="0.2">
      <c r="A1508" t="s">
        <v>1495</v>
      </c>
      <c r="B1508" t="s">
        <v>40</v>
      </c>
      <c r="C1508" t="s">
        <v>1489</v>
      </c>
      <c r="D1508" t="s">
        <v>42</v>
      </c>
      <c r="E1508" t="s">
        <v>43</v>
      </c>
      <c r="F1508" t="s">
        <v>44</v>
      </c>
      <c r="G1508" t="s">
        <v>45</v>
      </c>
      <c r="AH1508" t="s">
        <v>42</v>
      </c>
      <c r="AI1508" t="str">
        <f>"66298841693814"</f>
        <v>66298841693814</v>
      </c>
      <c r="AJ1508" t="str">
        <f>"CE011"</f>
        <v>CE011</v>
      </c>
      <c r="AK1508" t="s">
        <v>46</v>
      </c>
      <c r="AL1508" s="1">
        <v>44816.551111111112</v>
      </c>
      <c r="AM1508" t="s">
        <v>44</v>
      </c>
    </row>
    <row r="1509" spans="1:39" x14ac:dyDescent="0.2">
      <c r="A1509" t="s">
        <v>1496</v>
      </c>
      <c r="B1509" t="s">
        <v>40</v>
      </c>
      <c r="C1509" t="s">
        <v>1489</v>
      </c>
      <c r="D1509" t="s">
        <v>42</v>
      </c>
      <c r="E1509" t="s">
        <v>43</v>
      </c>
      <c r="F1509" t="s">
        <v>44</v>
      </c>
      <c r="G1509" t="s">
        <v>45</v>
      </c>
      <c r="AH1509" t="s">
        <v>42</v>
      </c>
      <c r="AI1509" t="str">
        <f>"66298841732937"</f>
        <v>66298841732937</v>
      </c>
      <c r="AJ1509" t="str">
        <f>"CE002"</f>
        <v>CE002</v>
      </c>
      <c r="AK1509" t="s">
        <v>46</v>
      </c>
      <c r="AL1509" s="1">
        <v>44816.551122685189</v>
      </c>
      <c r="AM1509" t="s">
        <v>44</v>
      </c>
    </row>
    <row r="1510" spans="1:39" x14ac:dyDescent="0.2">
      <c r="A1510" t="s">
        <v>1497</v>
      </c>
      <c r="B1510" t="s">
        <v>40</v>
      </c>
      <c r="C1510" t="s">
        <v>1489</v>
      </c>
      <c r="D1510" t="s">
        <v>42</v>
      </c>
      <c r="E1510" t="s">
        <v>43</v>
      </c>
      <c r="F1510" t="s">
        <v>44</v>
      </c>
      <c r="G1510" t="s">
        <v>45</v>
      </c>
      <c r="AH1510" t="s">
        <v>42</v>
      </c>
      <c r="AI1510" t="str">
        <f>"CE013"</f>
        <v>CE013</v>
      </c>
      <c r="AJ1510" t="str">
        <f>"CE013"</f>
        <v>CE013</v>
      </c>
      <c r="AK1510" t="s">
        <v>46</v>
      </c>
      <c r="AL1510" s="1">
        <v>44952.633506944447</v>
      </c>
      <c r="AM1510" t="s">
        <v>44</v>
      </c>
    </row>
    <row r="1511" spans="1:39" x14ac:dyDescent="0.2">
      <c r="A1511" t="s">
        <v>1498</v>
      </c>
      <c r="B1511" t="s">
        <v>40</v>
      </c>
      <c r="C1511" t="s">
        <v>1489</v>
      </c>
      <c r="D1511" t="s">
        <v>42</v>
      </c>
      <c r="E1511" t="s">
        <v>43</v>
      </c>
      <c r="F1511" t="s">
        <v>44</v>
      </c>
      <c r="G1511" t="s">
        <v>45</v>
      </c>
      <c r="AH1511" t="s">
        <v>42</v>
      </c>
      <c r="AI1511" t="str">
        <f>"CE015"</f>
        <v>CE015</v>
      </c>
      <c r="AJ1511" t="str">
        <f>"CE015"</f>
        <v>CE015</v>
      </c>
      <c r="AK1511" t="s">
        <v>46</v>
      </c>
      <c r="AL1511" s="1">
        <v>44952.633206018516</v>
      </c>
      <c r="AM1511" t="s">
        <v>44</v>
      </c>
    </row>
    <row r="1512" spans="1:39" x14ac:dyDescent="0.2">
      <c r="A1512" t="s">
        <v>1499</v>
      </c>
      <c r="B1512" t="s">
        <v>40</v>
      </c>
      <c r="C1512" t="s">
        <v>1489</v>
      </c>
      <c r="D1512" t="s">
        <v>42</v>
      </c>
      <c r="E1512" t="s">
        <v>43</v>
      </c>
      <c r="F1512" t="s">
        <v>44</v>
      </c>
      <c r="G1512" t="s">
        <v>45</v>
      </c>
      <c r="AH1512" t="s">
        <v>42</v>
      </c>
      <c r="AI1512" t="str">
        <f>"CE004"</f>
        <v>CE004</v>
      </c>
      <c r="AJ1512" t="str">
        <f>"CE004"</f>
        <v>CE004</v>
      </c>
      <c r="AK1512" t="s">
        <v>46</v>
      </c>
      <c r="AL1512" s="1">
        <v>44952.560856481483</v>
      </c>
      <c r="AM1512" t="s">
        <v>44</v>
      </c>
    </row>
    <row r="1513" spans="1:39" x14ac:dyDescent="0.2">
      <c r="A1513" t="s">
        <v>1500</v>
      </c>
      <c r="B1513" t="s">
        <v>40</v>
      </c>
      <c r="C1513" t="s">
        <v>1489</v>
      </c>
      <c r="D1513" t="s">
        <v>42</v>
      </c>
      <c r="E1513" t="s">
        <v>43</v>
      </c>
      <c r="F1513" t="s">
        <v>44</v>
      </c>
      <c r="G1513" t="s">
        <v>45</v>
      </c>
      <c r="AH1513" t="s">
        <v>42</v>
      </c>
      <c r="AI1513" t="str">
        <f>"66298841772454"</f>
        <v>66298841772454</v>
      </c>
      <c r="AJ1513" t="str">
        <f>"400916"</f>
        <v>400916</v>
      </c>
      <c r="AK1513" t="s">
        <v>46</v>
      </c>
      <c r="AL1513" s="1">
        <v>44816.551122685189</v>
      </c>
      <c r="AM1513" t="s">
        <v>44</v>
      </c>
    </row>
    <row r="1514" spans="1:39" x14ac:dyDescent="0.2">
      <c r="A1514" t="s">
        <v>1501</v>
      </c>
      <c r="B1514" t="s">
        <v>40</v>
      </c>
      <c r="C1514" t="s">
        <v>1489</v>
      </c>
      <c r="D1514" t="s">
        <v>42</v>
      </c>
      <c r="E1514" t="s">
        <v>43</v>
      </c>
      <c r="F1514" t="s">
        <v>44</v>
      </c>
      <c r="G1514" t="s">
        <v>45</v>
      </c>
      <c r="AH1514" t="s">
        <v>42</v>
      </c>
      <c r="AI1514" t="str">
        <f>"66298841815997"</f>
        <v>66298841815997</v>
      </c>
      <c r="AJ1514" t="str">
        <f>"51643-25010-K"</f>
        <v>51643-25010-K</v>
      </c>
      <c r="AK1514" t="s">
        <v>46</v>
      </c>
      <c r="AL1514" s="1">
        <v>44816.551134259258</v>
      </c>
      <c r="AM1514" t="s">
        <v>44</v>
      </c>
    </row>
    <row r="1515" spans="1:39" x14ac:dyDescent="0.2">
      <c r="A1515" t="s">
        <v>1502</v>
      </c>
      <c r="B1515" t="s">
        <v>40</v>
      </c>
      <c r="C1515" t="s">
        <v>1489</v>
      </c>
      <c r="D1515" t="s">
        <v>42</v>
      </c>
      <c r="E1515" t="s">
        <v>43</v>
      </c>
      <c r="F1515" t="s">
        <v>44</v>
      </c>
      <c r="G1515" t="s">
        <v>45</v>
      </c>
      <c r="AH1515" t="s">
        <v>42</v>
      </c>
      <c r="AI1515" t="str">
        <f>"66298940746551"</f>
        <v>66298940746551</v>
      </c>
      <c r="AJ1515" t="str">
        <f>"CE010"</f>
        <v>CE010</v>
      </c>
      <c r="AK1515" t="s">
        <v>46</v>
      </c>
      <c r="AL1515" s="1">
        <v>44816.562581018516</v>
      </c>
      <c r="AM1515" t="s">
        <v>44</v>
      </c>
    </row>
    <row r="1516" spans="1:39" x14ac:dyDescent="0.2">
      <c r="A1516" t="s">
        <v>1503</v>
      </c>
      <c r="B1516" t="s">
        <v>40</v>
      </c>
      <c r="C1516" t="s">
        <v>1489</v>
      </c>
      <c r="D1516" t="s">
        <v>42</v>
      </c>
      <c r="E1516" t="s">
        <v>43</v>
      </c>
      <c r="F1516" t="s">
        <v>44</v>
      </c>
      <c r="G1516" t="s">
        <v>45</v>
      </c>
      <c r="AH1516" t="s">
        <v>42</v>
      </c>
      <c r="AI1516" t="str">
        <f>"CE018"</f>
        <v>CE018</v>
      </c>
      <c r="AJ1516" t="str">
        <f>"CE018"</f>
        <v>CE018</v>
      </c>
      <c r="AK1516" t="s">
        <v>46</v>
      </c>
      <c r="AL1516" s="1">
        <v>44952.538587962961</v>
      </c>
      <c r="AM1516" t="s">
        <v>44</v>
      </c>
    </row>
    <row r="1517" spans="1:39" x14ac:dyDescent="0.2">
      <c r="A1517" t="s">
        <v>1504</v>
      </c>
      <c r="B1517" t="s">
        <v>40</v>
      </c>
      <c r="C1517" t="s">
        <v>1489</v>
      </c>
      <c r="D1517" t="s">
        <v>42</v>
      </c>
      <c r="E1517" t="s">
        <v>43</v>
      </c>
      <c r="F1517" t="s">
        <v>44</v>
      </c>
      <c r="G1517" t="s">
        <v>45</v>
      </c>
      <c r="AH1517" t="s">
        <v>42</v>
      </c>
      <c r="AI1517" t="str">
        <f>"100712"</f>
        <v>100712</v>
      </c>
      <c r="AJ1517" t="str">
        <f>"100712"</f>
        <v>100712</v>
      </c>
      <c r="AK1517" t="s">
        <v>46</v>
      </c>
      <c r="AL1517" s="1">
        <v>44972.748425925929</v>
      </c>
      <c r="AM1517" t="s">
        <v>44</v>
      </c>
    </row>
    <row r="1518" spans="1:39" x14ac:dyDescent="0.2">
      <c r="A1518" t="s">
        <v>1505</v>
      </c>
      <c r="B1518" t="s">
        <v>40</v>
      </c>
      <c r="C1518" t="s">
        <v>1489</v>
      </c>
      <c r="D1518" t="s">
        <v>42</v>
      </c>
      <c r="E1518" t="s">
        <v>43</v>
      </c>
      <c r="F1518" t="s">
        <v>44</v>
      </c>
      <c r="G1518" t="s">
        <v>45</v>
      </c>
      <c r="AH1518" t="s">
        <v>42</v>
      </c>
      <c r="AI1518" t="str">
        <f>"66298841892129"</f>
        <v>66298841892129</v>
      </c>
      <c r="AJ1518" t="str">
        <f>"400648"</f>
        <v>400648</v>
      </c>
      <c r="AK1518" t="s">
        <v>46</v>
      </c>
      <c r="AL1518" s="1">
        <v>44816.551134259258</v>
      </c>
      <c r="AM1518" t="s">
        <v>44</v>
      </c>
    </row>
    <row r="1519" spans="1:39" x14ac:dyDescent="0.2">
      <c r="A1519" t="s">
        <v>1506</v>
      </c>
      <c r="B1519" t="s">
        <v>40</v>
      </c>
      <c r="C1519" t="s">
        <v>1489</v>
      </c>
      <c r="D1519" t="s">
        <v>42</v>
      </c>
      <c r="E1519" t="s">
        <v>43</v>
      </c>
      <c r="F1519" t="s">
        <v>44</v>
      </c>
      <c r="G1519" t="s">
        <v>45</v>
      </c>
      <c r="AH1519" t="s">
        <v>42</v>
      </c>
      <c r="AI1519" t="str">
        <f>"66298841853471"</f>
        <v>66298841853471</v>
      </c>
      <c r="AJ1519" t="str">
        <f>"BR1011-0041WGK"</f>
        <v>BR1011-0041WGK</v>
      </c>
      <c r="AK1519" t="s">
        <v>46</v>
      </c>
      <c r="AL1519" s="1">
        <v>44816.551134259258</v>
      </c>
      <c r="AM1519" t="s">
        <v>44</v>
      </c>
    </row>
    <row r="1520" spans="1:39" x14ac:dyDescent="0.2">
      <c r="A1520" t="s">
        <v>1506</v>
      </c>
      <c r="B1520" t="s">
        <v>40</v>
      </c>
      <c r="C1520" t="s">
        <v>1489</v>
      </c>
      <c r="D1520" t="s">
        <v>42</v>
      </c>
      <c r="E1520" t="s">
        <v>43</v>
      </c>
      <c r="F1520" t="s">
        <v>44</v>
      </c>
      <c r="G1520" t="s">
        <v>45</v>
      </c>
      <c r="AH1520" t="s">
        <v>42</v>
      </c>
      <c r="AI1520" t="str">
        <f>"CE017"</f>
        <v>CE017</v>
      </c>
      <c r="AJ1520" t="str">
        <f>"CE017"</f>
        <v>CE017</v>
      </c>
      <c r="AK1520" t="s">
        <v>46</v>
      </c>
      <c r="AL1520" s="1">
        <v>44952.538993055554</v>
      </c>
      <c r="AM1520" t="s">
        <v>44</v>
      </c>
    </row>
    <row r="1521" spans="1:39" x14ac:dyDescent="0.2">
      <c r="A1521" t="s">
        <v>1507</v>
      </c>
      <c r="B1521" t="s">
        <v>40</v>
      </c>
      <c r="C1521" t="s">
        <v>1489</v>
      </c>
      <c r="D1521" t="s">
        <v>42</v>
      </c>
      <c r="E1521" t="s">
        <v>43</v>
      </c>
      <c r="F1521" t="s">
        <v>44</v>
      </c>
      <c r="G1521" t="s">
        <v>45</v>
      </c>
      <c r="AH1521" t="s">
        <v>42</v>
      </c>
      <c r="AI1521" t="str">
        <f>"100743"</f>
        <v>100743</v>
      </c>
      <c r="AJ1521" t="str">
        <f>"100743"</f>
        <v>100743</v>
      </c>
      <c r="AK1521" t="s">
        <v>46</v>
      </c>
      <c r="AL1521" s="1">
        <v>44950.836562500001</v>
      </c>
      <c r="AM1521" t="s">
        <v>44</v>
      </c>
    </row>
    <row r="1522" spans="1:39" x14ac:dyDescent="0.2">
      <c r="A1522" t="s">
        <v>1508</v>
      </c>
      <c r="B1522" t="s">
        <v>40</v>
      </c>
      <c r="C1522" t="s">
        <v>1489</v>
      </c>
      <c r="D1522" t="s">
        <v>42</v>
      </c>
      <c r="E1522" t="s">
        <v>43</v>
      </c>
      <c r="F1522" t="s">
        <v>44</v>
      </c>
      <c r="G1522" t="s">
        <v>45</v>
      </c>
      <c r="AH1522" t="s">
        <v>42</v>
      </c>
      <c r="AI1522" t="str">
        <f>"5KA-F3411-00-K"</f>
        <v>5KA-F3411-00-K</v>
      </c>
      <c r="AJ1522" t="str">
        <f>"5KA-F3411-00-K"</f>
        <v>5KA-F3411-00-K</v>
      </c>
      <c r="AK1522" t="s">
        <v>46</v>
      </c>
      <c r="AL1522" s="1">
        <v>44872.66101851852</v>
      </c>
      <c r="AM1522" t="s">
        <v>44</v>
      </c>
    </row>
    <row r="1523" spans="1:39" x14ac:dyDescent="0.2">
      <c r="A1523" t="s">
        <v>1509</v>
      </c>
      <c r="B1523" t="s">
        <v>40</v>
      </c>
      <c r="C1523" t="s">
        <v>1489</v>
      </c>
      <c r="D1523" t="s">
        <v>42</v>
      </c>
      <c r="E1523" t="s">
        <v>43</v>
      </c>
      <c r="F1523" t="s">
        <v>44</v>
      </c>
      <c r="G1523" t="s">
        <v>45</v>
      </c>
      <c r="AH1523" t="s">
        <v>42</v>
      </c>
      <c r="AI1523" t="str">
        <f>"66298841971346"</f>
        <v>66298841971346</v>
      </c>
      <c r="AJ1523" t="str">
        <f>"400918"</f>
        <v>400918</v>
      </c>
      <c r="AK1523" t="s">
        <v>46</v>
      </c>
      <c r="AL1523" s="1">
        <v>44816.551145833335</v>
      </c>
      <c r="AM1523" t="s">
        <v>44</v>
      </c>
    </row>
    <row r="1524" spans="1:39" x14ac:dyDescent="0.2">
      <c r="A1524" t="s">
        <v>1510</v>
      </c>
      <c r="B1524" t="s">
        <v>40</v>
      </c>
      <c r="C1524" t="s">
        <v>1489</v>
      </c>
      <c r="D1524" t="s">
        <v>42</v>
      </c>
      <c r="E1524" t="s">
        <v>43</v>
      </c>
      <c r="F1524" t="s">
        <v>44</v>
      </c>
      <c r="G1524" t="s">
        <v>45</v>
      </c>
      <c r="AH1524" t="s">
        <v>42</v>
      </c>
      <c r="AI1524" t="str">
        <f>"66298842013066"</f>
        <v>66298842013066</v>
      </c>
      <c r="AJ1524" t="str">
        <f>"400915"</f>
        <v>400915</v>
      </c>
      <c r="AK1524" t="s">
        <v>46</v>
      </c>
      <c r="AL1524" s="1">
        <v>44816.551157407404</v>
      </c>
      <c r="AM1524" t="s">
        <v>44</v>
      </c>
    </row>
    <row r="1525" spans="1:39" x14ac:dyDescent="0.2">
      <c r="A1525" t="s">
        <v>1511</v>
      </c>
      <c r="B1525" t="s">
        <v>40</v>
      </c>
      <c r="C1525" t="s">
        <v>1489</v>
      </c>
      <c r="D1525" t="s">
        <v>42</v>
      </c>
      <c r="E1525" t="s">
        <v>43</v>
      </c>
      <c r="F1525" t="s">
        <v>44</v>
      </c>
      <c r="G1525" t="s">
        <v>45</v>
      </c>
      <c r="AH1525" t="s">
        <v>42</v>
      </c>
      <c r="AI1525" t="str">
        <f>"5BP-F3873-01-K"</f>
        <v>5BP-F3873-01-K</v>
      </c>
      <c r="AJ1525" t="str">
        <f>"5BP-F3873-01-K"</f>
        <v>5BP-F3873-01-K</v>
      </c>
      <c r="AK1525" t="s">
        <v>46</v>
      </c>
      <c r="AL1525" s="1">
        <v>44816.551145833335</v>
      </c>
      <c r="AM1525" t="s">
        <v>44</v>
      </c>
    </row>
    <row r="1526" spans="1:39" x14ac:dyDescent="0.2">
      <c r="A1526" t="s">
        <v>1512</v>
      </c>
      <c r="B1526" t="s">
        <v>40</v>
      </c>
      <c r="C1526" t="s">
        <v>50</v>
      </c>
      <c r="D1526" t="s">
        <v>42</v>
      </c>
      <c r="E1526" t="s">
        <v>43</v>
      </c>
      <c r="F1526" t="s">
        <v>44</v>
      </c>
      <c r="G1526" t="s">
        <v>45</v>
      </c>
      <c r="AH1526" t="s">
        <v>42</v>
      </c>
      <c r="AI1526" t="str">
        <f>"66298842053856"</f>
        <v>66298842053856</v>
      </c>
      <c r="AJ1526" t="str">
        <f>"ZZE010"</f>
        <v>ZZE010</v>
      </c>
      <c r="AK1526" t="s">
        <v>46</v>
      </c>
      <c r="AL1526" s="1">
        <v>44816.551157407404</v>
      </c>
      <c r="AM1526" t="s">
        <v>44</v>
      </c>
    </row>
    <row r="1527" spans="1:39" x14ac:dyDescent="0.2">
      <c r="A1527" t="s">
        <v>1513</v>
      </c>
      <c r="B1527" t="s">
        <v>40</v>
      </c>
      <c r="C1527" t="s">
        <v>1464</v>
      </c>
      <c r="D1527" t="s">
        <v>42</v>
      </c>
      <c r="E1527" t="s">
        <v>43</v>
      </c>
      <c r="F1527" t="s">
        <v>44</v>
      </c>
      <c r="G1527" t="s">
        <v>45</v>
      </c>
      <c r="AH1527" t="s">
        <v>42</v>
      </c>
      <c r="AI1527" t="str">
        <f>"66298842093477"</f>
        <v>66298842093477</v>
      </c>
      <c r="AJ1527" t="str">
        <f>"H137"</f>
        <v>H137</v>
      </c>
      <c r="AK1527" t="s">
        <v>46</v>
      </c>
      <c r="AL1527" s="1">
        <v>44816.551157407404</v>
      </c>
      <c r="AM1527" t="s">
        <v>44</v>
      </c>
    </row>
    <row r="1528" spans="1:39" x14ac:dyDescent="0.2">
      <c r="A1528" t="s">
        <v>1513</v>
      </c>
      <c r="B1528" t="s">
        <v>40</v>
      </c>
      <c r="C1528" t="s">
        <v>1464</v>
      </c>
      <c r="D1528" t="s">
        <v>42</v>
      </c>
      <c r="E1528" t="s">
        <v>43</v>
      </c>
      <c r="F1528" t="s">
        <v>44</v>
      </c>
      <c r="G1528" t="s">
        <v>45</v>
      </c>
      <c r="AH1528" t="s">
        <v>42</v>
      </c>
      <c r="AI1528" t="str">
        <f>"66298842136499"</f>
        <v>66298842136499</v>
      </c>
      <c r="AJ1528" t="str">
        <f>"HH045"</f>
        <v>HH045</v>
      </c>
      <c r="AK1528" t="s">
        <v>46</v>
      </c>
      <c r="AL1528" s="1">
        <v>44816.551168981481</v>
      </c>
      <c r="AM1528" t="s">
        <v>44</v>
      </c>
    </row>
    <row r="1529" spans="1:39" x14ac:dyDescent="0.2">
      <c r="A1529" t="s">
        <v>1514</v>
      </c>
      <c r="B1529" t="s">
        <v>40</v>
      </c>
      <c r="C1529" t="s">
        <v>1464</v>
      </c>
      <c r="D1529" t="s">
        <v>42</v>
      </c>
      <c r="E1529" t="s">
        <v>43</v>
      </c>
      <c r="F1529" t="s">
        <v>44</v>
      </c>
      <c r="G1529" t="s">
        <v>45</v>
      </c>
      <c r="AH1529" t="s">
        <v>42</v>
      </c>
      <c r="AI1529" t="str">
        <f>"66298842180875"</f>
        <v>66298842180875</v>
      </c>
      <c r="AJ1529" t="str">
        <f>"H139"</f>
        <v>H139</v>
      </c>
      <c r="AK1529" t="s">
        <v>46</v>
      </c>
      <c r="AL1529" s="1">
        <v>44816.551168981481</v>
      </c>
      <c r="AM1529" t="s">
        <v>44</v>
      </c>
    </row>
    <row r="1530" spans="1:39" x14ac:dyDescent="0.2">
      <c r="A1530" t="s">
        <v>1515</v>
      </c>
      <c r="B1530" t="s">
        <v>40</v>
      </c>
      <c r="C1530" t="s">
        <v>1464</v>
      </c>
      <c r="D1530" t="s">
        <v>42</v>
      </c>
      <c r="E1530" t="s">
        <v>43</v>
      </c>
      <c r="F1530" t="s">
        <v>44</v>
      </c>
      <c r="G1530" t="s">
        <v>45</v>
      </c>
      <c r="AH1530" t="s">
        <v>42</v>
      </c>
      <c r="AI1530" t="str">
        <f>"66298842226962"</f>
        <v>66298842226962</v>
      </c>
      <c r="AJ1530" t="str">
        <f>"HH041"</f>
        <v>HH041</v>
      </c>
      <c r="AK1530" t="s">
        <v>46</v>
      </c>
      <c r="AL1530" s="1">
        <v>44816.551180555558</v>
      </c>
      <c r="AM1530" t="s">
        <v>44</v>
      </c>
    </row>
    <row r="1531" spans="1:39" x14ac:dyDescent="0.2">
      <c r="A1531" t="s">
        <v>1516</v>
      </c>
      <c r="B1531" t="s">
        <v>40</v>
      </c>
      <c r="C1531" t="s">
        <v>1464</v>
      </c>
      <c r="D1531" t="s">
        <v>42</v>
      </c>
      <c r="E1531" t="s">
        <v>43</v>
      </c>
      <c r="F1531" t="s">
        <v>44</v>
      </c>
      <c r="G1531" t="s">
        <v>45</v>
      </c>
      <c r="AH1531" t="s">
        <v>42</v>
      </c>
      <c r="AI1531" t="str">
        <f>"66298842267034"</f>
        <v>66298842267034</v>
      </c>
      <c r="AJ1531" t="str">
        <f>"HH044"</f>
        <v>HH044</v>
      </c>
      <c r="AK1531" t="s">
        <v>46</v>
      </c>
      <c r="AL1531" s="1">
        <v>44816.551180555558</v>
      </c>
      <c r="AM1531" t="s">
        <v>44</v>
      </c>
    </row>
    <row r="1532" spans="1:39" x14ac:dyDescent="0.2">
      <c r="A1532" t="s">
        <v>1517</v>
      </c>
      <c r="B1532" t="s">
        <v>40</v>
      </c>
      <c r="C1532" t="s">
        <v>1518</v>
      </c>
      <c r="D1532" t="s">
        <v>42</v>
      </c>
      <c r="E1532" t="s">
        <v>43</v>
      </c>
      <c r="F1532" t="s">
        <v>44</v>
      </c>
      <c r="G1532" t="s">
        <v>45</v>
      </c>
      <c r="AH1532" t="s">
        <v>42</v>
      </c>
      <c r="AI1532" t="str">
        <f>"66298842306565"</f>
        <v>66298842306565</v>
      </c>
      <c r="AJ1532" t="str">
        <f>"21C-F1650-00"</f>
        <v>21C-F1650-00</v>
      </c>
      <c r="AK1532" t="s">
        <v>46</v>
      </c>
      <c r="AL1532" s="1">
        <v>44816.551192129627</v>
      </c>
      <c r="AM1532" t="s">
        <v>44</v>
      </c>
    </row>
    <row r="1533" spans="1:39" x14ac:dyDescent="0.2">
      <c r="A1533" t="s">
        <v>1519</v>
      </c>
      <c r="B1533" t="s">
        <v>40</v>
      </c>
      <c r="C1533" t="s">
        <v>50</v>
      </c>
      <c r="D1533" t="s">
        <v>42</v>
      </c>
      <c r="E1533" t="s">
        <v>43</v>
      </c>
      <c r="F1533" t="s">
        <v>44</v>
      </c>
      <c r="G1533" t="s">
        <v>45</v>
      </c>
      <c r="AH1533" t="s">
        <v>42</v>
      </c>
      <c r="AI1533" t="str">
        <f>"66298842348316"</f>
        <v>66298842348316</v>
      </c>
      <c r="AJ1533" t="str">
        <f>"2787-L"</f>
        <v>2787-L</v>
      </c>
      <c r="AK1533" t="s">
        <v>46</v>
      </c>
      <c r="AL1533" s="1">
        <v>44816.551192129627</v>
      </c>
      <c r="AM1533" t="s">
        <v>44</v>
      </c>
    </row>
    <row r="1534" spans="1:39" x14ac:dyDescent="0.2">
      <c r="A1534" t="s">
        <v>1520</v>
      </c>
      <c r="B1534" t="s">
        <v>40</v>
      </c>
      <c r="C1534" t="s">
        <v>50</v>
      </c>
      <c r="D1534" t="s">
        <v>42</v>
      </c>
      <c r="E1534" t="s">
        <v>43</v>
      </c>
      <c r="F1534" t="s">
        <v>44</v>
      </c>
      <c r="G1534" t="s">
        <v>45</v>
      </c>
      <c r="AH1534" t="s">
        <v>42</v>
      </c>
      <c r="AI1534" t="str">
        <f>"66298842391840"</f>
        <v>66298842391840</v>
      </c>
      <c r="AJ1534" t="str">
        <f>"2787-XL"</f>
        <v>2787-XL</v>
      </c>
      <c r="AK1534" t="s">
        <v>46</v>
      </c>
      <c r="AL1534" s="1">
        <v>44816.551192129627</v>
      </c>
      <c r="AM1534" t="s">
        <v>44</v>
      </c>
    </row>
    <row r="1535" spans="1:39" x14ac:dyDescent="0.2">
      <c r="A1535" t="s">
        <v>1521</v>
      </c>
      <c r="B1535" t="s">
        <v>40</v>
      </c>
      <c r="C1535" t="s">
        <v>50</v>
      </c>
      <c r="D1535" t="s">
        <v>42</v>
      </c>
      <c r="E1535" t="s">
        <v>43</v>
      </c>
      <c r="F1535" t="s">
        <v>44</v>
      </c>
      <c r="G1535" t="s">
        <v>45</v>
      </c>
      <c r="AH1535" t="s">
        <v>42</v>
      </c>
      <c r="AI1535" t="str">
        <f>"66298842431647"</f>
        <v>66298842431647</v>
      </c>
      <c r="AJ1535" t="str">
        <f>"WC017"</f>
        <v>WC017</v>
      </c>
      <c r="AK1535" t="s">
        <v>46</v>
      </c>
      <c r="AL1535" s="1">
        <v>44816.551203703704</v>
      </c>
      <c r="AM1535" t="s">
        <v>44</v>
      </c>
    </row>
    <row r="1536" spans="1:39" x14ac:dyDescent="0.2">
      <c r="A1536" t="s">
        <v>1522</v>
      </c>
      <c r="B1536" t="s">
        <v>40</v>
      </c>
      <c r="C1536" t="s">
        <v>50</v>
      </c>
      <c r="D1536" t="s">
        <v>42</v>
      </c>
      <c r="E1536" t="s">
        <v>43</v>
      </c>
      <c r="F1536" t="s">
        <v>44</v>
      </c>
      <c r="G1536" t="s">
        <v>45</v>
      </c>
      <c r="AH1536" t="s">
        <v>42</v>
      </c>
      <c r="AI1536" t="str">
        <f>"66298842553335"</f>
        <v>66298842553335</v>
      </c>
      <c r="AJ1536" t="str">
        <f>"CU-MANI-MORADO"</f>
        <v>CU-MANI-MORADO</v>
      </c>
      <c r="AK1536" t="s">
        <v>46</v>
      </c>
      <c r="AL1536" s="1">
        <v>44816.551215277781</v>
      </c>
      <c r="AM1536" t="s">
        <v>44</v>
      </c>
    </row>
    <row r="1537" spans="1:39" x14ac:dyDescent="0.2">
      <c r="A1537" t="s">
        <v>1523</v>
      </c>
      <c r="B1537" t="s">
        <v>40</v>
      </c>
      <c r="C1537" t="s">
        <v>50</v>
      </c>
      <c r="D1537" t="s">
        <v>42</v>
      </c>
      <c r="E1537" t="s">
        <v>43</v>
      </c>
      <c r="F1537" t="s">
        <v>44</v>
      </c>
      <c r="G1537" t="s">
        <v>45</v>
      </c>
      <c r="AH1537" t="s">
        <v>42</v>
      </c>
      <c r="AI1537" t="str">
        <f>"66298842595410"</f>
        <v>66298842595410</v>
      </c>
      <c r="AJ1537" t="str">
        <f>"CU-MANI-NARANJA"</f>
        <v>CU-MANI-NARANJA</v>
      </c>
      <c r="AK1537" t="s">
        <v>46</v>
      </c>
      <c r="AL1537" s="1">
        <v>44816.551215277781</v>
      </c>
      <c r="AM1537" t="s">
        <v>44</v>
      </c>
    </row>
    <row r="1538" spans="1:39" x14ac:dyDescent="0.2">
      <c r="A1538" t="s">
        <v>1524</v>
      </c>
      <c r="B1538" t="s">
        <v>40</v>
      </c>
      <c r="C1538" t="s">
        <v>50</v>
      </c>
      <c r="D1538" t="s">
        <v>42</v>
      </c>
      <c r="E1538" t="s">
        <v>43</v>
      </c>
      <c r="F1538" t="s">
        <v>44</v>
      </c>
      <c r="G1538" t="s">
        <v>45</v>
      </c>
      <c r="AH1538" t="s">
        <v>42</v>
      </c>
      <c r="AI1538" t="str">
        <f>"66298842636974"</f>
        <v>66298842636974</v>
      </c>
      <c r="AJ1538" t="str">
        <f>"R032"</f>
        <v>R032</v>
      </c>
      <c r="AK1538" t="s">
        <v>46</v>
      </c>
      <c r="AL1538" s="1">
        <v>44816.551226851851</v>
      </c>
      <c r="AM1538" t="s">
        <v>44</v>
      </c>
    </row>
    <row r="1539" spans="1:39" x14ac:dyDescent="0.2">
      <c r="A1539" t="s">
        <v>1525</v>
      </c>
      <c r="B1539" t="s">
        <v>40</v>
      </c>
      <c r="C1539" t="s">
        <v>50</v>
      </c>
      <c r="D1539" t="s">
        <v>42</v>
      </c>
      <c r="E1539" t="s">
        <v>43</v>
      </c>
      <c r="F1539" t="s">
        <v>44</v>
      </c>
      <c r="G1539" t="s">
        <v>45</v>
      </c>
      <c r="AH1539" t="s">
        <v>42</v>
      </c>
      <c r="AI1539" t="str">
        <f>"66298842681437"</f>
        <v>66298842681437</v>
      </c>
      <c r="AJ1539" t="str">
        <f>"1267"</f>
        <v>1267</v>
      </c>
      <c r="AK1539" t="s">
        <v>46</v>
      </c>
      <c r="AL1539" s="1">
        <v>44816.551226851851</v>
      </c>
      <c r="AM1539" t="s">
        <v>44</v>
      </c>
    </row>
    <row r="1540" spans="1:39" x14ac:dyDescent="0.2">
      <c r="A1540" t="s">
        <v>1526</v>
      </c>
      <c r="B1540" t="s">
        <v>40</v>
      </c>
      <c r="C1540" t="s">
        <v>50</v>
      </c>
      <c r="D1540" t="s">
        <v>42</v>
      </c>
      <c r="E1540" t="s">
        <v>43</v>
      </c>
      <c r="F1540" t="s">
        <v>44</v>
      </c>
      <c r="G1540" t="s">
        <v>45</v>
      </c>
      <c r="AH1540" t="s">
        <v>42</v>
      </c>
      <c r="AI1540" t="str">
        <f>"CUBRE-P"</f>
        <v>CUBRE-P</v>
      </c>
      <c r="AJ1540" t="str">
        <f>"CUBRE-P"</f>
        <v>CUBRE-P</v>
      </c>
      <c r="AK1540" t="s">
        <v>46</v>
      </c>
      <c r="AL1540" s="1">
        <v>45071.637569444443</v>
      </c>
      <c r="AM1540" t="s">
        <v>44</v>
      </c>
    </row>
    <row r="1541" spans="1:39" x14ac:dyDescent="0.2">
      <c r="A1541" t="s">
        <v>1526</v>
      </c>
      <c r="B1541" t="s">
        <v>40</v>
      </c>
      <c r="C1541" t="s">
        <v>50</v>
      </c>
      <c r="D1541" t="s">
        <v>42</v>
      </c>
      <c r="E1541" t="s">
        <v>43</v>
      </c>
      <c r="F1541" t="s">
        <v>44</v>
      </c>
      <c r="G1541" t="s">
        <v>45</v>
      </c>
      <c r="AH1541" t="s">
        <v>42</v>
      </c>
      <c r="AI1541" t="str">
        <f>"2653"</f>
        <v>2653</v>
      </c>
      <c r="AJ1541" t="str">
        <f>"2653"</f>
        <v>2653</v>
      </c>
      <c r="AK1541" t="s">
        <v>46</v>
      </c>
      <c r="AL1541" s="1">
        <v>45117.859560185185</v>
      </c>
      <c r="AM1541" t="s">
        <v>44</v>
      </c>
    </row>
    <row r="1542" spans="1:39" x14ac:dyDescent="0.2">
      <c r="A1542" t="s">
        <v>1527</v>
      </c>
      <c r="B1542" t="s">
        <v>40</v>
      </c>
      <c r="C1542" t="s">
        <v>50</v>
      </c>
      <c r="D1542" t="s">
        <v>42</v>
      </c>
      <c r="E1542" t="s">
        <v>43</v>
      </c>
      <c r="F1542" t="s">
        <v>44</v>
      </c>
      <c r="G1542" t="s">
        <v>45</v>
      </c>
      <c r="AH1542" t="s">
        <v>42</v>
      </c>
      <c r="AI1542" t="str">
        <f>"66298842725932"</f>
        <v>66298842725932</v>
      </c>
      <c r="AJ1542" t="str">
        <f>"R027-VERDE"</f>
        <v>R027-VERDE</v>
      </c>
      <c r="AK1542" t="s">
        <v>46</v>
      </c>
      <c r="AL1542" s="1">
        <v>44816.551238425927</v>
      </c>
      <c r="AM1542" t="s">
        <v>44</v>
      </c>
    </row>
    <row r="1543" spans="1:39" x14ac:dyDescent="0.2">
      <c r="A1543" t="s">
        <v>1527</v>
      </c>
      <c r="B1543" t="s">
        <v>40</v>
      </c>
      <c r="C1543" t="s">
        <v>50</v>
      </c>
      <c r="D1543" t="s">
        <v>42</v>
      </c>
      <c r="E1543" t="s">
        <v>43</v>
      </c>
      <c r="F1543" t="s">
        <v>44</v>
      </c>
      <c r="G1543" t="s">
        <v>45</v>
      </c>
      <c r="AH1543" t="s">
        <v>42</v>
      </c>
      <c r="AI1543" t="str">
        <f>"66298842731316"</f>
        <v>66298842731316</v>
      </c>
      <c r="AJ1543" t="str">
        <f>"R027-AMARILLO"</f>
        <v>R027-AMARILLO</v>
      </c>
      <c r="AK1543" t="s">
        <v>46</v>
      </c>
      <c r="AL1543" s="1">
        <v>44816.551238425927</v>
      </c>
      <c r="AM1543" t="s">
        <v>44</v>
      </c>
    </row>
    <row r="1544" spans="1:39" x14ac:dyDescent="0.2">
      <c r="A1544" t="s">
        <v>1528</v>
      </c>
      <c r="B1544" t="s">
        <v>40</v>
      </c>
      <c r="C1544" t="s">
        <v>50</v>
      </c>
      <c r="D1544" t="s">
        <v>42</v>
      </c>
      <c r="E1544" t="s">
        <v>43</v>
      </c>
      <c r="F1544" t="s">
        <v>44</v>
      </c>
      <c r="G1544" t="s">
        <v>45</v>
      </c>
      <c r="AH1544" t="s">
        <v>42</v>
      </c>
      <c r="AI1544" t="str">
        <f>"66298842790284"</f>
        <v>66298842790284</v>
      </c>
      <c r="AJ1544" t="str">
        <f>"1155"</f>
        <v>1155</v>
      </c>
      <c r="AK1544" t="s">
        <v>46</v>
      </c>
      <c r="AL1544" s="1">
        <v>44816.551238425927</v>
      </c>
      <c r="AM1544" t="s">
        <v>44</v>
      </c>
    </row>
    <row r="1545" spans="1:39" x14ac:dyDescent="0.2">
      <c r="A1545" t="s">
        <v>1529</v>
      </c>
      <c r="B1545" t="s">
        <v>40</v>
      </c>
      <c r="C1545" t="s">
        <v>1530</v>
      </c>
      <c r="D1545" t="s">
        <v>42</v>
      </c>
      <c r="E1545" t="s">
        <v>43</v>
      </c>
      <c r="F1545" t="s">
        <v>44</v>
      </c>
      <c r="G1545" t="s">
        <v>45</v>
      </c>
      <c r="AH1545" t="s">
        <v>42</v>
      </c>
      <c r="AI1545" t="str">
        <f>"D010"</f>
        <v>D010</v>
      </c>
      <c r="AJ1545" t="str">
        <f>"D010"</f>
        <v>D010</v>
      </c>
      <c r="AK1545" t="s">
        <v>46</v>
      </c>
      <c r="AL1545" s="1">
        <v>45014.713738425926</v>
      </c>
      <c r="AM1545" t="s">
        <v>44</v>
      </c>
    </row>
    <row r="1546" spans="1:39" x14ac:dyDescent="0.2">
      <c r="A1546" t="s">
        <v>1531</v>
      </c>
      <c r="B1546" t="s">
        <v>40</v>
      </c>
      <c r="C1546" t="s">
        <v>1530</v>
      </c>
      <c r="D1546" t="s">
        <v>42</v>
      </c>
      <c r="E1546" t="s">
        <v>43</v>
      </c>
      <c r="F1546" t="s">
        <v>44</v>
      </c>
      <c r="G1546" t="s">
        <v>45</v>
      </c>
      <c r="AH1546" t="s">
        <v>42</v>
      </c>
      <c r="AI1546" t="str">
        <f>"D001-A"</f>
        <v>D001-A</v>
      </c>
      <c r="AJ1546" t="str">
        <f>"D001-A"</f>
        <v>D001-A</v>
      </c>
      <c r="AK1546" t="s">
        <v>46</v>
      </c>
      <c r="AL1546" s="1">
        <v>45009.601921296293</v>
      </c>
      <c r="AM1546" t="s">
        <v>44</v>
      </c>
    </row>
    <row r="1547" spans="1:39" x14ac:dyDescent="0.2">
      <c r="A1547" t="s">
        <v>1532</v>
      </c>
      <c r="B1547" t="s">
        <v>40</v>
      </c>
      <c r="C1547" t="s">
        <v>1530</v>
      </c>
      <c r="D1547" t="s">
        <v>42</v>
      </c>
      <c r="E1547" t="s">
        <v>43</v>
      </c>
      <c r="F1547" t="s">
        <v>44</v>
      </c>
      <c r="G1547" t="s">
        <v>45</v>
      </c>
      <c r="AH1547" t="s">
        <v>42</v>
      </c>
      <c r="AI1547" t="str">
        <f>"D012"</f>
        <v>D012</v>
      </c>
      <c r="AJ1547" t="str">
        <f>"D012"</f>
        <v>D012</v>
      </c>
      <c r="AK1547" t="s">
        <v>46</v>
      </c>
      <c r="AL1547" s="1">
        <v>45014.714212962965</v>
      </c>
      <c r="AM1547" t="s">
        <v>44</v>
      </c>
    </row>
    <row r="1548" spans="1:39" x14ac:dyDescent="0.2">
      <c r="A1548" t="s">
        <v>1533</v>
      </c>
      <c r="B1548" t="s">
        <v>40</v>
      </c>
      <c r="C1548" t="s">
        <v>41</v>
      </c>
      <c r="D1548" t="s">
        <v>43</v>
      </c>
      <c r="E1548" t="s">
        <v>43</v>
      </c>
      <c r="F1548" t="s">
        <v>44</v>
      </c>
      <c r="G1548" t="s">
        <v>45</v>
      </c>
      <c r="AH1548" t="s">
        <v>42</v>
      </c>
      <c r="AI1548" t="str">
        <f>"1563"</f>
        <v>1563</v>
      </c>
      <c r="AJ1548" t="str">
        <f>"1563"</f>
        <v>1563</v>
      </c>
      <c r="AK1548" t="s">
        <v>46</v>
      </c>
      <c r="AL1548" s="1">
        <v>44911.572187500002</v>
      </c>
      <c r="AM1548" t="s">
        <v>44</v>
      </c>
    </row>
    <row r="1549" spans="1:39" x14ac:dyDescent="0.2">
      <c r="A1549" t="s">
        <v>1534</v>
      </c>
      <c r="B1549" t="s">
        <v>40</v>
      </c>
      <c r="C1549" t="s">
        <v>41</v>
      </c>
      <c r="D1549" t="s">
        <v>43</v>
      </c>
      <c r="E1549" t="s">
        <v>43</v>
      </c>
      <c r="F1549" t="s">
        <v>44</v>
      </c>
      <c r="G1549" t="s">
        <v>45</v>
      </c>
      <c r="AH1549" t="s">
        <v>42</v>
      </c>
      <c r="AI1549" t="str">
        <f>"1561"</f>
        <v>1561</v>
      </c>
      <c r="AJ1549" t="str">
        <f>"1561"</f>
        <v>1561</v>
      </c>
      <c r="AK1549" t="s">
        <v>46</v>
      </c>
      <c r="AL1549" s="1">
        <v>44911.572847222225</v>
      </c>
      <c r="AM1549" t="s">
        <v>44</v>
      </c>
    </row>
    <row r="1550" spans="1:39" x14ac:dyDescent="0.2">
      <c r="A1550" t="s">
        <v>1535</v>
      </c>
      <c r="B1550" t="s">
        <v>40</v>
      </c>
      <c r="C1550" t="s">
        <v>129</v>
      </c>
      <c r="D1550" t="s">
        <v>42</v>
      </c>
      <c r="E1550" t="s">
        <v>43</v>
      </c>
      <c r="F1550" t="s">
        <v>44</v>
      </c>
      <c r="G1550" t="s">
        <v>45</v>
      </c>
      <c r="AH1550" t="s">
        <v>42</v>
      </c>
      <c r="AI1550" t="str">
        <f>"66298842835467"</f>
        <v>66298842835467</v>
      </c>
      <c r="AJ1550" t="str">
        <f>"H125"</f>
        <v>H125</v>
      </c>
      <c r="AK1550" t="s">
        <v>46</v>
      </c>
      <c r="AL1550" s="1">
        <v>44816.551249999997</v>
      </c>
      <c r="AM1550" t="s">
        <v>44</v>
      </c>
    </row>
    <row r="1551" spans="1:39" x14ac:dyDescent="0.2">
      <c r="A1551" t="s">
        <v>1536</v>
      </c>
      <c r="B1551" t="s">
        <v>40</v>
      </c>
      <c r="C1551" t="s">
        <v>1537</v>
      </c>
      <c r="D1551" t="s">
        <v>42</v>
      </c>
      <c r="E1551" t="s">
        <v>43</v>
      </c>
      <c r="F1551" t="s">
        <v>44</v>
      </c>
      <c r="G1551" t="s">
        <v>45</v>
      </c>
      <c r="AH1551" t="s">
        <v>42</v>
      </c>
      <c r="AI1551" t="str">
        <f>"66298842874642"</f>
        <v>66298842874642</v>
      </c>
      <c r="AJ1551" t="str">
        <f>"30151076"</f>
        <v>30151076</v>
      </c>
      <c r="AK1551" t="s">
        <v>46</v>
      </c>
      <c r="AL1551" s="1">
        <v>44816.551249999997</v>
      </c>
      <c r="AM1551" t="s">
        <v>44</v>
      </c>
    </row>
    <row r="1552" spans="1:39" x14ac:dyDescent="0.2">
      <c r="A1552" t="s">
        <v>1538</v>
      </c>
      <c r="B1552" t="s">
        <v>40</v>
      </c>
      <c r="C1552" t="s">
        <v>1537</v>
      </c>
      <c r="D1552" t="s">
        <v>42</v>
      </c>
      <c r="E1552" t="s">
        <v>43</v>
      </c>
      <c r="F1552" t="s">
        <v>44</v>
      </c>
      <c r="G1552" t="s">
        <v>45</v>
      </c>
      <c r="H1552" t="s">
        <v>1539</v>
      </c>
      <c r="AH1552" t="s">
        <v>42</v>
      </c>
      <c r="AI1552" t="str">
        <f>"66298843051257"</f>
        <v>66298843051257</v>
      </c>
      <c r="AJ1552" t="str">
        <f>"83155"</f>
        <v>83155</v>
      </c>
      <c r="AK1552" t="s">
        <v>46</v>
      </c>
      <c r="AL1552" s="1">
        <v>44816.55127314815</v>
      </c>
      <c r="AM1552" t="s">
        <v>44</v>
      </c>
    </row>
    <row r="1553" spans="1:39" x14ac:dyDescent="0.2">
      <c r="A1553" t="s">
        <v>1538</v>
      </c>
      <c r="B1553" t="s">
        <v>40</v>
      </c>
      <c r="C1553" t="s">
        <v>1537</v>
      </c>
      <c r="D1553" t="s">
        <v>42</v>
      </c>
      <c r="E1553" t="s">
        <v>43</v>
      </c>
      <c r="F1553" t="s">
        <v>44</v>
      </c>
      <c r="G1553" t="s">
        <v>45</v>
      </c>
      <c r="H1553" t="s">
        <v>1540</v>
      </c>
      <c r="AH1553" t="s">
        <v>42</v>
      </c>
      <c r="AI1553" t="str">
        <f>"66298843044975"</f>
        <v>66298843044975</v>
      </c>
      <c r="AJ1553" t="str">
        <f>"400017"</f>
        <v>400017</v>
      </c>
      <c r="AK1553" t="s">
        <v>46</v>
      </c>
      <c r="AL1553" s="1">
        <v>44816.55127314815</v>
      </c>
      <c r="AM1553" t="s">
        <v>44</v>
      </c>
    </row>
    <row r="1554" spans="1:39" x14ac:dyDescent="0.2">
      <c r="A1554" t="s">
        <v>1541</v>
      </c>
      <c r="B1554" t="s">
        <v>40</v>
      </c>
      <c r="C1554" t="s">
        <v>1537</v>
      </c>
      <c r="D1554" t="s">
        <v>42</v>
      </c>
      <c r="E1554" t="s">
        <v>43</v>
      </c>
      <c r="F1554" t="s">
        <v>44</v>
      </c>
      <c r="G1554" t="s">
        <v>45</v>
      </c>
      <c r="AH1554" t="s">
        <v>42</v>
      </c>
      <c r="AI1554" t="str">
        <f>"06410-KSP-900JP"</f>
        <v>06410-KSP-900JP</v>
      </c>
      <c r="AJ1554" t="str">
        <f>"06410-KSP-900JP"</f>
        <v>06410-KSP-900JP</v>
      </c>
      <c r="AK1554" t="s">
        <v>46</v>
      </c>
      <c r="AL1554" s="1">
        <v>44816.551261574074</v>
      </c>
      <c r="AM1554" t="s">
        <v>44</v>
      </c>
    </row>
    <row r="1555" spans="1:39" x14ac:dyDescent="0.2">
      <c r="A1555" t="s">
        <v>1541</v>
      </c>
      <c r="B1555" t="s">
        <v>40</v>
      </c>
      <c r="C1555" t="s">
        <v>1537</v>
      </c>
      <c r="D1555" t="s">
        <v>42</v>
      </c>
      <c r="E1555" t="s">
        <v>43</v>
      </c>
      <c r="F1555" t="s">
        <v>44</v>
      </c>
      <c r="G1555" t="s">
        <v>45</v>
      </c>
      <c r="AH1555" t="s">
        <v>42</v>
      </c>
      <c r="AI1555" t="str">
        <f>"66298843107227"</f>
        <v>66298843107227</v>
      </c>
      <c r="AJ1555" t="str">
        <f>"NE009"</f>
        <v>NE009</v>
      </c>
      <c r="AK1555" t="s">
        <v>46</v>
      </c>
      <c r="AL1555" s="1">
        <v>44816.55128472222</v>
      </c>
      <c r="AM1555" t="s">
        <v>44</v>
      </c>
    </row>
    <row r="1556" spans="1:39" x14ac:dyDescent="0.2">
      <c r="A1556" t="s">
        <v>1541</v>
      </c>
      <c r="B1556" t="s">
        <v>40</v>
      </c>
      <c r="C1556" t="s">
        <v>1537</v>
      </c>
      <c r="D1556" t="s">
        <v>42</v>
      </c>
      <c r="E1556" t="s">
        <v>43</v>
      </c>
      <c r="F1556" t="s">
        <v>44</v>
      </c>
      <c r="G1556" t="s">
        <v>45</v>
      </c>
      <c r="AH1556" t="s">
        <v>42</v>
      </c>
      <c r="AI1556" t="str">
        <f>"06410-KTE-910HB"</f>
        <v>06410-KTE-910HB</v>
      </c>
      <c r="AJ1556" t="str">
        <f>"06410-KTE-910HB"</f>
        <v>06410-KTE-910HB</v>
      </c>
      <c r="AK1556" t="s">
        <v>46</v>
      </c>
      <c r="AL1556" s="1">
        <v>45091.637881944444</v>
      </c>
      <c r="AM1556" t="s">
        <v>44</v>
      </c>
    </row>
    <row r="1557" spans="1:39" x14ac:dyDescent="0.2">
      <c r="A1557" t="s">
        <v>1542</v>
      </c>
      <c r="B1557" t="s">
        <v>40</v>
      </c>
      <c r="C1557" t="s">
        <v>1537</v>
      </c>
      <c r="D1557" t="s">
        <v>42</v>
      </c>
      <c r="E1557" t="s">
        <v>43</v>
      </c>
      <c r="F1557" t="s">
        <v>44</v>
      </c>
      <c r="G1557" t="s">
        <v>45</v>
      </c>
      <c r="AH1557" t="s">
        <v>42</v>
      </c>
      <c r="AI1557" t="str">
        <f>"B119"</f>
        <v>B119</v>
      </c>
      <c r="AJ1557" t="str">
        <f>"B119"</f>
        <v>B119</v>
      </c>
      <c r="AK1557" t="s">
        <v>46</v>
      </c>
      <c r="AL1557" s="1">
        <v>45086.7577662037</v>
      </c>
      <c r="AM1557" t="s">
        <v>44</v>
      </c>
    </row>
    <row r="1558" spans="1:39" x14ac:dyDescent="0.2">
      <c r="A1558" t="s">
        <v>1543</v>
      </c>
      <c r="B1558" t="s">
        <v>40</v>
      </c>
      <c r="C1558" t="s">
        <v>1537</v>
      </c>
      <c r="D1558" t="s">
        <v>42</v>
      </c>
      <c r="E1558" t="s">
        <v>43</v>
      </c>
      <c r="F1558" t="s">
        <v>44</v>
      </c>
      <c r="G1558" t="s">
        <v>45</v>
      </c>
      <c r="AH1558" t="s">
        <v>42</v>
      </c>
      <c r="AI1558" t="str">
        <f>"DAM-CG125"</f>
        <v>DAM-CG125</v>
      </c>
      <c r="AJ1558" t="str">
        <f>"DAM-CG125"</f>
        <v>DAM-CG125</v>
      </c>
      <c r="AK1558" t="s">
        <v>46</v>
      </c>
      <c r="AL1558" s="1">
        <v>45000.597592592596</v>
      </c>
      <c r="AM1558" t="s">
        <v>44</v>
      </c>
    </row>
    <row r="1559" spans="1:39" x14ac:dyDescent="0.2">
      <c r="A1559" t="s">
        <v>1544</v>
      </c>
      <c r="B1559" t="s">
        <v>40</v>
      </c>
      <c r="C1559" t="s">
        <v>1537</v>
      </c>
      <c r="D1559" t="s">
        <v>42</v>
      </c>
      <c r="E1559" t="s">
        <v>43</v>
      </c>
      <c r="F1559" t="s">
        <v>44</v>
      </c>
      <c r="G1559" t="s">
        <v>45</v>
      </c>
      <c r="AH1559" t="s">
        <v>42</v>
      </c>
      <c r="AI1559" t="str">
        <f>"66298843147772"</f>
        <v>66298843147772</v>
      </c>
      <c r="AJ1559" t="str">
        <f>"06410-KRF-S00ICH"</f>
        <v>06410-KRF-S00ICH</v>
      </c>
      <c r="AK1559" t="s">
        <v>46</v>
      </c>
      <c r="AL1559" s="1">
        <v>44816.55128472222</v>
      </c>
      <c r="AM1559" t="s">
        <v>44</v>
      </c>
    </row>
    <row r="1560" spans="1:39" x14ac:dyDescent="0.2">
      <c r="A1560" t="s">
        <v>1545</v>
      </c>
      <c r="B1560" t="s">
        <v>40</v>
      </c>
      <c r="C1560" t="s">
        <v>1537</v>
      </c>
      <c r="D1560" t="s">
        <v>42</v>
      </c>
      <c r="E1560" t="s">
        <v>43</v>
      </c>
      <c r="F1560" t="s">
        <v>44</v>
      </c>
      <c r="G1560" t="s">
        <v>45</v>
      </c>
      <c r="AH1560" t="s">
        <v>42</v>
      </c>
      <c r="AI1560" t="str">
        <f>"66298843192149"</f>
        <v>66298843192149</v>
      </c>
      <c r="AJ1560" t="str">
        <f>"400018"</f>
        <v>400018</v>
      </c>
      <c r="AK1560" t="s">
        <v>46</v>
      </c>
      <c r="AL1560" s="1">
        <v>44816.55128472222</v>
      </c>
      <c r="AM1560" t="s">
        <v>44</v>
      </c>
    </row>
    <row r="1561" spans="1:39" x14ac:dyDescent="0.2">
      <c r="A1561" t="s">
        <v>1546</v>
      </c>
      <c r="B1561" t="s">
        <v>40</v>
      </c>
      <c r="C1561" t="s">
        <v>1537</v>
      </c>
      <c r="D1561" t="s">
        <v>42</v>
      </c>
      <c r="E1561" t="s">
        <v>43</v>
      </c>
      <c r="F1561" t="s">
        <v>44</v>
      </c>
      <c r="G1561" t="s">
        <v>45</v>
      </c>
      <c r="AH1561" t="s">
        <v>42</v>
      </c>
      <c r="AI1561" t="str">
        <f>"2836"</f>
        <v>2836</v>
      </c>
      <c r="AJ1561" t="str">
        <f>"2836"</f>
        <v>2836</v>
      </c>
      <c r="AK1561" t="s">
        <v>46</v>
      </c>
      <c r="AL1561" s="1">
        <v>45131.854409722226</v>
      </c>
      <c r="AM1561" t="s">
        <v>44</v>
      </c>
    </row>
    <row r="1562" spans="1:39" x14ac:dyDescent="0.2">
      <c r="A1562" t="s">
        <v>1547</v>
      </c>
      <c r="B1562" t="s">
        <v>40</v>
      </c>
      <c r="C1562" t="s">
        <v>1537</v>
      </c>
      <c r="D1562" t="s">
        <v>42</v>
      </c>
      <c r="E1562" t="s">
        <v>43</v>
      </c>
      <c r="F1562" t="s">
        <v>44</v>
      </c>
      <c r="G1562" t="s">
        <v>45</v>
      </c>
      <c r="AH1562" t="s">
        <v>42</v>
      </c>
      <c r="AI1562" t="str">
        <f>"C012"</f>
        <v>C012</v>
      </c>
      <c r="AJ1562" t="str">
        <f>"C012"</f>
        <v>C012</v>
      </c>
      <c r="AK1562" t="s">
        <v>46</v>
      </c>
      <c r="AL1562" s="1">
        <v>45091.624803240738</v>
      </c>
      <c r="AM1562" t="s">
        <v>44</v>
      </c>
    </row>
    <row r="1563" spans="1:39" x14ac:dyDescent="0.2">
      <c r="A1563" t="s">
        <v>1548</v>
      </c>
      <c r="B1563" t="s">
        <v>40</v>
      </c>
      <c r="C1563" t="s">
        <v>1537</v>
      </c>
      <c r="D1563" t="s">
        <v>42</v>
      </c>
      <c r="E1563" t="s">
        <v>43</v>
      </c>
      <c r="F1563" t="s">
        <v>44</v>
      </c>
      <c r="G1563" t="s">
        <v>45</v>
      </c>
      <c r="AH1563" t="s">
        <v>42</v>
      </c>
      <c r="AI1563" t="str">
        <f>"NE003"</f>
        <v>NE003</v>
      </c>
      <c r="AJ1563" t="str">
        <f>"NE003"</f>
        <v>NE003</v>
      </c>
      <c r="AK1563" t="s">
        <v>46</v>
      </c>
      <c r="AL1563" s="1">
        <v>45091.610023148147</v>
      </c>
      <c r="AM1563" t="s">
        <v>44</v>
      </c>
    </row>
    <row r="1564" spans="1:39" x14ac:dyDescent="0.2">
      <c r="A1564" t="s">
        <v>1548</v>
      </c>
      <c r="B1564" t="s">
        <v>40</v>
      </c>
      <c r="C1564" t="s">
        <v>1537</v>
      </c>
      <c r="D1564" t="s">
        <v>42</v>
      </c>
      <c r="E1564" t="s">
        <v>43</v>
      </c>
      <c r="F1564" t="s">
        <v>44</v>
      </c>
      <c r="G1564" t="s">
        <v>45</v>
      </c>
      <c r="AH1564" t="s">
        <v>42</v>
      </c>
      <c r="AI1564" t="str">
        <f>"64651-45F00"</f>
        <v>64651-45F00</v>
      </c>
      <c r="AJ1564" t="str">
        <f>"64651-45F00"</f>
        <v>64651-45F00</v>
      </c>
      <c r="AK1564" t="s">
        <v>46</v>
      </c>
      <c r="AL1564" s="1">
        <v>45091.611273148148</v>
      </c>
      <c r="AM1564" t="s">
        <v>44</v>
      </c>
    </row>
    <row r="1565" spans="1:39" x14ac:dyDescent="0.2">
      <c r="A1565" t="s">
        <v>1549</v>
      </c>
      <c r="B1565" t="s">
        <v>40</v>
      </c>
      <c r="C1565" t="s">
        <v>1537</v>
      </c>
      <c r="D1565" t="s">
        <v>42</v>
      </c>
      <c r="E1565" t="s">
        <v>43</v>
      </c>
      <c r="F1565" t="s">
        <v>44</v>
      </c>
      <c r="G1565" t="s">
        <v>45</v>
      </c>
      <c r="AH1565" t="s">
        <v>42</v>
      </c>
      <c r="AI1565" t="str">
        <f>"NE001"</f>
        <v>NE001</v>
      </c>
      <c r="AJ1565" t="str">
        <f>"NE001"</f>
        <v>NE001</v>
      </c>
      <c r="AK1565" t="s">
        <v>46</v>
      </c>
      <c r="AL1565" s="1">
        <v>44858.681319444448</v>
      </c>
      <c r="AM1565" t="s">
        <v>44</v>
      </c>
    </row>
    <row r="1566" spans="1:39" x14ac:dyDescent="0.2">
      <c r="A1566" t="s">
        <v>1549</v>
      </c>
      <c r="B1566" t="s">
        <v>40</v>
      </c>
      <c r="C1566" t="s">
        <v>1537</v>
      </c>
      <c r="D1566" t="s">
        <v>42</v>
      </c>
      <c r="E1566" t="s">
        <v>43</v>
      </c>
      <c r="F1566" t="s">
        <v>44</v>
      </c>
      <c r="G1566" t="s">
        <v>45</v>
      </c>
      <c r="AH1566" t="s">
        <v>42</v>
      </c>
      <c r="AI1566" t="str">
        <f>"82444"</f>
        <v>82444</v>
      </c>
      <c r="AJ1566" t="str">
        <f>"82444"</f>
        <v>82444</v>
      </c>
      <c r="AK1566" t="s">
        <v>46</v>
      </c>
      <c r="AL1566" s="1">
        <v>45063.873993055553</v>
      </c>
      <c r="AM1566" t="s">
        <v>44</v>
      </c>
    </row>
    <row r="1567" spans="1:39" x14ac:dyDescent="0.2">
      <c r="A1567" t="s">
        <v>1550</v>
      </c>
      <c r="B1567" t="s">
        <v>40</v>
      </c>
      <c r="C1567" t="s">
        <v>1537</v>
      </c>
      <c r="D1567" t="s">
        <v>42</v>
      </c>
      <c r="E1567" t="s">
        <v>43</v>
      </c>
      <c r="F1567" t="s">
        <v>44</v>
      </c>
      <c r="G1567" t="s">
        <v>45</v>
      </c>
      <c r="AH1567" t="s">
        <v>42</v>
      </c>
      <c r="AI1567" t="str">
        <f>"12881"</f>
        <v>12881</v>
      </c>
      <c r="AJ1567" t="str">
        <f>"12881"</f>
        <v>12881</v>
      </c>
      <c r="AK1567" t="s">
        <v>46</v>
      </c>
      <c r="AL1567" s="1">
        <v>45001.801168981481</v>
      </c>
      <c r="AM1567" t="s">
        <v>44</v>
      </c>
    </row>
    <row r="1568" spans="1:39" x14ac:dyDescent="0.2">
      <c r="A1568" t="s">
        <v>1551</v>
      </c>
      <c r="B1568" t="s">
        <v>40</v>
      </c>
      <c r="C1568" t="s">
        <v>1537</v>
      </c>
      <c r="D1568" t="s">
        <v>42</v>
      </c>
      <c r="E1568" t="s">
        <v>43</v>
      </c>
      <c r="F1568" t="s">
        <v>44</v>
      </c>
      <c r="G1568" t="s">
        <v>45</v>
      </c>
      <c r="AH1568" t="s">
        <v>42</v>
      </c>
      <c r="AI1568" t="str">
        <f>"11704"</f>
        <v>11704</v>
      </c>
      <c r="AJ1568" t="str">
        <f>"11704"</f>
        <v>11704</v>
      </c>
      <c r="AK1568" t="s">
        <v>46</v>
      </c>
      <c r="AL1568" s="1">
        <v>45014.863055555557</v>
      </c>
      <c r="AM1568" t="s">
        <v>44</v>
      </c>
    </row>
    <row r="1569" spans="1:39" x14ac:dyDescent="0.2">
      <c r="A1569" t="s">
        <v>1552</v>
      </c>
      <c r="B1569" t="s">
        <v>40</v>
      </c>
      <c r="C1569" t="s">
        <v>1537</v>
      </c>
      <c r="D1569" t="s">
        <v>42</v>
      </c>
      <c r="E1569" t="s">
        <v>43</v>
      </c>
      <c r="F1569" t="s">
        <v>44</v>
      </c>
      <c r="G1569" t="s">
        <v>45</v>
      </c>
      <c r="AH1569" t="s">
        <v>42</v>
      </c>
      <c r="AI1569" t="str">
        <f>"66298843233925"</f>
        <v>66298843233925</v>
      </c>
      <c r="AJ1569" t="str">
        <f>"400019"</f>
        <v>400019</v>
      </c>
      <c r="AK1569" t="s">
        <v>46</v>
      </c>
      <c r="AL1569" s="1">
        <v>44816.551296296297</v>
      </c>
      <c r="AM1569" t="s">
        <v>44</v>
      </c>
    </row>
    <row r="1570" spans="1:39" x14ac:dyDescent="0.2">
      <c r="A1570" t="s">
        <v>1553</v>
      </c>
      <c r="B1570" t="s">
        <v>40</v>
      </c>
      <c r="C1570" t="s">
        <v>1537</v>
      </c>
      <c r="D1570" t="s">
        <v>42</v>
      </c>
      <c r="E1570" t="s">
        <v>43</v>
      </c>
      <c r="F1570" t="s">
        <v>44</v>
      </c>
      <c r="G1570" t="s">
        <v>45</v>
      </c>
      <c r="AH1570" t="s">
        <v>42</v>
      </c>
      <c r="AI1570" t="str">
        <f>"18CC002"</f>
        <v>18CC002</v>
      </c>
      <c r="AJ1570" t="str">
        <f>"18CC002"</f>
        <v>18CC002</v>
      </c>
      <c r="AK1570" t="s">
        <v>46</v>
      </c>
      <c r="AL1570" s="1">
        <v>44981.62228009259</v>
      </c>
      <c r="AM1570" t="s">
        <v>44</v>
      </c>
    </row>
    <row r="1571" spans="1:39" x14ac:dyDescent="0.2">
      <c r="A1571" t="s">
        <v>1554</v>
      </c>
      <c r="B1571" t="s">
        <v>40</v>
      </c>
      <c r="C1571" t="s">
        <v>1537</v>
      </c>
      <c r="D1571" t="s">
        <v>42</v>
      </c>
      <c r="E1571" t="s">
        <v>43</v>
      </c>
      <c r="F1571" t="s">
        <v>44</v>
      </c>
      <c r="G1571" t="s">
        <v>45</v>
      </c>
      <c r="AH1571" t="s">
        <v>42</v>
      </c>
      <c r="AI1571" t="str">
        <f>"66298843276252"</f>
        <v>66298843276252</v>
      </c>
      <c r="AJ1571" t="str">
        <f>"82327"</f>
        <v>82327</v>
      </c>
      <c r="AK1571" t="s">
        <v>46</v>
      </c>
      <c r="AL1571" s="1">
        <v>44816.551296296297</v>
      </c>
      <c r="AM1571" t="s">
        <v>44</v>
      </c>
    </row>
    <row r="1572" spans="1:39" x14ac:dyDescent="0.2">
      <c r="A1572" t="s">
        <v>1555</v>
      </c>
      <c r="B1572" t="s">
        <v>40</v>
      </c>
      <c r="C1572" t="s">
        <v>1537</v>
      </c>
      <c r="D1572" t="s">
        <v>42</v>
      </c>
      <c r="E1572" t="s">
        <v>43</v>
      </c>
      <c r="F1572" t="s">
        <v>44</v>
      </c>
      <c r="G1572" t="s">
        <v>45</v>
      </c>
      <c r="AH1572" t="s">
        <v>42</v>
      </c>
      <c r="AI1572" t="str">
        <f>"66298843320234"</f>
        <v>66298843320234</v>
      </c>
      <c r="AJ1572" t="str">
        <f>"400016"</f>
        <v>400016</v>
      </c>
      <c r="AK1572" t="s">
        <v>46</v>
      </c>
      <c r="AL1572" s="1">
        <v>44816.551307870373</v>
      </c>
      <c r="AM1572" t="s">
        <v>44</v>
      </c>
    </row>
    <row r="1573" spans="1:39" x14ac:dyDescent="0.2">
      <c r="A1573" t="s">
        <v>1556</v>
      </c>
      <c r="B1573" t="s">
        <v>40</v>
      </c>
      <c r="C1573" t="s">
        <v>1537</v>
      </c>
      <c r="D1573" t="s">
        <v>42</v>
      </c>
      <c r="E1573" t="s">
        <v>43</v>
      </c>
      <c r="F1573" t="s">
        <v>44</v>
      </c>
      <c r="G1573" t="s">
        <v>45</v>
      </c>
      <c r="AH1573" t="s">
        <v>42</v>
      </c>
      <c r="AI1573" t="str">
        <f>"NE002"</f>
        <v>NE002</v>
      </c>
      <c r="AJ1573" t="str">
        <f>"NE002"</f>
        <v>NE002</v>
      </c>
      <c r="AK1573" t="s">
        <v>46</v>
      </c>
      <c r="AL1573" s="1">
        <v>45091.63989583333</v>
      </c>
      <c r="AM1573" t="s">
        <v>44</v>
      </c>
    </row>
    <row r="1574" spans="1:39" x14ac:dyDescent="0.2">
      <c r="A1574" t="s">
        <v>1557</v>
      </c>
      <c r="B1574" t="s">
        <v>40</v>
      </c>
      <c r="C1574" t="s">
        <v>1537</v>
      </c>
      <c r="D1574" t="s">
        <v>42</v>
      </c>
      <c r="E1574" t="s">
        <v>43</v>
      </c>
      <c r="F1574" t="s">
        <v>44</v>
      </c>
      <c r="G1574" t="s">
        <v>45</v>
      </c>
      <c r="AH1574" t="s">
        <v>42</v>
      </c>
      <c r="AI1574" t="str">
        <f>"66298842913216"</f>
        <v>66298842913216</v>
      </c>
      <c r="AJ1574" t="str">
        <f>"64651H2C000H000"</f>
        <v>64651H2C000H000</v>
      </c>
      <c r="AK1574" t="s">
        <v>46</v>
      </c>
      <c r="AL1574" s="1">
        <v>44816.551261574074</v>
      </c>
      <c r="AM1574" t="s">
        <v>44</v>
      </c>
    </row>
    <row r="1575" spans="1:39" x14ac:dyDescent="0.2">
      <c r="A1575" t="s">
        <v>1558</v>
      </c>
      <c r="B1575" t="s">
        <v>40</v>
      </c>
      <c r="C1575" t="s">
        <v>1537</v>
      </c>
      <c r="D1575" t="s">
        <v>42</v>
      </c>
      <c r="E1575" t="s">
        <v>43</v>
      </c>
      <c r="F1575" t="s">
        <v>44</v>
      </c>
      <c r="G1575" t="s">
        <v>45</v>
      </c>
      <c r="AH1575" t="s">
        <v>42</v>
      </c>
      <c r="AI1575" t="str">
        <f>"66298842954620"</f>
        <v>66298842954620</v>
      </c>
      <c r="AJ1575" t="str">
        <f>"41241-307-010"</f>
        <v>41241-307-010</v>
      </c>
      <c r="AK1575" t="s">
        <v>46</v>
      </c>
      <c r="AL1575" s="1">
        <v>44816.551261574074</v>
      </c>
      <c r="AM1575" t="s">
        <v>44</v>
      </c>
    </row>
    <row r="1576" spans="1:39" x14ac:dyDescent="0.2">
      <c r="A1576" t="s">
        <v>1559</v>
      </c>
      <c r="B1576" t="s">
        <v>40</v>
      </c>
      <c r="C1576" t="s">
        <v>1560</v>
      </c>
      <c r="D1576" t="s">
        <v>42</v>
      </c>
      <c r="E1576" t="s">
        <v>43</v>
      </c>
      <c r="F1576" t="s">
        <v>44</v>
      </c>
      <c r="G1576" t="s">
        <v>45</v>
      </c>
      <c r="AH1576" t="s">
        <v>42</v>
      </c>
      <c r="AI1576" t="str">
        <f>"66298843359182"</f>
        <v>66298843359182</v>
      </c>
      <c r="AJ1576" t="str">
        <f>"R030-AZUL"</f>
        <v>R030-AZUL</v>
      </c>
      <c r="AK1576" t="s">
        <v>46</v>
      </c>
      <c r="AL1576" s="1">
        <v>44816.551307870373</v>
      </c>
      <c r="AM1576" t="s">
        <v>44</v>
      </c>
    </row>
    <row r="1577" spans="1:39" x14ac:dyDescent="0.2">
      <c r="A1577" t="s">
        <v>1561</v>
      </c>
      <c r="B1577" t="s">
        <v>40</v>
      </c>
      <c r="C1577" t="s">
        <v>1560</v>
      </c>
      <c r="D1577" t="s">
        <v>42</v>
      </c>
      <c r="E1577" t="s">
        <v>43</v>
      </c>
      <c r="F1577" t="s">
        <v>44</v>
      </c>
      <c r="G1577" t="s">
        <v>45</v>
      </c>
      <c r="AH1577" t="s">
        <v>42</v>
      </c>
      <c r="AI1577" t="str">
        <f>"66298843401870"</f>
        <v>66298843401870</v>
      </c>
      <c r="AJ1577" t="str">
        <f>"R030-NEGRO"</f>
        <v>R030-NEGRO</v>
      </c>
      <c r="AK1577" t="s">
        <v>46</v>
      </c>
      <c r="AL1577" s="1">
        <v>44816.551319444443</v>
      </c>
      <c r="AM1577" t="s">
        <v>44</v>
      </c>
    </row>
    <row r="1578" spans="1:39" x14ac:dyDescent="0.2">
      <c r="A1578" t="s">
        <v>1562</v>
      </c>
      <c r="B1578" t="s">
        <v>40</v>
      </c>
      <c r="C1578" t="s">
        <v>1560</v>
      </c>
      <c r="D1578" t="s">
        <v>42</v>
      </c>
      <c r="E1578" t="s">
        <v>43</v>
      </c>
      <c r="F1578" t="s">
        <v>44</v>
      </c>
      <c r="G1578" t="s">
        <v>45</v>
      </c>
      <c r="AH1578" t="s">
        <v>42</v>
      </c>
      <c r="AI1578" t="str">
        <f>"66298843445263"</f>
        <v>66298843445263</v>
      </c>
      <c r="AJ1578" t="str">
        <f>"R030-ROJO"</f>
        <v>R030-ROJO</v>
      </c>
      <c r="AK1578" t="s">
        <v>46</v>
      </c>
      <c r="AL1578" s="1">
        <v>44816.551319444443</v>
      </c>
      <c r="AM1578" t="s">
        <v>44</v>
      </c>
    </row>
    <row r="1579" spans="1:39" x14ac:dyDescent="0.2">
      <c r="A1579" t="s">
        <v>1563</v>
      </c>
      <c r="B1579" t="s">
        <v>40</v>
      </c>
      <c r="C1579" t="s">
        <v>1560</v>
      </c>
      <c r="D1579" t="s">
        <v>42</v>
      </c>
      <c r="E1579" t="s">
        <v>43</v>
      </c>
      <c r="F1579" t="s">
        <v>44</v>
      </c>
      <c r="G1579" t="s">
        <v>45</v>
      </c>
      <c r="AH1579" t="s">
        <v>42</v>
      </c>
      <c r="AI1579" t="str">
        <f>"66298843487229"</f>
        <v>66298843487229</v>
      </c>
      <c r="AJ1579" t="str">
        <f>"Q026"</f>
        <v>Q026</v>
      </c>
      <c r="AK1579" t="s">
        <v>46</v>
      </c>
      <c r="AL1579" s="1">
        <v>44816.551319444443</v>
      </c>
      <c r="AM1579" t="s">
        <v>44</v>
      </c>
    </row>
    <row r="1580" spans="1:39" x14ac:dyDescent="0.2">
      <c r="A1580" t="s">
        <v>1564</v>
      </c>
      <c r="B1580" t="s">
        <v>40</v>
      </c>
      <c r="C1580" t="s">
        <v>129</v>
      </c>
      <c r="D1580" t="s">
        <v>42</v>
      </c>
      <c r="E1580" t="s">
        <v>43</v>
      </c>
      <c r="F1580" t="s">
        <v>44</v>
      </c>
      <c r="G1580" t="s">
        <v>45</v>
      </c>
      <c r="AH1580" t="s">
        <v>42</v>
      </c>
      <c r="AI1580" t="str">
        <f>"NE011"</f>
        <v>NE011</v>
      </c>
      <c r="AJ1580" t="str">
        <f>"NE011"</f>
        <v>NE011</v>
      </c>
      <c r="AK1580" t="s">
        <v>46</v>
      </c>
      <c r="AL1580" s="1">
        <v>44858.812002314815</v>
      </c>
      <c r="AM1580" t="s">
        <v>44</v>
      </c>
    </row>
    <row r="1581" spans="1:39" x14ac:dyDescent="0.2">
      <c r="A1581" t="s">
        <v>1565</v>
      </c>
      <c r="B1581" t="s">
        <v>40</v>
      </c>
      <c r="C1581" t="s">
        <v>129</v>
      </c>
      <c r="D1581" t="s">
        <v>42</v>
      </c>
      <c r="E1581" t="s">
        <v>43</v>
      </c>
      <c r="F1581" t="s">
        <v>44</v>
      </c>
      <c r="G1581" t="s">
        <v>45</v>
      </c>
      <c r="AH1581" t="s">
        <v>42</v>
      </c>
      <c r="AI1581" t="str">
        <f>"66298843531660"</f>
        <v>66298843531660</v>
      </c>
      <c r="AJ1581" t="str">
        <f>"NE005"</f>
        <v>NE005</v>
      </c>
      <c r="AK1581" t="s">
        <v>46</v>
      </c>
      <c r="AL1581" s="1">
        <v>44816.55133101852</v>
      </c>
      <c r="AM1581" t="s">
        <v>44</v>
      </c>
    </row>
    <row r="1582" spans="1:39" x14ac:dyDescent="0.2">
      <c r="A1582" t="s">
        <v>1566</v>
      </c>
      <c r="B1582" t="s">
        <v>40</v>
      </c>
      <c r="C1582" t="s">
        <v>1567</v>
      </c>
      <c r="D1582" t="s">
        <v>42</v>
      </c>
      <c r="E1582" t="s">
        <v>43</v>
      </c>
      <c r="F1582" t="s">
        <v>44</v>
      </c>
      <c r="G1582" t="s">
        <v>45</v>
      </c>
      <c r="AH1582" t="s">
        <v>42</v>
      </c>
      <c r="AI1582" t="str">
        <f>"53004J110000"</f>
        <v>53004J110000</v>
      </c>
      <c r="AJ1582" t="str">
        <f>"53004J110000"</f>
        <v>53004J110000</v>
      </c>
      <c r="AK1582" t="s">
        <v>46</v>
      </c>
      <c r="AL1582" s="1">
        <v>45097.828900462962</v>
      </c>
      <c r="AM1582" t="s">
        <v>44</v>
      </c>
    </row>
    <row r="1583" spans="1:39" x14ac:dyDescent="0.2">
      <c r="A1583" t="s">
        <v>1568</v>
      </c>
      <c r="B1583" t="s">
        <v>40</v>
      </c>
      <c r="C1583" t="s">
        <v>129</v>
      </c>
      <c r="D1583" t="s">
        <v>42</v>
      </c>
      <c r="E1583" t="s">
        <v>43</v>
      </c>
      <c r="F1583" t="s">
        <v>44</v>
      </c>
      <c r="G1583" t="s">
        <v>45</v>
      </c>
      <c r="AH1583" t="s">
        <v>42</v>
      </c>
      <c r="AI1583" t="str">
        <f>"66298843575103"</f>
        <v>66298843575103</v>
      </c>
      <c r="AJ1583" t="str">
        <f>"JC057-VERDE"</f>
        <v>JC057-VERDE</v>
      </c>
      <c r="AK1583" t="s">
        <v>46</v>
      </c>
      <c r="AL1583" s="1">
        <v>44816.55133101852</v>
      </c>
      <c r="AM1583" t="s">
        <v>44</v>
      </c>
    </row>
    <row r="1584" spans="1:39" x14ac:dyDescent="0.2">
      <c r="A1584" t="s">
        <v>1569</v>
      </c>
      <c r="B1584" t="s">
        <v>40</v>
      </c>
      <c r="C1584" t="s">
        <v>129</v>
      </c>
      <c r="D1584" t="s">
        <v>42</v>
      </c>
      <c r="E1584" t="s">
        <v>43</v>
      </c>
      <c r="F1584" t="s">
        <v>44</v>
      </c>
      <c r="G1584" t="s">
        <v>45</v>
      </c>
      <c r="AH1584" t="s">
        <v>42</v>
      </c>
      <c r="AI1584" t="str">
        <f>"66298843618173"</f>
        <v>66298843618173</v>
      </c>
      <c r="AJ1584" t="str">
        <f>"400795"</f>
        <v>400795</v>
      </c>
      <c r="AK1584" t="s">
        <v>46</v>
      </c>
      <c r="AL1584" s="1">
        <v>44816.551342592589</v>
      </c>
      <c r="AM1584" t="s">
        <v>44</v>
      </c>
    </row>
    <row r="1585" spans="1:39" x14ac:dyDescent="0.2">
      <c r="A1585" t="s">
        <v>1570</v>
      </c>
      <c r="B1585" t="s">
        <v>40</v>
      </c>
      <c r="C1585" t="s">
        <v>1571</v>
      </c>
      <c r="D1585" t="s">
        <v>42</v>
      </c>
      <c r="E1585" t="s">
        <v>43</v>
      </c>
      <c r="F1585" t="s">
        <v>44</v>
      </c>
      <c r="G1585" t="s">
        <v>45</v>
      </c>
      <c r="AH1585" t="s">
        <v>42</v>
      </c>
      <c r="AI1585" t="str">
        <f>"H104"</f>
        <v>H104</v>
      </c>
      <c r="AJ1585" t="str">
        <f>"H104"</f>
        <v>H104</v>
      </c>
      <c r="AK1585" t="s">
        <v>46</v>
      </c>
      <c r="AL1585" s="1">
        <v>45058.90792824074</v>
      </c>
      <c r="AM1585" t="s">
        <v>44</v>
      </c>
    </row>
    <row r="1586" spans="1:39" x14ac:dyDescent="0.2">
      <c r="A1586" t="s">
        <v>1572</v>
      </c>
      <c r="B1586" t="s">
        <v>40</v>
      </c>
      <c r="C1586" t="s">
        <v>133</v>
      </c>
      <c r="D1586" t="s">
        <v>42</v>
      </c>
      <c r="E1586" t="s">
        <v>43</v>
      </c>
      <c r="F1586" t="s">
        <v>44</v>
      </c>
      <c r="G1586" t="s">
        <v>45</v>
      </c>
      <c r="AH1586" t="s">
        <v>42</v>
      </c>
      <c r="AI1586" t="str">
        <f>"66298843659694"</f>
        <v>66298843659694</v>
      </c>
      <c r="AJ1586" t="str">
        <f>"H010"</f>
        <v>H010</v>
      </c>
      <c r="AK1586" t="s">
        <v>46</v>
      </c>
      <c r="AL1586" s="1">
        <v>44816.551342592589</v>
      </c>
      <c r="AM1586" t="s">
        <v>44</v>
      </c>
    </row>
    <row r="1587" spans="1:39" x14ac:dyDescent="0.2">
      <c r="A1587" t="s">
        <v>1573</v>
      </c>
      <c r="B1587" t="s">
        <v>48</v>
      </c>
      <c r="C1587" t="s">
        <v>1067</v>
      </c>
      <c r="D1587" t="s">
        <v>42</v>
      </c>
      <c r="E1587" t="s">
        <v>42</v>
      </c>
      <c r="F1587" t="s">
        <v>44</v>
      </c>
      <c r="G1587" t="s">
        <v>45</v>
      </c>
      <c r="H1587" t="s">
        <v>1068</v>
      </c>
      <c r="AH1587" t="s">
        <v>42</v>
      </c>
      <c r="AI1587" t="str">
        <f>"DG-MT-CM-0-150"</f>
        <v>DG-MT-CM-0-150</v>
      </c>
      <c r="AJ1587" t="str">
        <f>"DG-MT-CM-0-150"</f>
        <v>DG-MT-CM-0-150</v>
      </c>
      <c r="AK1587" t="s">
        <v>46</v>
      </c>
      <c r="AL1587" s="1">
        <v>44816.676423611112</v>
      </c>
      <c r="AM1587" t="s">
        <v>44</v>
      </c>
    </row>
    <row r="1588" spans="1:39" x14ac:dyDescent="0.2">
      <c r="A1588" t="s">
        <v>1573</v>
      </c>
      <c r="B1588" t="s">
        <v>48</v>
      </c>
      <c r="C1588" t="s">
        <v>1067</v>
      </c>
      <c r="D1588" t="s">
        <v>42</v>
      </c>
      <c r="E1588" t="s">
        <v>42</v>
      </c>
      <c r="F1588" t="s">
        <v>44</v>
      </c>
      <c r="G1588" t="s">
        <v>45</v>
      </c>
      <c r="H1588" t="s">
        <v>1069</v>
      </c>
      <c r="AH1588" t="s">
        <v>42</v>
      </c>
      <c r="AI1588" t="str">
        <f>"DG-MT-CM-160-400"</f>
        <v>DG-MT-CM-160-400</v>
      </c>
      <c r="AJ1588" t="str">
        <f>"DG-MT-CM-160-400"</f>
        <v>DG-MT-CM-160-400</v>
      </c>
      <c r="AK1588" t="s">
        <v>46</v>
      </c>
      <c r="AL1588" s="1">
        <v>44816.692106481481</v>
      </c>
      <c r="AM1588" t="s">
        <v>44</v>
      </c>
    </row>
    <row r="1589" spans="1:39" x14ac:dyDescent="0.2">
      <c r="A1589" t="s">
        <v>1573</v>
      </c>
      <c r="B1589" t="s">
        <v>48</v>
      </c>
      <c r="C1589" t="s">
        <v>1067</v>
      </c>
      <c r="D1589" t="s">
        <v>42</v>
      </c>
      <c r="E1589" t="s">
        <v>42</v>
      </c>
      <c r="F1589" t="s">
        <v>44</v>
      </c>
      <c r="G1589" t="s">
        <v>45</v>
      </c>
      <c r="H1589" t="s">
        <v>1070</v>
      </c>
      <c r="AH1589" t="s">
        <v>42</v>
      </c>
      <c r="AI1589" t="str">
        <f>"DG-MT-CM-450-1000"</f>
        <v>DG-MT-CM-450-1000</v>
      </c>
      <c r="AJ1589" t="str">
        <f>"DG-MT-CM-450-1000"</f>
        <v>DG-MT-CM-450-1000</v>
      </c>
      <c r="AK1589" t="s">
        <v>46</v>
      </c>
      <c r="AL1589" s="1">
        <v>44816.692835648151</v>
      </c>
      <c r="AM1589" t="s">
        <v>44</v>
      </c>
    </row>
    <row r="1590" spans="1:39" x14ac:dyDescent="0.2">
      <c r="A1590" t="s">
        <v>1574</v>
      </c>
      <c r="B1590" t="s">
        <v>48</v>
      </c>
      <c r="C1590" t="s">
        <v>1067</v>
      </c>
      <c r="D1590" t="s">
        <v>42</v>
      </c>
      <c r="E1590" t="s">
        <v>42</v>
      </c>
      <c r="F1590" t="s">
        <v>44</v>
      </c>
      <c r="G1590" t="s">
        <v>45</v>
      </c>
      <c r="H1590" t="s">
        <v>1068</v>
      </c>
      <c r="AH1590" t="s">
        <v>42</v>
      </c>
      <c r="AI1590" t="str">
        <f>"DG-MT-SP-0-150"</f>
        <v>DG-MT-SP-0-150</v>
      </c>
      <c r="AJ1590" t="str">
        <f>"DG-MT-SP-0-150"</f>
        <v>DG-MT-SP-0-150</v>
      </c>
      <c r="AK1590" t="s">
        <v>46</v>
      </c>
      <c r="AL1590" s="1">
        <v>44816.673634259256</v>
      </c>
      <c r="AM1590" t="s">
        <v>44</v>
      </c>
    </row>
    <row r="1591" spans="1:39" x14ac:dyDescent="0.2">
      <c r="A1591" t="s">
        <v>1574</v>
      </c>
      <c r="B1591" t="s">
        <v>48</v>
      </c>
      <c r="C1591" t="s">
        <v>1067</v>
      </c>
      <c r="D1591" t="s">
        <v>42</v>
      </c>
      <c r="E1591" t="s">
        <v>42</v>
      </c>
      <c r="F1591" t="s">
        <v>44</v>
      </c>
      <c r="G1591" t="s">
        <v>45</v>
      </c>
      <c r="H1591" t="s">
        <v>1069</v>
      </c>
      <c r="AH1591" t="s">
        <v>42</v>
      </c>
      <c r="AI1591" t="str">
        <f>"DG-MT-SP-160-400"</f>
        <v>DG-MT-SP-160-400</v>
      </c>
      <c r="AJ1591" t="str">
        <f>"DG-MT-SP-160-400"</f>
        <v>DG-MT-SP-160-400</v>
      </c>
      <c r="AK1591" t="s">
        <v>46</v>
      </c>
      <c r="AL1591" s="1">
        <v>44816.686562499999</v>
      </c>
      <c r="AM1591" t="s">
        <v>44</v>
      </c>
    </row>
    <row r="1592" spans="1:39" x14ac:dyDescent="0.2">
      <c r="A1592" t="s">
        <v>1574</v>
      </c>
      <c r="B1592" t="s">
        <v>48</v>
      </c>
      <c r="C1592" t="s">
        <v>1067</v>
      </c>
      <c r="D1592" t="s">
        <v>42</v>
      </c>
      <c r="E1592" t="s">
        <v>42</v>
      </c>
      <c r="F1592" t="s">
        <v>44</v>
      </c>
      <c r="G1592" t="s">
        <v>45</v>
      </c>
      <c r="H1592" t="s">
        <v>1070</v>
      </c>
      <c r="AH1592" t="s">
        <v>42</v>
      </c>
      <c r="AI1592" t="str">
        <f>"DG-MT-SP-450-1000"</f>
        <v>DG-MT-SP-450-1000</v>
      </c>
      <c r="AJ1592" t="str">
        <f>"DG-MT-SP-450-1000"</f>
        <v>DG-MT-SP-450-1000</v>
      </c>
      <c r="AK1592" t="s">
        <v>46</v>
      </c>
      <c r="AL1592" s="1">
        <v>44816.687881944446</v>
      </c>
      <c r="AM1592" t="s">
        <v>44</v>
      </c>
    </row>
    <row r="1593" spans="1:39" x14ac:dyDescent="0.2">
      <c r="A1593" t="s">
        <v>1575</v>
      </c>
      <c r="B1593" t="s">
        <v>48</v>
      </c>
      <c r="C1593" t="s">
        <v>1067</v>
      </c>
      <c r="D1593" t="s">
        <v>42</v>
      </c>
      <c r="E1593" t="s">
        <v>42</v>
      </c>
      <c r="F1593" t="s">
        <v>44</v>
      </c>
      <c r="G1593" t="s">
        <v>45</v>
      </c>
      <c r="H1593" t="s">
        <v>1068</v>
      </c>
      <c r="AH1593" t="s">
        <v>42</v>
      </c>
      <c r="AI1593" t="str">
        <f>"DG-SE-0-150"</f>
        <v>DG-SE-0-150</v>
      </c>
      <c r="AJ1593" t="str">
        <f>"DG-SE-0-150"</f>
        <v>DG-SE-0-150</v>
      </c>
      <c r="AK1593" t="s">
        <v>46</v>
      </c>
      <c r="AL1593" s="1">
        <v>44848.707465277781</v>
      </c>
      <c r="AM1593" t="s">
        <v>44</v>
      </c>
    </row>
    <row r="1594" spans="1:39" x14ac:dyDescent="0.2">
      <c r="A1594" t="s">
        <v>1575</v>
      </c>
      <c r="B1594" t="s">
        <v>48</v>
      </c>
      <c r="C1594" t="s">
        <v>1067</v>
      </c>
      <c r="D1594" t="s">
        <v>42</v>
      </c>
      <c r="E1594" t="s">
        <v>42</v>
      </c>
      <c r="F1594" t="s">
        <v>44</v>
      </c>
      <c r="G1594" t="s">
        <v>45</v>
      </c>
      <c r="H1594" t="s">
        <v>1069</v>
      </c>
      <c r="AH1594" t="s">
        <v>42</v>
      </c>
      <c r="AI1594" t="str">
        <f>"DG-SE-160-400"</f>
        <v>DG-SE-160-400</v>
      </c>
      <c r="AJ1594" t="str">
        <f>"DG-SE-160-400"</f>
        <v>DG-SE-160-400</v>
      </c>
      <c r="AK1594" t="s">
        <v>46</v>
      </c>
      <c r="AL1594" s="1">
        <v>44848.708831018521</v>
      </c>
      <c r="AM1594" t="s">
        <v>44</v>
      </c>
    </row>
    <row r="1595" spans="1:39" x14ac:dyDescent="0.2">
      <c r="A1595" t="s">
        <v>1575</v>
      </c>
      <c r="B1595" t="s">
        <v>48</v>
      </c>
      <c r="C1595" t="s">
        <v>1067</v>
      </c>
      <c r="D1595" t="s">
        <v>42</v>
      </c>
      <c r="E1595" t="s">
        <v>42</v>
      </c>
      <c r="F1595" t="s">
        <v>44</v>
      </c>
      <c r="G1595" t="s">
        <v>45</v>
      </c>
      <c r="H1595" t="s">
        <v>1070</v>
      </c>
      <c r="AH1595" t="s">
        <v>42</v>
      </c>
      <c r="AI1595" t="str">
        <f>"DG-SE-450-1000"</f>
        <v>DG-SE-450-1000</v>
      </c>
      <c r="AJ1595" t="str">
        <f>"DG-SE-450-1000"</f>
        <v>DG-SE-450-1000</v>
      </c>
      <c r="AK1595" t="s">
        <v>46</v>
      </c>
      <c r="AL1595" s="1">
        <v>44848.709247685183</v>
      </c>
      <c r="AM1595" t="s">
        <v>44</v>
      </c>
    </row>
    <row r="1596" spans="1:39" x14ac:dyDescent="0.2">
      <c r="A1596" t="s">
        <v>1576</v>
      </c>
      <c r="B1596" t="s">
        <v>48</v>
      </c>
      <c r="C1596" t="s">
        <v>1067</v>
      </c>
      <c r="D1596" t="s">
        <v>42</v>
      </c>
      <c r="E1596" t="s">
        <v>42</v>
      </c>
      <c r="F1596" t="s">
        <v>44</v>
      </c>
      <c r="G1596" t="s">
        <v>45</v>
      </c>
      <c r="H1596" t="s">
        <v>1068</v>
      </c>
      <c r="AH1596" t="s">
        <v>42</v>
      </c>
      <c r="AI1596" t="str">
        <f>"DG-TS-SC-0-150"</f>
        <v>DG-TS-SC-0-150</v>
      </c>
      <c r="AJ1596" t="str">
        <f>"DG-TS-SC-0-150"</f>
        <v>DG-TS-SC-0-150</v>
      </c>
      <c r="AK1596" t="s">
        <v>46</v>
      </c>
      <c r="AL1596" s="1">
        <v>44816.678854166668</v>
      </c>
      <c r="AM1596" t="s">
        <v>44</v>
      </c>
    </row>
    <row r="1597" spans="1:39" x14ac:dyDescent="0.2">
      <c r="A1597" t="s">
        <v>1576</v>
      </c>
      <c r="B1597" t="s">
        <v>48</v>
      </c>
      <c r="C1597" t="s">
        <v>1067</v>
      </c>
      <c r="D1597" t="s">
        <v>42</v>
      </c>
      <c r="E1597" t="s">
        <v>42</v>
      </c>
      <c r="F1597" t="s">
        <v>44</v>
      </c>
      <c r="G1597" t="s">
        <v>45</v>
      </c>
      <c r="H1597" t="s">
        <v>1069</v>
      </c>
      <c r="AH1597" t="s">
        <v>42</v>
      </c>
      <c r="AI1597" t="str">
        <f>"DG-TS-SC-160-400"</f>
        <v>DG-TS-SC-160-400</v>
      </c>
      <c r="AJ1597" t="str">
        <f>"DG-TS-SC-160-400"</f>
        <v>DG-TS-SC-160-400</v>
      </c>
      <c r="AK1597" t="s">
        <v>46</v>
      </c>
      <c r="AL1597" s="1">
        <v>44816.693888888891</v>
      </c>
      <c r="AM1597" t="s">
        <v>44</v>
      </c>
    </row>
    <row r="1598" spans="1:39" x14ac:dyDescent="0.2">
      <c r="A1598" t="s">
        <v>1577</v>
      </c>
      <c r="B1598" t="s">
        <v>40</v>
      </c>
      <c r="C1598" t="s">
        <v>1578</v>
      </c>
      <c r="D1598" t="s">
        <v>42</v>
      </c>
      <c r="E1598" t="s">
        <v>43</v>
      </c>
      <c r="F1598" t="s">
        <v>44</v>
      </c>
      <c r="G1598" t="s">
        <v>45</v>
      </c>
      <c r="AH1598" t="s">
        <v>42</v>
      </c>
      <c r="AI1598" t="str">
        <f>"66298843699745"</f>
        <v>66298843699745</v>
      </c>
      <c r="AJ1598" t="str">
        <f>"537-16321-00"</f>
        <v>537-16321-00</v>
      </c>
      <c r="AK1598" t="s">
        <v>46</v>
      </c>
      <c r="AL1598" s="1">
        <v>44816.551342592589</v>
      </c>
      <c r="AM1598" t="s">
        <v>44</v>
      </c>
    </row>
    <row r="1599" spans="1:39" x14ac:dyDescent="0.2">
      <c r="A1599" t="s">
        <v>1579</v>
      </c>
      <c r="B1599" t="s">
        <v>40</v>
      </c>
      <c r="C1599" t="s">
        <v>1578</v>
      </c>
      <c r="D1599" t="s">
        <v>42</v>
      </c>
      <c r="E1599" t="s">
        <v>43</v>
      </c>
      <c r="F1599" t="s">
        <v>44</v>
      </c>
      <c r="G1599" t="s">
        <v>45</v>
      </c>
      <c r="AH1599" t="s">
        <v>42</v>
      </c>
      <c r="AI1599" t="str">
        <f>"66298843739955"</f>
        <v>66298843739955</v>
      </c>
      <c r="AJ1599" t="str">
        <f>"22201-KWS-901JP"</f>
        <v>22201-KWS-901JP</v>
      </c>
      <c r="AK1599" t="s">
        <v>46</v>
      </c>
      <c r="AL1599" s="1">
        <v>44816.551354166666</v>
      </c>
      <c r="AM1599" t="s">
        <v>44</v>
      </c>
    </row>
    <row r="1600" spans="1:39" x14ac:dyDescent="0.2">
      <c r="A1600" t="s">
        <v>1580</v>
      </c>
      <c r="B1600" t="s">
        <v>40</v>
      </c>
      <c r="C1600" t="s">
        <v>1578</v>
      </c>
      <c r="D1600" t="s">
        <v>42</v>
      </c>
      <c r="E1600" t="s">
        <v>43</v>
      </c>
      <c r="F1600" t="s">
        <v>44</v>
      </c>
      <c r="G1600" t="s">
        <v>45</v>
      </c>
      <c r="AH1600" t="s">
        <v>42</v>
      </c>
      <c r="AI1600" t="str">
        <f>"22201-KPM-850JP"</f>
        <v>22201-KPM-850JP</v>
      </c>
      <c r="AJ1600" t="str">
        <f>"22201-KPM-850JP"</f>
        <v>22201-KPM-850JP</v>
      </c>
      <c r="AK1600" t="s">
        <v>46</v>
      </c>
      <c r="AL1600" s="1">
        <v>45078.857395833336</v>
      </c>
      <c r="AM1600" t="s">
        <v>44</v>
      </c>
    </row>
    <row r="1601" spans="1:39" x14ac:dyDescent="0.2">
      <c r="A1601" t="s">
        <v>1581</v>
      </c>
      <c r="B1601" t="s">
        <v>40</v>
      </c>
      <c r="C1601" t="s">
        <v>1578</v>
      </c>
      <c r="D1601" t="s">
        <v>42</v>
      </c>
      <c r="E1601" t="s">
        <v>43</v>
      </c>
      <c r="F1601" t="s">
        <v>44</v>
      </c>
      <c r="G1601" t="s">
        <v>45</v>
      </c>
      <c r="AH1601" t="s">
        <v>42</v>
      </c>
      <c r="AI1601" t="str">
        <f>"66298843781215"</f>
        <v>66298843781215</v>
      </c>
      <c r="AJ1601" t="str">
        <f>"21V-16321-00JP"</f>
        <v>21V-16321-00JP</v>
      </c>
      <c r="AK1601" t="s">
        <v>46</v>
      </c>
      <c r="AL1601" s="1">
        <v>44816.551354166666</v>
      </c>
      <c r="AM1601" t="s">
        <v>44</v>
      </c>
    </row>
    <row r="1602" spans="1:39" x14ac:dyDescent="0.2">
      <c r="A1602" t="s">
        <v>1582</v>
      </c>
      <c r="B1602" t="s">
        <v>40</v>
      </c>
      <c r="C1602" t="s">
        <v>1578</v>
      </c>
      <c r="D1602" t="s">
        <v>42</v>
      </c>
      <c r="E1602" t="s">
        <v>43</v>
      </c>
      <c r="F1602" t="s">
        <v>44</v>
      </c>
      <c r="G1602" t="s">
        <v>45</v>
      </c>
      <c r="AH1602" t="s">
        <v>42</v>
      </c>
      <c r="AI1602" t="str">
        <f>"66298843822934"</f>
        <v>66298843822934</v>
      </c>
      <c r="AJ1602" t="str">
        <f>"21C-E6321-00"</f>
        <v>21C-E6321-00</v>
      </c>
      <c r="AK1602" t="s">
        <v>46</v>
      </c>
      <c r="AL1602" s="1">
        <v>44816.551365740743</v>
      </c>
      <c r="AM1602" t="s">
        <v>44</v>
      </c>
    </row>
    <row r="1603" spans="1:39" x14ac:dyDescent="0.2">
      <c r="A1603" t="s">
        <v>1583</v>
      </c>
      <c r="B1603" t="s">
        <v>40</v>
      </c>
      <c r="C1603" t="s">
        <v>1578</v>
      </c>
      <c r="D1603" t="s">
        <v>42</v>
      </c>
      <c r="E1603" t="s">
        <v>43</v>
      </c>
      <c r="F1603" t="s">
        <v>44</v>
      </c>
      <c r="G1603" t="s">
        <v>45</v>
      </c>
      <c r="AH1603" t="s">
        <v>42</v>
      </c>
      <c r="AI1603" t="str">
        <f>"66298843874765"</f>
        <v>66298843874765</v>
      </c>
      <c r="AJ1603" t="str">
        <f>"CD001"</f>
        <v>CD001</v>
      </c>
      <c r="AK1603" t="s">
        <v>46</v>
      </c>
      <c r="AL1603" s="1">
        <v>44816.551365740743</v>
      </c>
      <c r="AM1603" t="s">
        <v>44</v>
      </c>
    </row>
    <row r="1604" spans="1:39" x14ac:dyDescent="0.2">
      <c r="A1604" t="s">
        <v>1584</v>
      </c>
      <c r="B1604" t="s">
        <v>40</v>
      </c>
      <c r="C1604" t="s">
        <v>1578</v>
      </c>
      <c r="D1604" t="s">
        <v>42</v>
      </c>
      <c r="E1604" t="s">
        <v>43</v>
      </c>
      <c r="F1604" t="s">
        <v>44</v>
      </c>
      <c r="G1604" t="s">
        <v>45</v>
      </c>
      <c r="AH1604" t="s">
        <v>42</v>
      </c>
      <c r="AI1604" t="str">
        <f>"66298843916781"</f>
        <v>66298843916781</v>
      </c>
      <c r="AJ1604" t="str">
        <f>"21441-13A01JP"</f>
        <v>21441-13A01JP</v>
      </c>
      <c r="AK1604" t="s">
        <v>46</v>
      </c>
      <c r="AL1604" s="1">
        <v>44816.551377314812</v>
      </c>
      <c r="AM1604" t="s">
        <v>44</v>
      </c>
    </row>
    <row r="1605" spans="1:39" x14ac:dyDescent="0.2">
      <c r="A1605" t="s">
        <v>1585</v>
      </c>
      <c r="B1605" t="s">
        <v>40</v>
      </c>
      <c r="C1605" t="s">
        <v>1578</v>
      </c>
      <c r="D1605" t="s">
        <v>42</v>
      </c>
      <c r="E1605" t="s">
        <v>43</v>
      </c>
      <c r="F1605" t="s">
        <v>44</v>
      </c>
      <c r="G1605" t="s">
        <v>45</v>
      </c>
      <c r="AH1605" t="s">
        <v>42</v>
      </c>
      <c r="AI1605" t="str">
        <f>"13088-040JP"</f>
        <v>13088-040JP</v>
      </c>
      <c r="AJ1605" t="str">
        <f>"13088-040JP"</f>
        <v>13088-040JP</v>
      </c>
      <c r="AK1605" t="s">
        <v>46</v>
      </c>
      <c r="AL1605" s="1">
        <v>44889.816319444442</v>
      </c>
      <c r="AM1605" t="s">
        <v>44</v>
      </c>
    </row>
    <row r="1606" spans="1:39" x14ac:dyDescent="0.2">
      <c r="A1606" t="s">
        <v>1586</v>
      </c>
      <c r="B1606" t="s">
        <v>40</v>
      </c>
      <c r="C1606" t="s">
        <v>1578</v>
      </c>
      <c r="D1606" t="s">
        <v>42</v>
      </c>
      <c r="E1606" t="s">
        <v>43</v>
      </c>
      <c r="F1606" t="s">
        <v>44</v>
      </c>
      <c r="G1606" t="s">
        <v>45</v>
      </c>
      <c r="AH1606" t="s">
        <v>42</v>
      </c>
      <c r="AI1606" t="str">
        <f>"66298843960464"</f>
        <v>66298843960464</v>
      </c>
      <c r="AJ1606" t="str">
        <f>"DH-1014-99"</f>
        <v>DH-1014-99</v>
      </c>
      <c r="AK1606" t="s">
        <v>46</v>
      </c>
      <c r="AL1606" s="1">
        <v>44816.551377314812</v>
      </c>
      <c r="AM1606" t="s">
        <v>44</v>
      </c>
    </row>
    <row r="1607" spans="1:39" x14ac:dyDescent="0.2">
      <c r="A1607" t="s">
        <v>1587</v>
      </c>
      <c r="B1607" t="s">
        <v>40</v>
      </c>
      <c r="C1607" t="s">
        <v>1578</v>
      </c>
      <c r="D1607" t="s">
        <v>42</v>
      </c>
      <c r="E1607" t="s">
        <v>43</v>
      </c>
      <c r="F1607" t="s">
        <v>44</v>
      </c>
      <c r="G1607" t="s">
        <v>45</v>
      </c>
      <c r="AH1607" t="s">
        <v>42</v>
      </c>
      <c r="AI1607" t="str">
        <f>"66298844002791"</f>
        <v>66298844002791</v>
      </c>
      <c r="AJ1607" t="str">
        <f>"22201-MAE-000"</f>
        <v>22201-MAE-000</v>
      </c>
      <c r="AK1607" t="s">
        <v>46</v>
      </c>
      <c r="AL1607" s="1">
        <v>44816.551388888889</v>
      </c>
      <c r="AM1607" t="s">
        <v>44</v>
      </c>
    </row>
    <row r="1608" spans="1:39" x14ac:dyDescent="0.2">
      <c r="A1608" t="s">
        <v>1588</v>
      </c>
      <c r="B1608" t="s">
        <v>40</v>
      </c>
      <c r="C1608" t="s">
        <v>1578</v>
      </c>
      <c r="D1608" t="s">
        <v>42</v>
      </c>
      <c r="E1608" t="s">
        <v>43</v>
      </c>
      <c r="F1608" t="s">
        <v>44</v>
      </c>
      <c r="G1608" t="s">
        <v>45</v>
      </c>
      <c r="AH1608" t="s">
        <v>42</v>
      </c>
      <c r="AI1608" t="str">
        <f>"66298844055158"</f>
        <v>66298844055158</v>
      </c>
      <c r="AJ1608" t="str">
        <f>"22201-302-000"</f>
        <v>22201-302-000</v>
      </c>
      <c r="AK1608" t="s">
        <v>46</v>
      </c>
      <c r="AL1608" s="1">
        <v>44816.551388888889</v>
      </c>
      <c r="AM1608" t="s">
        <v>44</v>
      </c>
    </row>
    <row r="1609" spans="1:39" x14ac:dyDescent="0.2">
      <c r="A1609" t="s">
        <v>1589</v>
      </c>
      <c r="B1609" t="s">
        <v>40</v>
      </c>
      <c r="C1609" t="s">
        <v>1590</v>
      </c>
      <c r="D1609" t="s">
        <v>42</v>
      </c>
      <c r="E1609" t="s">
        <v>43</v>
      </c>
      <c r="F1609" t="s">
        <v>44</v>
      </c>
      <c r="G1609" t="s">
        <v>45</v>
      </c>
      <c r="AH1609" t="s">
        <v>42</v>
      </c>
      <c r="AI1609" t="str">
        <f>"66298844101542"</f>
        <v>66298844101542</v>
      </c>
      <c r="AJ1609" t="str">
        <f>"45121-LGB5-E80JP"</f>
        <v>45121-LGB5-E80JP</v>
      </c>
      <c r="AK1609" t="s">
        <v>46</v>
      </c>
      <c r="AL1609" s="1">
        <v>44816.551400462966</v>
      </c>
      <c r="AM1609" t="s">
        <v>44</v>
      </c>
    </row>
    <row r="1610" spans="1:39" x14ac:dyDescent="0.2">
      <c r="A1610" t="s">
        <v>1591</v>
      </c>
      <c r="B1610" t="s">
        <v>40</v>
      </c>
      <c r="C1610" t="s">
        <v>1590</v>
      </c>
      <c r="D1610" t="s">
        <v>42</v>
      </c>
      <c r="E1610" t="s">
        <v>43</v>
      </c>
      <c r="F1610" t="s">
        <v>44</v>
      </c>
      <c r="G1610" t="s">
        <v>45</v>
      </c>
      <c r="AH1610" t="s">
        <v>42</v>
      </c>
      <c r="AI1610" t="str">
        <f>"66298844149237"</f>
        <v>66298844149237</v>
      </c>
      <c r="AJ1610" t="str">
        <f>"XN-12000-000JP"</f>
        <v>XN-12000-000JP</v>
      </c>
      <c r="AK1610" t="s">
        <v>46</v>
      </c>
      <c r="AL1610" s="1">
        <v>44816.551400462966</v>
      </c>
      <c r="AM1610" t="s">
        <v>44</v>
      </c>
    </row>
    <row r="1611" spans="1:39" x14ac:dyDescent="0.2">
      <c r="A1611" t="s">
        <v>1592</v>
      </c>
      <c r="B1611" t="s">
        <v>40</v>
      </c>
      <c r="C1611" t="s">
        <v>1590</v>
      </c>
      <c r="D1611" t="s">
        <v>42</v>
      </c>
      <c r="E1611" t="s">
        <v>43</v>
      </c>
      <c r="F1611" t="s">
        <v>44</v>
      </c>
      <c r="G1611" t="s">
        <v>45</v>
      </c>
      <c r="AH1611" t="s">
        <v>42</v>
      </c>
      <c r="AI1611" t="str">
        <f>"66298844202134"</f>
        <v>66298844202134</v>
      </c>
      <c r="AJ1611" t="str">
        <f>"XM-12000-000"</f>
        <v>XM-12000-000</v>
      </c>
      <c r="AK1611" t="s">
        <v>46</v>
      </c>
      <c r="AL1611" s="1">
        <v>44816.551412037035</v>
      </c>
      <c r="AM1611" t="s">
        <v>44</v>
      </c>
    </row>
    <row r="1612" spans="1:39" x14ac:dyDescent="0.2">
      <c r="A1612" t="s">
        <v>1593</v>
      </c>
      <c r="B1612" t="s">
        <v>40</v>
      </c>
      <c r="C1612" t="s">
        <v>1590</v>
      </c>
      <c r="D1612" t="s">
        <v>42</v>
      </c>
      <c r="E1612" t="s">
        <v>43</v>
      </c>
      <c r="F1612" t="s">
        <v>44</v>
      </c>
      <c r="G1612" t="s">
        <v>45</v>
      </c>
      <c r="AH1612" t="s">
        <v>42</v>
      </c>
      <c r="AI1612" t="str">
        <f>"66298844353852"</f>
        <v>66298844353852</v>
      </c>
      <c r="AJ1612" t="str">
        <f>"PP-12000-000JP"</f>
        <v>PP-12000-000JP</v>
      </c>
      <c r="AK1612" t="s">
        <v>46</v>
      </c>
      <c r="AL1612" s="1">
        <v>44816.551423611112</v>
      </c>
      <c r="AM1612" t="s">
        <v>44</v>
      </c>
    </row>
    <row r="1613" spans="1:39" x14ac:dyDescent="0.2">
      <c r="A1613" t="s">
        <v>1594</v>
      </c>
      <c r="B1613" t="s">
        <v>40</v>
      </c>
      <c r="C1613" t="s">
        <v>1590</v>
      </c>
      <c r="D1613" t="s">
        <v>42</v>
      </c>
      <c r="E1613" t="s">
        <v>43</v>
      </c>
      <c r="F1613" t="s">
        <v>44</v>
      </c>
      <c r="G1613" t="s">
        <v>45</v>
      </c>
      <c r="AH1613" t="s">
        <v>42</v>
      </c>
      <c r="AI1613" t="str">
        <f>"2395"</f>
        <v>2395</v>
      </c>
      <c r="AJ1613" t="str">
        <f>"2395"</f>
        <v>2395</v>
      </c>
      <c r="AK1613" t="s">
        <v>46</v>
      </c>
      <c r="AL1613" s="1">
        <v>45027.624293981484</v>
      </c>
      <c r="AM1613" t="s">
        <v>44</v>
      </c>
    </row>
    <row r="1614" spans="1:39" x14ac:dyDescent="0.2">
      <c r="A1614" t="s">
        <v>1595</v>
      </c>
      <c r="B1614" t="s">
        <v>40</v>
      </c>
      <c r="C1614" t="s">
        <v>1590</v>
      </c>
      <c r="D1614" t="s">
        <v>42</v>
      </c>
      <c r="E1614" t="s">
        <v>43</v>
      </c>
      <c r="F1614" t="s">
        <v>44</v>
      </c>
      <c r="G1614" t="s">
        <v>45</v>
      </c>
      <c r="AH1614" t="s">
        <v>42</v>
      </c>
      <c r="AI1614" t="str">
        <f>"66298844535747"</f>
        <v>66298844535747</v>
      </c>
      <c r="AJ1614" t="str">
        <f>"JW-1318-06"</f>
        <v>JW-1318-06</v>
      </c>
      <c r="AK1614" t="s">
        <v>46</v>
      </c>
      <c r="AL1614" s="1">
        <v>44816.551446759258</v>
      </c>
      <c r="AM1614" t="s">
        <v>44</v>
      </c>
    </row>
    <row r="1615" spans="1:39" x14ac:dyDescent="0.2">
      <c r="A1615" t="s">
        <v>1596</v>
      </c>
      <c r="B1615" t="s">
        <v>40</v>
      </c>
      <c r="C1615" t="s">
        <v>1590</v>
      </c>
      <c r="D1615" t="s">
        <v>42</v>
      </c>
      <c r="E1615" t="s">
        <v>43</v>
      </c>
      <c r="F1615" t="s">
        <v>44</v>
      </c>
      <c r="G1615" t="s">
        <v>45</v>
      </c>
      <c r="AH1615" t="s">
        <v>42</v>
      </c>
      <c r="AI1615" t="str">
        <f>"5S9-F582U-00JP"</f>
        <v>5S9-F582U-00JP</v>
      </c>
      <c r="AJ1615" t="str">
        <f>"5S9-F582U-00JP"</f>
        <v>5S9-F582U-00JP</v>
      </c>
      <c r="AK1615" t="s">
        <v>46</v>
      </c>
      <c r="AL1615" s="1">
        <v>45091.645289351851</v>
      </c>
      <c r="AM1615" t="s">
        <v>44</v>
      </c>
    </row>
    <row r="1616" spans="1:39" x14ac:dyDescent="0.2">
      <c r="A1616" t="s">
        <v>1597</v>
      </c>
      <c r="B1616" t="s">
        <v>40</v>
      </c>
      <c r="C1616" t="s">
        <v>1590</v>
      </c>
      <c r="D1616" t="s">
        <v>42</v>
      </c>
      <c r="E1616" t="s">
        <v>43</v>
      </c>
      <c r="F1616" t="s">
        <v>44</v>
      </c>
      <c r="G1616" t="s">
        <v>45</v>
      </c>
      <c r="AH1616" t="s">
        <v>42</v>
      </c>
      <c r="AI1616" t="str">
        <f>"NA047"</f>
        <v>NA047</v>
      </c>
      <c r="AJ1616" t="str">
        <f>"NA047"</f>
        <v>NA047</v>
      </c>
      <c r="AK1616" t="s">
        <v>46</v>
      </c>
      <c r="AL1616" s="1">
        <v>44995.834490740737</v>
      </c>
      <c r="AM1616" t="s">
        <v>44</v>
      </c>
    </row>
    <row r="1617" spans="1:39" x14ac:dyDescent="0.2">
      <c r="A1617" t="s">
        <v>1598</v>
      </c>
      <c r="B1617" t="s">
        <v>40</v>
      </c>
      <c r="C1617" t="s">
        <v>1590</v>
      </c>
      <c r="D1617" t="s">
        <v>42</v>
      </c>
      <c r="E1617" t="s">
        <v>43</v>
      </c>
      <c r="F1617" t="s">
        <v>44</v>
      </c>
      <c r="G1617" t="s">
        <v>45</v>
      </c>
      <c r="AH1617" t="s">
        <v>42</v>
      </c>
      <c r="AI1617" t="str">
        <f>"66298844396713"</f>
        <v>66298844396713</v>
      </c>
      <c r="AJ1617" t="str">
        <f>"45251-K43-901JP"</f>
        <v>45251-K43-901JP</v>
      </c>
      <c r="AK1617" t="s">
        <v>46</v>
      </c>
      <c r="AL1617" s="1">
        <v>44816.551423611112</v>
      </c>
      <c r="AM1617" t="s">
        <v>44</v>
      </c>
    </row>
    <row r="1618" spans="1:39" x14ac:dyDescent="0.2">
      <c r="A1618" t="s">
        <v>1599</v>
      </c>
      <c r="B1618" t="s">
        <v>40</v>
      </c>
      <c r="C1618" t="s">
        <v>1590</v>
      </c>
      <c r="D1618" t="s">
        <v>42</v>
      </c>
      <c r="E1618" t="s">
        <v>43</v>
      </c>
      <c r="F1618" t="s">
        <v>44</v>
      </c>
      <c r="G1618" t="s">
        <v>45</v>
      </c>
      <c r="AH1618" t="s">
        <v>42</v>
      </c>
      <c r="AI1618" t="str">
        <f>"2950"</f>
        <v>2950</v>
      </c>
      <c r="AJ1618" t="str">
        <f>"2950"</f>
        <v>2950</v>
      </c>
      <c r="AK1618" t="s">
        <v>46</v>
      </c>
      <c r="AL1618" s="1">
        <v>44950.837442129632</v>
      </c>
      <c r="AM1618" t="s">
        <v>44</v>
      </c>
    </row>
    <row r="1619" spans="1:39" x14ac:dyDescent="0.2">
      <c r="A1619" t="s">
        <v>1600</v>
      </c>
      <c r="B1619" t="s">
        <v>40</v>
      </c>
      <c r="C1619" t="s">
        <v>1590</v>
      </c>
      <c r="D1619" t="s">
        <v>42</v>
      </c>
      <c r="E1619" t="s">
        <v>43</v>
      </c>
      <c r="F1619" t="s">
        <v>44</v>
      </c>
      <c r="G1619" t="s">
        <v>45</v>
      </c>
      <c r="AH1619" t="s">
        <v>42</v>
      </c>
      <c r="AI1619" t="str">
        <f>"66298844442947"</f>
        <v>66298844442947</v>
      </c>
      <c r="AJ1619" t="str">
        <f>"45251-K70-601JP"</f>
        <v>45251-K70-601JP</v>
      </c>
      <c r="AK1619" t="s">
        <v>46</v>
      </c>
      <c r="AL1619" s="1">
        <v>44816.551435185182</v>
      </c>
      <c r="AM1619" t="s">
        <v>44</v>
      </c>
    </row>
    <row r="1620" spans="1:39" x14ac:dyDescent="0.2">
      <c r="A1620" t="s">
        <v>1601</v>
      </c>
      <c r="B1620" t="s">
        <v>40</v>
      </c>
      <c r="C1620" t="s">
        <v>1590</v>
      </c>
      <c r="D1620" t="s">
        <v>42</v>
      </c>
      <c r="E1620" t="s">
        <v>43</v>
      </c>
      <c r="F1620" t="s">
        <v>44</v>
      </c>
      <c r="G1620" t="s">
        <v>45</v>
      </c>
      <c r="AH1620" t="s">
        <v>42</v>
      </c>
      <c r="AI1620" t="str">
        <f>"45251-KSP-861JP"</f>
        <v>45251-KSP-861JP</v>
      </c>
      <c r="AJ1620" t="str">
        <f>"45251-KSP-861JP"</f>
        <v>45251-KSP-861JP</v>
      </c>
      <c r="AK1620" t="s">
        <v>46</v>
      </c>
      <c r="AL1620" s="1">
        <v>44870.6715625</v>
      </c>
      <c r="AM1620" t="s">
        <v>44</v>
      </c>
    </row>
    <row r="1621" spans="1:39" x14ac:dyDescent="0.2">
      <c r="A1621" t="s">
        <v>1602</v>
      </c>
      <c r="B1621" t="s">
        <v>40</v>
      </c>
      <c r="C1621" t="s">
        <v>1590</v>
      </c>
      <c r="D1621" t="s">
        <v>42</v>
      </c>
      <c r="E1621" t="s">
        <v>43</v>
      </c>
      <c r="F1621" t="s">
        <v>44</v>
      </c>
      <c r="G1621" t="s">
        <v>45</v>
      </c>
      <c r="AH1621" t="s">
        <v>42</v>
      </c>
      <c r="AI1621" t="str">
        <f>"66298844486648"</f>
        <v>66298844486648</v>
      </c>
      <c r="AJ1621" t="str">
        <f>"45120-KYJ-711JP"</f>
        <v>45120-KYJ-711JP</v>
      </c>
      <c r="AK1621" t="s">
        <v>46</v>
      </c>
      <c r="AL1621" s="1">
        <v>44816.551435185182</v>
      </c>
      <c r="AM1621" t="s">
        <v>44</v>
      </c>
    </row>
    <row r="1622" spans="1:39" x14ac:dyDescent="0.2">
      <c r="A1622" t="s">
        <v>1603</v>
      </c>
      <c r="B1622" t="s">
        <v>40</v>
      </c>
      <c r="C1622" t="s">
        <v>1590</v>
      </c>
      <c r="D1622" t="s">
        <v>42</v>
      </c>
      <c r="E1622" t="s">
        <v>43</v>
      </c>
      <c r="F1622" t="s">
        <v>44</v>
      </c>
      <c r="G1622" t="s">
        <v>45</v>
      </c>
      <c r="AH1622" t="s">
        <v>42</v>
      </c>
      <c r="AI1622" t="str">
        <f>"66298844581629"</f>
        <v>66298844581629</v>
      </c>
      <c r="AJ1622" t="str">
        <f>"59221-13A01JP"</f>
        <v>59221-13A01JP</v>
      </c>
      <c r="AK1622" t="s">
        <v>46</v>
      </c>
      <c r="AL1622" s="1">
        <v>44816.551446759258</v>
      </c>
      <c r="AM1622" t="s">
        <v>44</v>
      </c>
    </row>
    <row r="1623" spans="1:39" x14ac:dyDescent="0.2">
      <c r="A1623" t="s">
        <v>1604</v>
      </c>
      <c r="B1623" t="s">
        <v>40</v>
      </c>
      <c r="C1623" t="s">
        <v>1590</v>
      </c>
      <c r="D1623" t="s">
        <v>42</v>
      </c>
      <c r="E1623" t="s">
        <v>43</v>
      </c>
      <c r="F1623" t="s">
        <v>44</v>
      </c>
      <c r="G1623" t="s">
        <v>45</v>
      </c>
      <c r="AH1623" t="s">
        <v>42</v>
      </c>
      <c r="AI1623" t="str">
        <f>"66298844624475"</f>
        <v>66298844624475</v>
      </c>
      <c r="AJ1623" t="str">
        <f>"59220-32E00JP"</f>
        <v>59220-32E00JP</v>
      </c>
      <c r="AK1623" t="s">
        <v>46</v>
      </c>
      <c r="AL1623" s="1">
        <v>44816.551458333335</v>
      </c>
      <c r="AM1623" t="s">
        <v>44</v>
      </c>
    </row>
    <row r="1624" spans="1:39" x14ac:dyDescent="0.2">
      <c r="A1624" t="s">
        <v>1605</v>
      </c>
      <c r="B1624" t="s">
        <v>40</v>
      </c>
      <c r="C1624" t="s">
        <v>1590</v>
      </c>
      <c r="D1624" t="s">
        <v>42</v>
      </c>
      <c r="E1624" t="s">
        <v>43</v>
      </c>
      <c r="F1624" t="s">
        <v>44</v>
      </c>
      <c r="G1624" t="s">
        <v>45</v>
      </c>
      <c r="AH1624" t="s">
        <v>42</v>
      </c>
      <c r="AI1624" t="str">
        <f>"66298844662074"</f>
        <v>66298844662074</v>
      </c>
      <c r="AJ1624" t="str">
        <f>"B06080001"</f>
        <v>B06080001</v>
      </c>
      <c r="AK1624" t="s">
        <v>46</v>
      </c>
      <c r="AL1624" s="1">
        <v>44816.551458333335</v>
      </c>
      <c r="AM1624" t="s">
        <v>44</v>
      </c>
    </row>
    <row r="1625" spans="1:39" x14ac:dyDescent="0.2">
      <c r="A1625" t="s">
        <v>1606</v>
      </c>
      <c r="B1625" t="s">
        <v>40</v>
      </c>
      <c r="C1625" t="s">
        <v>1590</v>
      </c>
      <c r="D1625" t="s">
        <v>42</v>
      </c>
      <c r="E1625" t="s">
        <v>43</v>
      </c>
      <c r="F1625" t="s">
        <v>44</v>
      </c>
      <c r="G1625" t="s">
        <v>45</v>
      </c>
      <c r="AH1625" t="s">
        <v>42</v>
      </c>
      <c r="AI1625" t="str">
        <f>"66298844700789"</f>
        <v>66298844700789</v>
      </c>
      <c r="AJ1625" t="str">
        <f>"90109060000"</f>
        <v>90109060000</v>
      </c>
      <c r="AK1625" t="s">
        <v>46</v>
      </c>
      <c r="AL1625" s="1">
        <v>44816.551469907405</v>
      </c>
      <c r="AM1625" t="s">
        <v>44</v>
      </c>
    </row>
    <row r="1626" spans="1:39" x14ac:dyDescent="0.2">
      <c r="A1626" t="s">
        <v>1607</v>
      </c>
      <c r="B1626" t="s">
        <v>40</v>
      </c>
      <c r="C1626" t="s">
        <v>1590</v>
      </c>
      <c r="D1626" t="s">
        <v>42</v>
      </c>
      <c r="E1626" t="s">
        <v>43</v>
      </c>
      <c r="F1626" t="s">
        <v>44</v>
      </c>
      <c r="G1626" t="s">
        <v>45</v>
      </c>
      <c r="AH1626" t="s">
        <v>42</v>
      </c>
      <c r="AI1626" t="str">
        <f>"66298844742649"</f>
        <v>66298844742649</v>
      </c>
      <c r="AJ1626" t="str">
        <f>"NA002"</f>
        <v>NA002</v>
      </c>
      <c r="AK1626" t="s">
        <v>46</v>
      </c>
      <c r="AL1626" s="1">
        <v>44816.551469907405</v>
      </c>
      <c r="AM1626" t="s">
        <v>44</v>
      </c>
    </row>
    <row r="1627" spans="1:39" x14ac:dyDescent="0.2">
      <c r="A1627" t="s">
        <v>1608</v>
      </c>
      <c r="B1627" t="s">
        <v>40</v>
      </c>
      <c r="C1627" t="s">
        <v>1590</v>
      </c>
      <c r="D1627" t="s">
        <v>42</v>
      </c>
      <c r="E1627" t="s">
        <v>43</v>
      </c>
      <c r="F1627" t="s">
        <v>44</v>
      </c>
      <c r="G1627" t="s">
        <v>45</v>
      </c>
      <c r="AH1627" t="s">
        <v>42</v>
      </c>
      <c r="AI1627" t="str">
        <f>"21C-F582U-00JP"</f>
        <v>21C-F582U-00JP</v>
      </c>
      <c r="AJ1627" t="str">
        <f>"21C-F582U-00JP"</f>
        <v>21C-F582U-00JP</v>
      </c>
      <c r="AK1627" t="s">
        <v>46</v>
      </c>
      <c r="AL1627" s="1">
        <v>44984.743136574078</v>
      </c>
      <c r="AM1627" t="s">
        <v>44</v>
      </c>
    </row>
    <row r="1628" spans="1:39" x14ac:dyDescent="0.2">
      <c r="A1628" t="s">
        <v>1609</v>
      </c>
      <c r="B1628" t="s">
        <v>40</v>
      </c>
      <c r="C1628" t="s">
        <v>1590</v>
      </c>
      <c r="D1628" t="s">
        <v>42</v>
      </c>
      <c r="E1628" t="s">
        <v>43</v>
      </c>
      <c r="F1628" t="s">
        <v>44</v>
      </c>
      <c r="G1628" t="s">
        <v>45</v>
      </c>
      <c r="AH1628" t="s">
        <v>42</v>
      </c>
      <c r="AI1628" t="str">
        <f>"66298844782407"</f>
        <v>66298844782407</v>
      </c>
      <c r="AJ1628" t="str">
        <f>"400520"</f>
        <v>400520</v>
      </c>
      <c r="AK1628" t="s">
        <v>46</v>
      </c>
      <c r="AL1628" s="1">
        <v>44816.551469907405</v>
      </c>
      <c r="AM1628" t="s">
        <v>44</v>
      </c>
    </row>
    <row r="1629" spans="1:39" x14ac:dyDescent="0.2">
      <c r="A1629" t="s">
        <v>1610</v>
      </c>
      <c r="B1629" t="s">
        <v>40</v>
      </c>
      <c r="C1629" t="s">
        <v>1590</v>
      </c>
      <c r="D1629" t="s">
        <v>42</v>
      </c>
      <c r="E1629" t="s">
        <v>43</v>
      </c>
      <c r="F1629" t="s">
        <v>44</v>
      </c>
      <c r="G1629" t="s">
        <v>45</v>
      </c>
      <c r="AH1629" t="s">
        <v>42</v>
      </c>
      <c r="AI1629" t="str">
        <f>"66298844823320"</f>
        <v>66298844823320</v>
      </c>
      <c r="AJ1629" t="str">
        <f>"85023"</f>
        <v>85023</v>
      </c>
      <c r="AK1629" t="s">
        <v>46</v>
      </c>
      <c r="AL1629" s="1">
        <v>44816.551481481481</v>
      </c>
      <c r="AM1629" t="s">
        <v>44</v>
      </c>
    </row>
    <row r="1630" spans="1:39" x14ac:dyDescent="0.2">
      <c r="A1630" t="s">
        <v>1611</v>
      </c>
      <c r="B1630" t="s">
        <v>40</v>
      </c>
      <c r="C1630" t="s">
        <v>1590</v>
      </c>
      <c r="D1630" t="s">
        <v>42</v>
      </c>
      <c r="E1630" t="s">
        <v>43</v>
      </c>
      <c r="F1630" t="s">
        <v>44</v>
      </c>
      <c r="G1630" t="s">
        <v>45</v>
      </c>
      <c r="AH1630" t="s">
        <v>42</v>
      </c>
      <c r="AI1630" t="str">
        <f>"B20501528O"</f>
        <v>B20501528O</v>
      </c>
      <c r="AJ1630" t="str">
        <f>"B20501528O"</f>
        <v>B20501528O</v>
      </c>
      <c r="AK1630" t="s">
        <v>46</v>
      </c>
      <c r="AL1630" s="1">
        <v>44873.626226851855</v>
      </c>
      <c r="AM1630" t="s">
        <v>44</v>
      </c>
    </row>
    <row r="1631" spans="1:39" x14ac:dyDescent="0.2">
      <c r="A1631" t="s">
        <v>1611</v>
      </c>
      <c r="B1631" t="s">
        <v>40</v>
      </c>
      <c r="C1631" t="s">
        <v>1590</v>
      </c>
      <c r="D1631" t="s">
        <v>42</v>
      </c>
      <c r="E1631" t="s">
        <v>43</v>
      </c>
      <c r="F1631" t="s">
        <v>44</v>
      </c>
      <c r="G1631" t="s">
        <v>45</v>
      </c>
      <c r="AH1631" t="s">
        <v>42</v>
      </c>
      <c r="AI1631" t="str">
        <f>"12187"</f>
        <v>12187</v>
      </c>
      <c r="AJ1631" t="str">
        <f>"12187"</f>
        <v>12187</v>
      </c>
      <c r="AK1631" t="s">
        <v>46</v>
      </c>
      <c r="AL1631" s="1">
        <v>45143.7424537037</v>
      </c>
      <c r="AM1631" t="s">
        <v>44</v>
      </c>
    </row>
    <row r="1632" spans="1:39" x14ac:dyDescent="0.2">
      <c r="A1632" t="s">
        <v>1612</v>
      </c>
      <c r="B1632" t="s">
        <v>40</v>
      </c>
      <c r="C1632" t="s">
        <v>1590</v>
      </c>
      <c r="D1632" t="s">
        <v>42</v>
      </c>
      <c r="E1632" t="s">
        <v>43</v>
      </c>
      <c r="F1632" t="s">
        <v>44</v>
      </c>
      <c r="G1632" t="s">
        <v>45</v>
      </c>
      <c r="AH1632" t="s">
        <v>42</v>
      </c>
      <c r="AI1632" t="str">
        <f>"59211-34J20-000"</f>
        <v>59211-34J20-000</v>
      </c>
      <c r="AJ1632" t="str">
        <f>"59211-34J20-000"</f>
        <v>59211-34J20-000</v>
      </c>
      <c r="AK1632" t="s">
        <v>46</v>
      </c>
      <c r="AL1632" s="1">
        <v>44902.75885416667</v>
      </c>
      <c r="AM1632" t="s">
        <v>44</v>
      </c>
    </row>
    <row r="1633" spans="1:39" x14ac:dyDescent="0.2">
      <c r="A1633" t="s">
        <v>1613</v>
      </c>
      <c r="B1633" t="s">
        <v>40</v>
      </c>
      <c r="C1633" t="s">
        <v>1590</v>
      </c>
      <c r="D1633" t="s">
        <v>42</v>
      </c>
      <c r="E1633" t="s">
        <v>43</v>
      </c>
      <c r="F1633" t="s">
        <v>44</v>
      </c>
      <c r="G1633" t="s">
        <v>45</v>
      </c>
      <c r="AH1633" t="s">
        <v>42</v>
      </c>
      <c r="AI1633" t="str">
        <f>"66298844865149"</f>
        <v>66298844865149</v>
      </c>
      <c r="AJ1633" t="str">
        <f>"NA003"</f>
        <v>NA003</v>
      </c>
      <c r="AK1633" t="s">
        <v>46</v>
      </c>
      <c r="AL1633" s="1">
        <v>44816.551481481481</v>
      </c>
      <c r="AM1633" t="s">
        <v>44</v>
      </c>
    </row>
    <row r="1634" spans="1:39" x14ac:dyDescent="0.2">
      <c r="A1634" t="s">
        <v>1614</v>
      </c>
      <c r="B1634" t="s">
        <v>40</v>
      </c>
      <c r="C1634" t="s">
        <v>1590</v>
      </c>
      <c r="D1634" t="s">
        <v>42</v>
      </c>
      <c r="E1634" t="s">
        <v>43</v>
      </c>
      <c r="F1634" t="s">
        <v>44</v>
      </c>
      <c r="G1634" t="s">
        <v>45</v>
      </c>
      <c r="AH1634" t="s">
        <v>42</v>
      </c>
      <c r="AI1634" t="str">
        <f>"66298844909234"</f>
        <v>66298844909234</v>
      </c>
      <c r="AJ1634" t="str">
        <f>"59211-05500JP"</f>
        <v>59211-05500JP</v>
      </c>
      <c r="AK1634" t="s">
        <v>46</v>
      </c>
      <c r="AL1634" s="1">
        <v>44816.551493055558</v>
      </c>
      <c r="AM1634" t="s">
        <v>44</v>
      </c>
    </row>
    <row r="1635" spans="1:39" x14ac:dyDescent="0.2">
      <c r="A1635" t="s">
        <v>1614</v>
      </c>
      <c r="B1635" t="s">
        <v>40</v>
      </c>
      <c r="C1635" t="s">
        <v>1590</v>
      </c>
      <c r="D1635" t="s">
        <v>42</v>
      </c>
      <c r="E1635" t="s">
        <v>43</v>
      </c>
      <c r="F1635" t="s">
        <v>44</v>
      </c>
      <c r="G1635" t="s">
        <v>45</v>
      </c>
      <c r="AH1635" t="s">
        <v>42</v>
      </c>
      <c r="AI1635" t="str">
        <f>"66298844914847"</f>
        <v>66298844914847</v>
      </c>
      <c r="AJ1635" t="str">
        <f>"EVO-12000-000JP"</f>
        <v>EVO-12000-000JP</v>
      </c>
      <c r="AK1635" t="s">
        <v>46</v>
      </c>
      <c r="AL1635" s="1">
        <v>44816.551493055558</v>
      </c>
      <c r="AM1635" t="s">
        <v>44</v>
      </c>
    </row>
    <row r="1636" spans="1:39" x14ac:dyDescent="0.2">
      <c r="A1636" t="s">
        <v>1615</v>
      </c>
      <c r="B1636" t="s">
        <v>40</v>
      </c>
      <c r="C1636" t="s">
        <v>1590</v>
      </c>
      <c r="D1636" t="s">
        <v>42</v>
      </c>
      <c r="E1636" t="s">
        <v>43</v>
      </c>
      <c r="F1636" t="s">
        <v>44</v>
      </c>
      <c r="G1636" t="s">
        <v>45</v>
      </c>
      <c r="AH1636" t="s">
        <v>42</v>
      </c>
      <c r="AI1636" t="str">
        <f>"66298844968472"</f>
        <v>66298844968472</v>
      </c>
      <c r="AJ1636" t="str">
        <f>"400523"</f>
        <v>400523</v>
      </c>
      <c r="AK1636" t="s">
        <v>46</v>
      </c>
      <c r="AL1636" s="1">
        <v>44816.551493055558</v>
      </c>
      <c r="AM1636" t="s">
        <v>44</v>
      </c>
    </row>
    <row r="1637" spans="1:39" x14ac:dyDescent="0.2">
      <c r="A1637" t="s">
        <v>1616</v>
      </c>
      <c r="B1637" t="s">
        <v>40</v>
      </c>
      <c r="C1637" t="s">
        <v>1590</v>
      </c>
      <c r="D1637" t="s">
        <v>42</v>
      </c>
      <c r="E1637" t="s">
        <v>43</v>
      </c>
      <c r="F1637" t="s">
        <v>44</v>
      </c>
      <c r="G1637" t="s">
        <v>45</v>
      </c>
      <c r="AH1637" t="s">
        <v>42</v>
      </c>
      <c r="AI1637" t="str">
        <f>"66298845007697"</f>
        <v>66298845007697</v>
      </c>
      <c r="AJ1637" t="str">
        <f>"400554"</f>
        <v>400554</v>
      </c>
      <c r="AK1637" t="s">
        <v>46</v>
      </c>
      <c r="AL1637" s="1">
        <v>44816.551504629628</v>
      </c>
      <c r="AM1637" t="s">
        <v>44</v>
      </c>
    </row>
    <row r="1638" spans="1:39" x14ac:dyDescent="0.2">
      <c r="A1638" t="s">
        <v>1617</v>
      </c>
      <c r="B1638" t="s">
        <v>40</v>
      </c>
      <c r="C1638" t="s">
        <v>1590</v>
      </c>
      <c r="D1638" t="s">
        <v>42</v>
      </c>
      <c r="E1638" t="s">
        <v>43</v>
      </c>
      <c r="F1638" t="s">
        <v>44</v>
      </c>
      <c r="G1638" t="s">
        <v>45</v>
      </c>
      <c r="AH1638" t="s">
        <v>42</v>
      </c>
      <c r="AI1638" t="str">
        <f>"66298845049938"</f>
        <v>66298845049938</v>
      </c>
      <c r="AJ1638" t="str">
        <f>"E200"</f>
        <v>E200</v>
      </c>
      <c r="AK1638" t="s">
        <v>46</v>
      </c>
      <c r="AL1638" s="1">
        <v>44816.551504629628</v>
      </c>
      <c r="AM1638" t="s">
        <v>44</v>
      </c>
    </row>
    <row r="1639" spans="1:39" x14ac:dyDescent="0.2">
      <c r="A1639" t="s">
        <v>1618</v>
      </c>
      <c r="B1639" t="s">
        <v>40</v>
      </c>
      <c r="C1639" t="s">
        <v>1590</v>
      </c>
      <c r="D1639" t="s">
        <v>42</v>
      </c>
      <c r="E1639" t="s">
        <v>43</v>
      </c>
      <c r="F1639" t="s">
        <v>44</v>
      </c>
      <c r="G1639" t="s">
        <v>45</v>
      </c>
      <c r="AH1639" t="s">
        <v>42</v>
      </c>
      <c r="AI1639" t="str">
        <f>"66298845091496"</f>
        <v>66298845091496</v>
      </c>
      <c r="AJ1639" t="str">
        <f>"NE-12000-000JP"</f>
        <v>NE-12000-000JP</v>
      </c>
      <c r="AK1639" t="s">
        <v>46</v>
      </c>
      <c r="AL1639" s="1">
        <v>44816.551504629628</v>
      </c>
      <c r="AM1639" t="s">
        <v>44</v>
      </c>
    </row>
    <row r="1640" spans="1:39" x14ac:dyDescent="0.2">
      <c r="A1640" t="s">
        <v>1619</v>
      </c>
      <c r="B1640" t="s">
        <v>40</v>
      </c>
      <c r="C1640" t="s">
        <v>1590</v>
      </c>
      <c r="D1640" t="s">
        <v>42</v>
      </c>
      <c r="E1640" t="s">
        <v>43</v>
      </c>
      <c r="F1640" t="s">
        <v>44</v>
      </c>
      <c r="G1640" t="s">
        <v>45</v>
      </c>
      <c r="AH1640" t="s">
        <v>42</v>
      </c>
      <c r="AI1640" t="str">
        <f>"59211H2C000H504"</f>
        <v>59211H2C000H504</v>
      </c>
      <c r="AJ1640" t="str">
        <f>"59211H2C000H504"</f>
        <v>59211H2C000H504</v>
      </c>
      <c r="AK1640" t="s">
        <v>46</v>
      </c>
      <c r="AL1640" s="1">
        <v>44875.879803240743</v>
      </c>
      <c r="AM1640" t="s">
        <v>44</v>
      </c>
    </row>
    <row r="1641" spans="1:39" x14ac:dyDescent="0.2">
      <c r="A1641" t="s">
        <v>1620</v>
      </c>
      <c r="B1641" t="s">
        <v>40</v>
      </c>
      <c r="C1641" t="s">
        <v>1590</v>
      </c>
      <c r="D1641" t="s">
        <v>42</v>
      </c>
      <c r="E1641" t="s">
        <v>43</v>
      </c>
      <c r="F1641" t="s">
        <v>44</v>
      </c>
      <c r="G1641" t="s">
        <v>45</v>
      </c>
      <c r="AH1641" t="s">
        <v>42</v>
      </c>
      <c r="AI1641" t="str">
        <f>"66298844312197"</f>
        <v>66298844312197</v>
      </c>
      <c r="AJ1641" t="str">
        <f>"291420165-0001JP"</f>
        <v>291420165-0001JP</v>
      </c>
      <c r="AK1641" t="s">
        <v>46</v>
      </c>
      <c r="AL1641" s="1">
        <v>44816.551423611112</v>
      </c>
      <c r="AM1641" t="s">
        <v>44</v>
      </c>
    </row>
    <row r="1642" spans="1:39" x14ac:dyDescent="0.2">
      <c r="A1642" t="s">
        <v>1621</v>
      </c>
      <c r="B1642" t="s">
        <v>40</v>
      </c>
      <c r="C1642" t="s">
        <v>1590</v>
      </c>
      <c r="D1642" t="s">
        <v>42</v>
      </c>
      <c r="E1642" t="s">
        <v>43</v>
      </c>
      <c r="F1642" t="s">
        <v>44</v>
      </c>
      <c r="G1642" t="s">
        <v>45</v>
      </c>
      <c r="AH1642" t="s">
        <v>42</v>
      </c>
      <c r="AI1642" t="str">
        <f>"66298844266518"</f>
        <v>66298844266518</v>
      </c>
      <c r="AJ1642" t="str">
        <f>"SM-12000-000"</f>
        <v>SM-12000-000</v>
      </c>
      <c r="AK1642" t="s">
        <v>46</v>
      </c>
      <c r="AL1642" s="1">
        <v>44816.551412037035</v>
      </c>
      <c r="AM1642" t="s">
        <v>44</v>
      </c>
    </row>
    <row r="1643" spans="1:39" x14ac:dyDescent="0.2">
      <c r="A1643" t="s">
        <v>1622</v>
      </c>
      <c r="B1643" t="s">
        <v>40</v>
      </c>
      <c r="C1643" t="s">
        <v>1590</v>
      </c>
      <c r="D1643" t="s">
        <v>42</v>
      </c>
      <c r="E1643" t="s">
        <v>43</v>
      </c>
      <c r="F1643" t="s">
        <v>44</v>
      </c>
      <c r="G1643" t="s">
        <v>45</v>
      </c>
      <c r="AH1643" t="s">
        <v>42</v>
      </c>
      <c r="AI1643" t="str">
        <f>"66298845395898"</f>
        <v>66298845395898</v>
      </c>
      <c r="AJ1643" t="str">
        <f>"N9111890"</f>
        <v>N9111890</v>
      </c>
      <c r="AK1643" t="s">
        <v>46</v>
      </c>
      <c r="AL1643" s="1">
        <v>44816.551539351851</v>
      </c>
      <c r="AM1643" t="s">
        <v>44</v>
      </c>
    </row>
    <row r="1644" spans="1:39" x14ac:dyDescent="0.2">
      <c r="A1644" t="s">
        <v>1623</v>
      </c>
      <c r="B1644" t="s">
        <v>40</v>
      </c>
      <c r="C1644" t="s">
        <v>1590</v>
      </c>
      <c r="D1644" t="s">
        <v>42</v>
      </c>
      <c r="E1644" t="s">
        <v>43</v>
      </c>
      <c r="F1644" t="s">
        <v>44</v>
      </c>
      <c r="G1644" t="s">
        <v>45</v>
      </c>
      <c r="AH1644" t="s">
        <v>42</v>
      </c>
      <c r="AI1644" t="str">
        <f>"66298845127841"</f>
        <v>66298845127841</v>
      </c>
      <c r="AJ1644" t="str">
        <f>"45121-LBA8-C11JP"</f>
        <v>45121-LBA8-C11JP</v>
      </c>
      <c r="AK1644" t="s">
        <v>46</v>
      </c>
      <c r="AL1644" s="1">
        <v>44816.551516203705</v>
      </c>
      <c r="AM1644" t="s">
        <v>44</v>
      </c>
    </row>
    <row r="1645" spans="1:39" x14ac:dyDescent="0.2">
      <c r="A1645" t="s">
        <v>1624</v>
      </c>
      <c r="B1645" t="s">
        <v>40</v>
      </c>
      <c r="C1645" t="s">
        <v>1590</v>
      </c>
      <c r="D1645" t="s">
        <v>42</v>
      </c>
      <c r="E1645" t="s">
        <v>43</v>
      </c>
      <c r="F1645" t="s">
        <v>44</v>
      </c>
      <c r="G1645" t="s">
        <v>45</v>
      </c>
      <c r="AH1645" t="s">
        <v>42</v>
      </c>
      <c r="AI1645" t="str">
        <f>"66298845165438"</f>
        <v>66298845165438</v>
      </c>
      <c r="AJ1645" t="str">
        <f>"41080-0578-11H"</f>
        <v>41080-0578-11H</v>
      </c>
      <c r="AK1645" t="s">
        <v>46</v>
      </c>
      <c r="AL1645" s="1">
        <v>44816.551516203705</v>
      </c>
      <c r="AM1645" t="s">
        <v>44</v>
      </c>
    </row>
    <row r="1646" spans="1:39" x14ac:dyDescent="0.2">
      <c r="A1646" t="s">
        <v>1625</v>
      </c>
      <c r="B1646" t="s">
        <v>40</v>
      </c>
      <c r="C1646" t="s">
        <v>1590</v>
      </c>
      <c r="D1646" t="s">
        <v>42</v>
      </c>
      <c r="E1646" t="s">
        <v>43</v>
      </c>
      <c r="F1646" t="s">
        <v>44</v>
      </c>
      <c r="G1646" t="s">
        <v>45</v>
      </c>
      <c r="AH1646" t="s">
        <v>42</v>
      </c>
      <c r="AI1646" t="str">
        <f>"66298845210181"</f>
        <v>66298845210181</v>
      </c>
      <c r="AJ1646" t="str">
        <f>"400517"</f>
        <v>400517</v>
      </c>
      <c r="AK1646" t="s">
        <v>46</v>
      </c>
      <c r="AL1646" s="1">
        <v>44816.551527777781</v>
      </c>
      <c r="AM1646" t="s">
        <v>44</v>
      </c>
    </row>
    <row r="1647" spans="1:39" x14ac:dyDescent="0.2">
      <c r="A1647" t="s">
        <v>1626</v>
      </c>
      <c r="B1647" t="s">
        <v>40</v>
      </c>
      <c r="C1647" t="s">
        <v>1590</v>
      </c>
      <c r="D1647" t="s">
        <v>42</v>
      </c>
      <c r="E1647" t="s">
        <v>43</v>
      </c>
      <c r="F1647" t="s">
        <v>44</v>
      </c>
      <c r="G1647" t="s">
        <v>45</v>
      </c>
      <c r="AH1647" t="s">
        <v>42</v>
      </c>
      <c r="AI1647" t="str">
        <f>"66298845251643"</f>
        <v>66298845251643</v>
      </c>
      <c r="AJ1647" t="str">
        <f>"NA007"</f>
        <v>NA007</v>
      </c>
      <c r="AK1647" t="s">
        <v>46</v>
      </c>
      <c r="AL1647" s="1">
        <v>44816.551527777781</v>
      </c>
      <c r="AM1647" t="s">
        <v>44</v>
      </c>
    </row>
    <row r="1648" spans="1:39" x14ac:dyDescent="0.2">
      <c r="A1648" t="s">
        <v>1627</v>
      </c>
      <c r="B1648" t="s">
        <v>40</v>
      </c>
      <c r="C1648" t="s">
        <v>1590</v>
      </c>
      <c r="D1648" t="s">
        <v>42</v>
      </c>
      <c r="E1648" t="s">
        <v>43</v>
      </c>
      <c r="F1648" t="s">
        <v>44</v>
      </c>
      <c r="G1648" t="s">
        <v>45</v>
      </c>
      <c r="AH1648" t="s">
        <v>42</v>
      </c>
      <c r="AI1648" t="str">
        <f>"JD-1318-10"</f>
        <v>JD-1318-10</v>
      </c>
      <c r="AJ1648" t="str">
        <f>"JD-1318-10"</f>
        <v>JD-1318-10</v>
      </c>
      <c r="AK1648" t="s">
        <v>46</v>
      </c>
      <c r="AL1648" s="1">
        <v>45104.744537037041</v>
      </c>
      <c r="AM1648" t="s">
        <v>44</v>
      </c>
    </row>
    <row r="1649" spans="1:39" x14ac:dyDescent="0.2">
      <c r="A1649" t="s">
        <v>1628</v>
      </c>
      <c r="B1649" t="s">
        <v>40</v>
      </c>
      <c r="C1649" t="s">
        <v>1590</v>
      </c>
      <c r="D1649" t="s">
        <v>42</v>
      </c>
      <c r="E1649" t="s">
        <v>43</v>
      </c>
      <c r="F1649" t="s">
        <v>44</v>
      </c>
      <c r="G1649" t="s">
        <v>45</v>
      </c>
      <c r="AH1649" t="s">
        <v>42</v>
      </c>
      <c r="AI1649" t="str">
        <f>"12666"</f>
        <v>12666</v>
      </c>
      <c r="AJ1649" t="str">
        <f>"12666"</f>
        <v>12666</v>
      </c>
      <c r="AK1649" t="s">
        <v>46</v>
      </c>
      <c r="AL1649" s="1">
        <v>44950.837071759262</v>
      </c>
      <c r="AM1649" t="s">
        <v>44</v>
      </c>
    </row>
    <row r="1650" spans="1:39" x14ac:dyDescent="0.2">
      <c r="A1650" t="s">
        <v>1629</v>
      </c>
      <c r="B1650" t="s">
        <v>40</v>
      </c>
      <c r="C1650" t="s">
        <v>1590</v>
      </c>
      <c r="D1650" t="s">
        <v>42</v>
      </c>
      <c r="E1650" t="s">
        <v>43</v>
      </c>
      <c r="F1650" t="s">
        <v>44</v>
      </c>
      <c r="G1650" t="s">
        <v>45</v>
      </c>
      <c r="AH1650" t="s">
        <v>42</v>
      </c>
      <c r="AI1650" t="str">
        <f>"66298845295132"</f>
        <v>66298845295132</v>
      </c>
      <c r="AJ1650" t="str">
        <f>"DK-1510-27"</f>
        <v>DK-1510-27</v>
      </c>
      <c r="AK1650" t="s">
        <v>46</v>
      </c>
      <c r="AL1650" s="1">
        <v>44816.551527777781</v>
      </c>
      <c r="AM1650" t="s">
        <v>44</v>
      </c>
    </row>
    <row r="1651" spans="1:39" x14ac:dyDescent="0.2">
      <c r="A1651" t="s">
        <v>1630</v>
      </c>
      <c r="B1651" t="s">
        <v>40</v>
      </c>
      <c r="C1651" t="s">
        <v>1590</v>
      </c>
      <c r="D1651" t="s">
        <v>42</v>
      </c>
      <c r="E1651" t="s">
        <v>43</v>
      </c>
      <c r="F1651" t="s">
        <v>44</v>
      </c>
      <c r="G1651" t="s">
        <v>45</v>
      </c>
      <c r="AH1651" t="s">
        <v>42</v>
      </c>
      <c r="AI1651" t="str">
        <f>"2551"</f>
        <v>2551</v>
      </c>
      <c r="AJ1651" t="str">
        <f>"2551"</f>
        <v>2551</v>
      </c>
      <c r="AK1651" t="s">
        <v>46</v>
      </c>
      <c r="AL1651" s="1">
        <v>45029.747673611113</v>
      </c>
      <c r="AM1651" t="s">
        <v>44</v>
      </c>
    </row>
    <row r="1652" spans="1:39" x14ac:dyDescent="0.2">
      <c r="A1652" t="s">
        <v>1631</v>
      </c>
      <c r="B1652" t="s">
        <v>40</v>
      </c>
      <c r="C1652" t="s">
        <v>1590</v>
      </c>
      <c r="D1652" t="s">
        <v>42</v>
      </c>
      <c r="E1652" t="s">
        <v>43</v>
      </c>
      <c r="F1652" t="s">
        <v>44</v>
      </c>
      <c r="G1652" t="s">
        <v>45</v>
      </c>
      <c r="AH1652" t="s">
        <v>42</v>
      </c>
      <c r="AI1652" t="str">
        <f>"66298845345066"</f>
        <v>66298845345066</v>
      </c>
      <c r="AJ1652" t="str">
        <f>"81788"</f>
        <v>81788</v>
      </c>
      <c r="AK1652" t="s">
        <v>46</v>
      </c>
      <c r="AL1652" s="1">
        <v>44816.551539351851</v>
      </c>
      <c r="AM1652" t="s">
        <v>44</v>
      </c>
    </row>
    <row r="1653" spans="1:39" x14ac:dyDescent="0.2">
      <c r="A1653" t="s">
        <v>1632</v>
      </c>
      <c r="B1653" t="s">
        <v>40</v>
      </c>
      <c r="C1653" t="s">
        <v>1590</v>
      </c>
      <c r="D1653" t="s">
        <v>42</v>
      </c>
      <c r="E1653" t="s">
        <v>43</v>
      </c>
      <c r="F1653" t="s">
        <v>44</v>
      </c>
      <c r="G1653" t="s">
        <v>45</v>
      </c>
      <c r="AH1653" t="s">
        <v>42</v>
      </c>
      <c r="AI1653" t="str">
        <f>"66298845435664"</f>
        <v>66298845435664</v>
      </c>
      <c r="AJ1653" t="str">
        <f>"NA010"</f>
        <v>NA010</v>
      </c>
      <c r="AK1653" t="s">
        <v>46</v>
      </c>
      <c r="AL1653" s="1">
        <v>44816.551550925928</v>
      </c>
      <c r="AM1653" t="s">
        <v>44</v>
      </c>
    </row>
    <row r="1654" spans="1:39" x14ac:dyDescent="0.2">
      <c r="A1654" t="s">
        <v>1633</v>
      </c>
      <c r="B1654" t="s">
        <v>40</v>
      </c>
      <c r="C1654" t="s">
        <v>1590</v>
      </c>
      <c r="D1654" t="s">
        <v>42</v>
      </c>
      <c r="E1654" t="s">
        <v>43</v>
      </c>
      <c r="F1654" t="s">
        <v>44</v>
      </c>
      <c r="G1654" t="s">
        <v>45</v>
      </c>
      <c r="AH1654" t="s">
        <v>42</v>
      </c>
      <c r="AI1654" t="str">
        <f>"59221-33GB0-000"</f>
        <v>59221-33GB0-000</v>
      </c>
      <c r="AJ1654" t="str">
        <f>"59221-33GB0-000"</f>
        <v>59221-33GB0-000</v>
      </c>
      <c r="AK1654" t="s">
        <v>46</v>
      </c>
      <c r="AL1654" s="1">
        <v>44875.586539351854</v>
      </c>
      <c r="AM1654" t="s">
        <v>44</v>
      </c>
    </row>
    <row r="1655" spans="1:39" x14ac:dyDescent="0.2">
      <c r="A1655" t="s">
        <v>1634</v>
      </c>
      <c r="B1655" t="s">
        <v>40</v>
      </c>
      <c r="C1655" t="s">
        <v>1590</v>
      </c>
      <c r="D1655" t="s">
        <v>42</v>
      </c>
      <c r="E1655" t="s">
        <v>43</v>
      </c>
      <c r="F1655" t="s">
        <v>44</v>
      </c>
      <c r="G1655" t="s">
        <v>45</v>
      </c>
      <c r="AH1655" t="s">
        <v>42</v>
      </c>
      <c r="AI1655" t="str">
        <f>"59211-05350-000"</f>
        <v>59211-05350-000</v>
      </c>
      <c r="AJ1655" t="str">
        <f>"59211-05350-000"</f>
        <v>59211-05350-000</v>
      </c>
      <c r="AK1655" t="s">
        <v>46</v>
      </c>
      <c r="AL1655" s="1">
        <v>44816.551550925928</v>
      </c>
      <c r="AM1655" t="s">
        <v>44</v>
      </c>
    </row>
    <row r="1656" spans="1:39" x14ac:dyDescent="0.2">
      <c r="A1656" t="s">
        <v>1635</v>
      </c>
      <c r="B1656" t="s">
        <v>40</v>
      </c>
      <c r="C1656" t="s">
        <v>1590</v>
      </c>
      <c r="D1656" t="s">
        <v>42</v>
      </c>
      <c r="E1656" t="s">
        <v>43</v>
      </c>
      <c r="F1656" t="s">
        <v>44</v>
      </c>
      <c r="G1656" t="s">
        <v>45</v>
      </c>
      <c r="AH1656" t="s">
        <v>42</v>
      </c>
      <c r="AI1656" t="str">
        <f>"NA017"</f>
        <v>NA017</v>
      </c>
      <c r="AJ1656" t="str">
        <f>"NA017"</f>
        <v>NA017</v>
      </c>
      <c r="AK1656" t="s">
        <v>46</v>
      </c>
      <c r="AL1656" s="1">
        <v>45091.642604166664</v>
      </c>
      <c r="AM1656" t="s">
        <v>44</v>
      </c>
    </row>
    <row r="1657" spans="1:39" x14ac:dyDescent="0.2">
      <c r="A1657" t="s">
        <v>1636</v>
      </c>
      <c r="B1657" t="s">
        <v>40</v>
      </c>
      <c r="C1657" t="s">
        <v>1590</v>
      </c>
      <c r="D1657" t="s">
        <v>42</v>
      </c>
      <c r="E1657" t="s">
        <v>43</v>
      </c>
      <c r="F1657" t="s">
        <v>44</v>
      </c>
      <c r="G1657" t="s">
        <v>45</v>
      </c>
      <c r="AH1657" t="s">
        <v>42</v>
      </c>
      <c r="AI1657" t="str">
        <f>"45351-KPE-900JP"</f>
        <v>45351-KPE-900JP</v>
      </c>
      <c r="AJ1657" t="str">
        <f>"45351-KPE-900JP"</f>
        <v>45351-KPE-900JP</v>
      </c>
      <c r="AK1657" t="s">
        <v>46</v>
      </c>
      <c r="AL1657" s="1">
        <v>44902.783761574072</v>
      </c>
      <c r="AM1657" t="s">
        <v>44</v>
      </c>
    </row>
    <row r="1658" spans="1:39" x14ac:dyDescent="0.2">
      <c r="A1658" t="s">
        <v>1637</v>
      </c>
      <c r="B1658" t="s">
        <v>40</v>
      </c>
      <c r="C1658" t="s">
        <v>1590</v>
      </c>
      <c r="D1658" t="s">
        <v>42</v>
      </c>
      <c r="E1658" t="s">
        <v>43</v>
      </c>
      <c r="F1658" t="s">
        <v>44</v>
      </c>
      <c r="G1658" t="s">
        <v>45</v>
      </c>
      <c r="AH1658" t="s">
        <v>42</v>
      </c>
      <c r="AI1658" t="str">
        <f>"45351-KWT-900JP"</f>
        <v>45351-KWT-900JP</v>
      </c>
      <c r="AJ1658" t="str">
        <f>"45351-KWT-900JP"</f>
        <v>45351-KWT-900JP</v>
      </c>
      <c r="AK1658" t="s">
        <v>46</v>
      </c>
      <c r="AL1658" s="1">
        <v>44900.826203703706</v>
      </c>
      <c r="AM1658" t="s">
        <v>44</v>
      </c>
    </row>
    <row r="1659" spans="1:39" x14ac:dyDescent="0.2">
      <c r="A1659" t="s">
        <v>1638</v>
      </c>
      <c r="B1659" t="s">
        <v>40</v>
      </c>
      <c r="C1659" t="s">
        <v>1590</v>
      </c>
      <c r="D1659" t="s">
        <v>42</v>
      </c>
      <c r="E1659" t="s">
        <v>43</v>
      </c>
      <c r="F1659" t="s">
        <v>44</v>
      </c>
      <c r="G1659" t="s">
        <v>45</v>
      </c>
      <c r="AH1659" t="s">
        <v>42</v>
      </c>
      <c r="AI1659" t="str">
        <f>"NA014"</f>
        <v>NA014</v>
      </c>
      <c r="AJ1659" t="str">
        <f>"NA014"</f>
        <v>NA014</v>
      </c>
      <c r="AK1659" t="s">
        <v>46</v>
      </c>
      <c r="AL1659" s="1">
        <v>44965.814201388886</v>
      </c>
      <c r="AM1659" t="s">
        <v>44</v>
      </c>
    </row>
    <row r="1660" spans="1:39" x14ac:dyDescent="0.2">
      <c r="A1660" t="s">
        <v>1639</v>
      </c>
      <c r="B1660" t="s">
        <v>40</v>
      </c>
      <c r="C1660" t="s">
        <v>1590</v>
      </c>
      <c r="D1660" t="s">
        <v>42</v>
      </c>
      <c r="E1660" t="s">
        <v>43</v>
      </c>
      <c r="F1660" t="s">
        <v>44</v>
      </c>
      <c r="G1660" t="s">
        <v>45</v>
      </c>
      <c r="AH1660" t="s">
        <v>42</v>
      </c>
      <c r="AI1660" t="str">
        <f>"4B4-F582T-01"</f>
        <v>4B4-F582T-01</v>
      </c>
      <c r="AJ1660" t="str">
        <f>"4B4-F582T-01"</f>
        <v>4B4-F582T-01</v>
      </c>
      <c r="AK1660" t="s">
        <v>46</v>
      </c>
      <c r="AL1660" s="1">
        <v>44816.551562499997</v>
      </c>
      <c r="AM1660" t="s">
        <v>44</v>
      </c>
    </row>
    <row r="1661" spans="1:39" x14ac:dyDescent="0.2">
      <c r="A1661" t="s">
        <v>1640</v>
      </c>
      <c r="B1661" t="s">
        <v>40</v>
      </c>
      <c r="C1661" t="s">
        <v>1590</v>
      </c>
      <c r="D1661" t="s">
        <v>42</v>
      </c>
      <c r="E1661" t="s">
        <v>43</v>
      </c>
      <c r="F1661" t="s">
        <v>44</v>
      </c>
      <c r="G1661" t="s">
        <v>45</v>
      </c>
      <c r="AH1661" t="s">
        <v>42</v>
      </c>
      <c r="AI1661" t="str">
        <f>"66298845594731"</f>
        <v>66298845594731</v>
      </c>
      <c r="AJ1661" t="str">
        <f>"400526"</f>
        <v>400526</v>
      </c>
      <c r="AK1661" t="s">
        <v>46</v>
      </c>
      <c r="AL1661" s="1">
        <v>44816.551562499997</v>
      </c>
      <c r="AM1661" t="s">
        <v>44</v>
      </c>
    </row>
    <row r="1662" spans="1:39" x14ac:dyDescent="0.2">
      <c r="A1662" t="s">
        <v>1641</v>
      </c>
      <c r="B1662" t="s">
        <v>40</v>
      </c>
      <c r="C1662" t="s">
        <v>1590</v>
      </c>
      <c r="D1662" t="s">
        <v>42</v>
      </c>
      <c r="E1662" t="s">
        <v>43</v>
      </c>
      <c r="F1662" t="s">
        <v>44</v>
      </c>
      <c r="G1662" t="s">
        <v>45</v>
      </c>
      <c r="AH1662" t="s">
        <v>42</v>
      </c>
      <c r="AI1662" t="str">
        <f>"66298845557887"</f>
        <v>66298845557887</v>
      </c>
      <c r="AJ1662" t="str">
        <f>"5YY-F582U-00JP"</f>
        <v>5YY-F582U-00JP</v>
      </c>
      <c r="AK1662" t="s">
        <v>46</v>
      </c>
      <c r="AL1662" s="1">
        <v>44816.551562499997</v>
      </c>
      <c r="AM1662" t="s">
        <v>44</v>
      </c>
    </row>
    <row r="1663" spans="1:39" x14ac:dyDescent="0.2">
      <c r="A1663" t="s">
        <v>1642</v>
      </c>
      <c r="B1663" t="s">
        <v>40</v>
      </c>
      <c r="C1663" t="s">
        <v>1590</v>
      </c>
      <c r="D1663" t="s">
        <v>42</v>
      </c>
      <c r="E1663" t="s">
        <v>43</v>
      </c>
      <c r="F1663" t="s">
        <v>44</v>
      </c>
      <c r="G1663" t="s">
        <v>45</v>
      </c>
      <c r="AH1663" t="s">
        <v>42</v>
      </c>
      <c r="AI1663" t="str">
        <f>"66298845674502"</f>
        <v>66298845674502</v>
      </c>
      <c r="AJ1663" t="str">
        <f>"400551"</f>
        <v>400551</v>
      </c>
      <c r="AK1663" t="s">
        <v>46</v>
      </c>
      <c r="AL1663" s="1">
        <v>44816.551574074074</v>
      </c>
      <c r="AM1663" t="s">
        <v>44</v>
      </c>
    </row>
    <row r="1664" spans="1:39" x14ac:dyDescent="0.2">
      <c r="A1664" t="s">
        <v>1643</v>
      </c>
      <c r="B1664" t="s">
        <v>40</v>
      </c>
      <c r="C1664" t="s">
        <v>1590</v>
      </c>
      <c r="D1664" t="s">
        <v>42</v>
      </c>
      <c r="E1664" t="s">
        <v>43</v>
      </c>
      <c r="F1664" t="s">
        <v>44</v>
      </c>
      <c r="G1664" t="s">
        <v>45</v>
      </c>
      <c r="AH1664" t="s">
        <v>42</v>
      </c>
      <c r="AI1664" t="str">
        <f>"66298845633385"</f>
        <v>66298845633385</v>
      </c>
      <c r="AJ1664" t="str">
        <f>"5SU-F582T-00JP"</f>
        <v>5SU-F582T-00JP</v>
      </c>
      <c r="AK1664" t="s">
        <v>46</v>
      </c>
      <c r="AL1664" s="1">
        <v>44816.551574074074</v>
      </c>
      <c r="AM1664" t="s">
        <v>44</v>
      </c>
    </row>
    <row r="1665" spans="1:39" x14ac:dyDescent="0.2">
      <c r="A1665" t="s">
        <v>1644</v>
      </c>
      <c r="B1665" t="s">
        <v>40</v>
      </c>
      <c r="C1665" t="s">
        <v>1590</v>
      </c>
      <c r="D1665" t="s">
        <v>42</v>
      </c>
      <c r="E1665" t="s">
        <v>43</v>
      </c>
      <c r="F1665" t="s">
        <v>44</v>
      </c>
      <c r="G1665" t="s">
        <v>45</v>
      </c>
      <c r="AH1665" t="s">
        <v>42</v>
      </c>
      <c r="AI1665" t="str">
        <f>"66298845713836"</f>
        <v>66298845713836</v>
      </c>
      <c r="AJ1665" t="str">
        <f>"400563"</f>
        <v>400563</v>
      </c>
      <c r="AK1665" t="s">
        <v>46</v>
      </c>
      <c r="AL1665" s="1">
        <v>44816.551585648151</v>
      </c>
      <c r="AM1665" t="s">
        <v>44</v>
      </c>
    </row>
    <row r="1666" spans="1:39" x14ac:dyDescent="0.2">
      <c r="A1666" t="s">
        <v>1645</v>
      </c>
      <c r="B1666" t="s">
        <v>40</v>
      </c>
      <c r="C1666" t="s">
        <v>1590</v>
      </c>
      <c r="D1666" t="s">
        <v>42</v>
      </c>
      <c r="E1666" t="s">
        <v>43</v>
      </c>
      <c r="F1666" t="s">
        <v>44</v>
      </c>
      <c r="G1666" t="s">
        <v>45</v>
      </c>
      <c r="AH1666" t="s">
        <v>42</v>
      </c>
      <c r="AI1666" t="str">
        <f>"66298845756596"</f>
        <v>66298845756596</v>
      </c>
      <c r="AJ1666" t="str">
        <f>"46P-F582T-00"</f>
        <v>46P-F582T-00</v>
      </c>
      <c r="AK1666" t="s">
        <v>46</v>
      </c>
      <c r="AL1666" s="1">
        <v>44816.551585648151</v>
      </c>
      <c r="AM1666" t="s">
        <v>44</v>
      </c>
    </row>
    <row r="1667" spans="1:39" x14ac:dyDescent="0.2">
      <c r="A1667" t="s">
        <v>1646</v>
      </c>
      <c r="B1667" t="s">
        <v>40</v>
      </c>
      <c r="C1667" t="s">
        <v>1590</v>
      </c>
      <c r="D1667" t="s">
        <v>42</v>
      </c>
      <c r="E1667" t="s">
        <v>43</v>
      </c>
      <c r="F1667" t="s">
        <v>44</v>
      </c>
      <c r="G1667" t="s">
        <v>45</v>
      </c>
      <c r="AH1667" t="s">
        <v>42</v>
      </c>
      <c r="AI1667" t="str">
        <f>"66298845799524"</f>
        <v>66298845799524</v>
      </c>
      <c r="AJ1667" t="str">
        <f>"41080-0597-11HJP"</f>
        <v>41080-0597-11HJP</v>
      </c>
      <c r="AK1667" t="s">
        <v>46</v>
      </c>
      <c r="AL1667" s="1">
        <v>44816.551585648151</v>
      </c>
      <c r="AM1667" t="s">
        <v>44</v>
      </c>
    </row>
    <row r="1668" spans="1:39" x14ac:dyDescent="0.2">
      <c r="A1668" t="s">
        <v>1647</v>
      </c>
      <c r="B1668" t="s">
        <v>40</v>
      </c>
      <c r="C1668" t="s">
        <v>1590</v>
      </c>
      <c r="D1668" t="s">
        <v>42</v>
      </c>
      <c r="E1668" t="s">
        <v>43</v>
      </c>
      <c r="F1668" t="s">
        <v>44</v>
      </c>
      <c r="G1668" t="s">
        <v>45</v>
      </c>
      <c r="AH1668" t="s">
        <v>42</v>
      </c>
      <c r="AI1668" t="str">
        <f>"66298845847580"</f>
        <v>66298845847580</v>
      </c>
      <c r="AJ1668" t="str">
        <f>"XM-12001-000"</f>
        <v>XM-12001-000</v>
      </c>
      <c r="AK1668" t="s">
        <v>46</v>
      </c>
      <c r="AL1668" s="1">
        <v>44816.55159722222</v>
      </c>
      <c r="AM1668" t="s">
        <v>44</v>
      </c>
    </row>
    <row r="1669" spans="1:39" x14ac:dyDescent="0.2">
      <c r="A1669" t="s">
        <v>1648</v>
      </c>
      <c r="B1669" t="s">
        <v>40</v>
      </c>
      <c r="C1669" t="s">
        <v>1590</v>
      </c>
      <c r="D1669" t="s">
        <v>42</v>
      </c>
      <c r="E1669" t="s">
        <v>43</v>
      </c>
      <c r="F1669" t="s">
        <v>44</v>
      </c>
      <c r="G1669" t="s">
        <v>45</v>
      </c>
      <c r="AH1669" t="s">
        <v>42</v>
      </c>
      <c r="AI1669" t="str">
        <f>"43251-K70-601JP"</f>
        <v>43251-K70-601JP</v>
      </c>
      <c r="AJ1669" t="str">
        <f>"43251-K70-601JP"</f>
        <v>43251-K70-601JP</v>
      </c>
      <c r="AK1669" t="s">
        <v>46</v>
      </c>
      <c r="AL1669" s="1">
        <v>44900.827800925923</v>
      </c>
      <c r="AM1669" t="s">
        <v>44</v>
      </c>
    </row>
    <row r="1670" spans="1:39" x14ac:dyDescent="0.2">
      <c r="A1670" t="s">
        <v>1649</v>
      </c>
      <c r="B1670" t="s">
        <v>40</v>
      </c>
      <c r="C1670" t="s">
        <v>1590</v>
      </c>
      <c r="D1670" t="s">
        <v>42</v>
      </c>
      <c r="E1670" t="s">
        <v>43</v>
      </c>
      <c r="F1670" t="s">
        <v>44</v>
      </c>
      <c r="G1670" t="s">
        <v>45</v>
      </c>
      <c r="AH1670" t="s">
        <v>42</v>
      </c>
      <c r="AI1670" t="str">
        <f>"NA020"</f>
        <v>NA020</v>
      </c>
      <c r="AJ1670" t="str">
        <f>"NA020"</f>
        <v>NA020</v>
      </c>
      <c r="AK1670" t="s">
        <v>46</v>
      </c>
      <c r="AL1670" s="1">
        <v>45091.645844907405</v>
      </c>
      <c r="AM1670" t="s">
        <v>44</v>
      </c>
    </row>
    <row r="1671" spans="1:39" x14ac:dyDescent="0.2">
      <c r="A1671" t="s">
        <v>1650</v>
      </c>
      <c r="B1671" t="s">
        <v>40</v>
      </c>
      <c r="C1671" t="s">
        <v>1590</v>
      </c>
      <c r="D1671" t="s">
        <v>42</v>
      </c>
      <c r="E1671" t="s">
        <v>43</v>
      </c>
      <c r="F1671" t="s">
        <v>44</v>
      </c>
      <c r="G1671" t="s">
        <v>45</v>
      </c>
      <c r="AH1671" t="s">
        <v>42</v>
      </c>
      <c r="AI1671" t="str">
        <f>"66298845887800"</f>
        <v>66298845887800</v>
      </c>
      <c r="AJ1671" t="str">
        <f>"400519"</f>
        <v>400519</v>
      </c>
      <c r="AK1671" t="s">
        <v>46</v>
      </c>
      <c r="AL1671" s="1">
        <v>44816.55159722222</v>
      </c>
      <c r="AM1671" t="s">
        <v>44</v>
      </c>
    </row>
    <row r="1672" spans="1:39" x14ac:dyDescent="0.2">
      <c r="A1672" t="s">
        <v>1651</v>
      </c>
      <c r="B1672" t="s">
        <v>40</v>
      </c>
      <c r="C1672" t="s">
        <v>1590</v>
      </c>
      <c r="D1672" t="s">
        <v>42</v>
      </c>
      <c r="E1672" t="s">
        <v>43</v>
      </c>
      <c r="F1672" t="s">
        <v>44</v>
      </c>
      <c r="G1672" t="s">
        <v>45</v>
      </c>
      <c r="AH1672" t="s">
        <v>42</v>
      </c>
      <c r="AI1672" t="str">
        <f>"43251-KSP-B01ZA"</f>
        <v>43251-KSP-B01ZA</v>
      </c>
      <c r="AJ1672" t="str">
        <f>"43251-KSP-B01ZA"</f>
        <v>43251-KSP-B01ZA</v>
      </c>
      <c r="AK1672" t="s">
        <v>46</v>
      </c>
      <c r="AL1672" s="1">
        <v>45091.647002314814</v>
      </c>
      <c r="AM1672" t="s">
        <v>44</v>
      </c>
    </row>
    <row r="1673" spans="1:39" x14ac:dyDescent="0.2">
      <c r="A1673" t="s">
        <v>1652</v>
      </c>
      <c r="B1673" t="s">
        <v>40</v>
      </c>
      <c r="C1673" t="s">
        <v>1590</v>
      </c>
      <c r="D1673" t="s">
        <v>42</v>
      </c>
      <c r="E1673" t="s">
        <v>43</v>
      </c>
      <c r="F1673" t="s">
        <v>44</v>
      </c>
      <c r="G1673" t="s">
        <v>45</v>
      </c>
      <c r="AH1673" t="s">
        <v>42</v>
      </c>
      <c r="AI1673" t="str">
        <f>"69211-32E01JP"</f>
        <v>69211-32E01JP</v>
      </c>
      <c r="AJ1673" t="str">
        <f>"69211-32E01JP"</f>
        <v>69211-32E01JP</v>
      </c>
      <c r="AK1673" t="s">
        <v>46</v>
      </c>
      <c r="AL1673" s="1">
        <v>44900.854537037034</v>
      </c>
      <c r="AM1673" t="s">
        <v>44</v>
      </c>
    </row>
    <row r="1674" spans="1:39" x14ac:dyDescent="0.2">
      <c r="A1674" t="s">
        <v>1653</v>
      </c>
      <c r="B1674" t="s">
        <v>40</v>
      </c>
      <c r="C1674" t="s">
        <v>1590</v>
      </c>
      <c r="D1674" t="s">
        <v>42</v>
      </c>
      <c r="E1674" t="s">
        <v>43</v>
      </c>
      <c r="F1674" t="s">
        <v>44</v>
      </c>
      <c r="G1674" t="s">
        <v>45</v>
      </c>
      <c r="AH1674" t="s">
        <v>42</v>
      </c>
      <c r="AI1674" t="str">
        <f>"66298845925952"</f>
        <v>66298845925952</v>
      </c>
      <c r="AJ1674" t="str">
        <f>"90110060000"</f>
        <v>90110060000</v>
      </c>
      <c r="AK1674" t="s">
        <v>46</v>
      </c>
      <c r="AL1674" s="1">
        <v>44816.551608796297</v>
      </c>
      <c r="AM1674" t="s">
        <v>44</v>
      </c>
    </row>
    <row r="1675" spans="1:39" x14ac:dyDescent="0.2">
      <c r="A1675" t="s">
        <v>1654</v>
      </c>
      <c r="B1675" t="s">
        <v>40</v>
      </c>
      <c r="C1675" t="s">
        <v>1590</v>
      </c>
      <c r="D1675" t="s">
        <v>42</v>
      </c>
      <c r="E1675" t="s">
        <v>43</v>
      </c>
      <c r="F1675" t="s">
        <v>44</v>
      </c>
      <c r="G1675" t="s">
        <v>45</v>
      </c>
      <c r="AH1675" t="s">
        <v>42</v>
      </c>
      <c r="AI1675" t="str">
        <f>"12188"</f>
        <v>12188</v>
      </c>
      <c r="AJ1675" t="str">
        <f>"12188"</f>
        <v>12188</v>
      </c>
      <c r="AK1675" t="s">
        <v>46</v>
      </c>
      <c r="AL1675" s="1">
        <v>45110.887986111113</v>
      </c>
      <c r="AM1675" t="s">
        <v>44</v>
      </c>
    </row>
    <row r="1676" spans="1:39" x14ac:dyDescent="0.2">
      <c r="A1676" t="s">
        <v>1655</v>
      </c>
      <c r="B1676" t="s">
        <v>40</v>
      </c>
      <c r="C1676" t="s">
        <v>1590</v>
      </c>
      <c r="D1676" t="s">
        <v>42</v>
      </c>
      <c r="E1676" t="s">
        <v>43</v>
      </c>
      <c r="F1676" t="s">
        <v>44</v>
      </c>
      <c r="G1676" t="s">
        <v>45</v>
      </c>
      <c r="AH1676" t="s">
        <v>42</v>
      </c>
      <c r="AI1676" t="str">
        <f>"NA018"</f>
        <v>NA018</v>
      </c>
      <c r="AJ1676" t="str">
        <f>"NA018"</f>
        <v>NA018</v>
      </c>
      <c r="AK1676" t="s">
        <v>46</v>
      </c>
      <c r="AL1676" s="1">
        <v>44965.813738425924</v>
      </c>
      <c r="AM1676" t="s">
        <v>44</v>
      </c>
    </row>
    <row r="1677" spans="1:39" x14ac:dyDescent="0.2">
      <c r="A1677" t="s">
        <v>1656</v>
      </c>
      <c r="B1677" t="s">
        <v>40</v>
      </c>
      <c r="C1677" t="s">
        <v>1590</v>
      </c>
      <c r="D1677" t="s">
        <v>42</v>
      </c>
      <c r="E1677" t="s">
        <v>43</v>
      </c>
      <c r="F1677" t="s">
        <v>44</v>
      </c>
      <c r="G1677" t="s">
        <v>45</v>
      </c>
      <c r="AH1677" t="s">
        <v>42</v>
      </c>
      <c r="AI1677" t="str">
        <f>"JL131930"</f>
        <v>JL131930</v>
      </c>
      <c r="AJ1677" t="str">
        <f>"JL131930"</f>
        <v>JL131930</v>
      </c>
      <c r="AK1677" t="s">
        <v>46</v>
      </c>
      <c r="AL1677" s="1">
        <v>45113.826412037037</v>
      </c>
      <c r="AM1677" t="s">
        <v>44</v>
      </c>
    </row>
    <row r="1678" spans="1:39" x14ac:dyDescent="0.2">
      <c r="A1678" t="s">
        <v>1657</v>
      </c>
      <c r="B1678" t="s">
        <v>40</v>
      </c>
      <c r="C1678" t="s">
        <v>1590</v>
      </c>
      <c r="D1678" t="s">
        <v>42</v>
      </c>
      <c r="E1678" t="s">
        <v>43</v>
      </c>
      <c r="F1678" t="s">
        <v>44</v>
      </c>
      <c r="G1678" t="s">
        <v>45</v>
      </c>
      <c r="AH1678" t="s">
        <v>42</v>
      </c>
      <c r="AI1678" t="str">
        <f>"12667"</f>
        <v>12667</v>
      </c>
      <c r="AJ1678" t="str">
        <f>"12667"</f>
        <v>12667</v>
      </c>
      <c r="AK1678" t="s">
        <v>46</v>
      </c>
      <c r="AL1678" s="1">
        <v>44950.847569444442</v>
      </c>
      <c r="AM1678" t="s">
        <v>44</v>
      </c>
    </row>
    <row r="1679" spans="1:39" x14ac:dyDescent="0.2">
      <c r="A1679" t="s">
        <v>1658</v>
      </c>
      <c r="B1679" t="s">
        <v>40</v>
      </c>
      <c r="C1679" t="s">
        <v>1590</v>
      </c>
      <c r="D1679" t="s">
        <v>42</v>
      </c>
      <c r="E1679" t="s">
        <v>43</v>
      </c>
      <c r="F1679" t="s">
        <v>44</v>
      </c>
      <c r="G1679" t="s">
        <v>45</v>
      </c>
      <c r="AH1679" t="s">
        <v>42</v>
      </c>
      <c r="AI1679" t="str">
        <f>"DK-1510-24"</f>
        <v>DK-1510-24</v>
      </c>
      <c r="AJ1679" t="str">
        <f>"DK-1510-24"</f>
        <v>DK-1510-24</v>
      </c>
      <c r="AK1679" t="s">
        <v>46</v>
      </c>
      <c r="AL1679" s="1">
        <v>45091.649791666663</v>
      </c>
      <c r="AM1679" t="s">
        <v>44</v>
      </c>
    </row>
    <row r="1680" spans="1:39" x14ac:dyDescent="0.2">
      <c r="A1680" t="s">
        <v>1659</v>
      </c>
      <c r="B1680" t="s">
        <v>40</v>
      </c>
      <c r="C1680" t="s">
        <v>1590</v>
      </c>
      <c r="D1680" t="s">
        <v>42</v>
      </c>
      <c r="E1680" t="s">
        <v>43</v>
      </c>
      <c r="F1680" t="s">
        <v>44</v>
      </c>
      <c r="G1680" t="s">
        <v>45</v>
      </c>
      <c r="AH1680" t="s">
        <v>42</v>
      </c>
      <c r="AI1680" t="str">
        <f>"66298845967348"</f>
        <v>66298845967348</v>
      </c>
      <c r="AJ1680" t="str">
        <f>"NA011"</f>
        <v>NA011</v>
      </c>
      <c r="AK1680" t="s">
        <v>46</v>
      </c>
      <c r="AL1680" s="1">
        <v>44816.551608796297</v>
      </c>
      <c r="AM1680" t="s">
        <v>44</v>
      </c>
    </row>
    <row r="1681" spans="1:39" x14ac:dyDescent="0.2">
      <c r="A1681" t="s">
        <v>1660</v>
      </c>
      <c r="B1681" t="s">
        <v>40</v>
      </c>
      <c r="C1681" t="s">
        <v>1590</v>
      </c>
      <c r="D1681" t="s">
        <v>42</v>
      </c>
      <c r="E1681" t="s">
        <v>43</v>
      </c>
      <c r="F1681" t="s">
        <v>44</v>
      </c>
      <c r="G1681" t="s">
        <v>45</v>
      </c>
      <c r="AH1681" t="s">
        <v>42</v>
      </c>
      <c r="AI1681" t="str">
        <f>"66298846012247"</f>
        <v>66298846012247</v>
      </c>
      <c r="AJ1681" t="str">
        <f>"43251-KWT-900JP"</f>
        <v>43251-KWT-900JP</v>
      </c>
      <c r="AK1681" t="s">
        <v>46</v>
      </c>
      <c r="AL1681" s="1">
        <v>44816.551620370374</v>
      </c>
      <c r="AM1681" t="s">
        <v>44</v>
      </c>
    </row>
    <row r="1682" spans="1:39" x14ac:dyDescent="0.2">
      <c r="A1682" t="s">
        <v>1661</v>
      </c>
      <c r="B1682" t="s">
        <v>40</v>
      </c>
      <c r="C1682" t="s">
        <v>1590</v>
      </c>
      <c r="D1682" t="s">
        <v>42</v>
      </c>
      <c r="E1682" t="s">
        <v>43</v>
      </c>
      <c r="F1682" t="s">
        <v>44</v>
      </c>
      <c r="G1682" t="s">
        <v>45</v>
      </c>
      <c r="AH1682" t="s">
        <v>42</v>
      </c>
      <c r="AI1682" t="str">
        <f>"66298846052407"</f>
        <v>66298846052407</v>
      </c>
      <c r="AJ1682" t="str">
        <f>"400561"</f>
        <v>400561</v>
      </c>
      <c r="AK1682" t="s">
        <v>46</v>
      </c>
      <c r="AL1682" s="1">
        <v>44816.551620370374</v>
      </c>
      <c r="AM1682" t="s">
        <v>44</v>
      </c>
    </row>
    <row r="1683" spans="1:39" x14ac:dyDescent="0.2">
      <c r="A1683" t="s">
        <v>1662</v>
      </c>
      <c r="B1683" t="s">
        <v>40</v>
      </c>
      <c r="C1683" t="s">
        <v>1590</v>
      </c>
      <c r="D1683" t="s">
        <v>42</v>
      </c>
      <c r="E1683" t="s">
        <v>43</v>
      </c>
      <c r="F1683" t="s">
        <v>44</v>
      </c>
      <c r="G1683" t="s">
        <v>45</v>
      </c>
      <c r="AH1683" t="s">
        <v>42</v>
      </c>
      <c r="AI1683" t="str">
        <f>"5XT-2582W-00JP"</f>
        <v>5XT-2582W-00JP</v>
      </c>
      <c r="AJ1683" t="str">
        <f>"5XT-2582W-00JP"</f>
        <v>5XT-2582W-00JP</v>
      </c>
      <c r="AK1683" t="s">
        <v>46</v>
      </c>
      <c r="AL1683" s="1">
        <v>45091.651956018519</v>
      </c>
      <c r="AM1683" t="s">
        <v>44</v>
      </c>
    </row>
    <row r="1684" spans="1:39" x14ac:dyDescent="0.2">
      <c r="A1684" t="s">
        <v>1663</v>
      </c>
      <c r="B1684" t="s">
        <v>40</v>
      </c>
      <c r="C1684" t="s">
        <v>1590</v>
      </c>
      <c r="D1684" t="s">
        <v>42</v>
      </c>
      <c r="E1684" t="s">
        <v>43</v>
      </c>
      <c r="F1684" t="s">
        <v>44</v>
      </c>
      <c r="G1684" t="s">
        <v>45</v>
      </c>
      <c r="AH1684" t="s">
        <v>42</v>
      </c>
      <c r="AI1684" t="str">
        <f>"1WD-F582W-00"</f>
        <v>1WD-F582W-00</v>
      </c>
      <c r="AJ1684" t="str">
        <f>"1WD-F582W-00"</f>
        <v>1WD-F582W-00</v>
      </c>
      <c r="AK1684" t="s">
        <v>46</v>
      </c>
      <c r="AL1684" s="1">
        <v>44870.648831018516</v>
      </c>
      <c r="AM1684" t="s">
        <v>44</v>
      </c>
    </row>
    <row r="1685" spans="1:39" x14ac:dyDescent="0.2">
      <c r="A1685" t="s">
        <v>1663</v>
      </c>
      <c r="B1685" t="s">
        <v>40</v>
      </c>
      <c r="C1685" t="s">
        <v>1590</v>
      </c>
      <c r="D1685" t="s">
        <v>42</v>
      </c>
      <c r="E1685" t="s">
        <v>43</v>
      </c>
      <c r="F1685" t="s">
        <v>44</v>
      </c>
      <c r="G1685" t="s">
        <v>45</v>
      </c>
      <c r="AH1685" t="s">
        <v>42</v>
      </c>
      <c r="AI1685" t="str">
        <f>"1WD-F582W-00JP"</f>
        <v>1WD-F582W-00JP</v>
      </c>
      <c r="AJ1685" t="str">
        <f>"1WD-F582W-00JP"</f>
        <v>1WD-F582W-00JP</v>
      </c>
      <c r="AK1685" t="s">
        <v>46</v>
      </c>
      <c r="AL1685" s="1">
        <v>45091.658229166664</v>
      </c>
      <c r="AM1685" t="s">
        <v>44</v>
      </c>
    </row>
    <row r="1686" spans="1:39" x14ac:dyDescent="0.2">
      <c r="A1686" t="s">
        <v>1664</v>
      </c>
      <c r="B1686" t="s">
        <v>40</v>
      </c>
      <c r="C1686" t="s">
        <v>1590</v>
      </c>
      <c r="D1686" t="s">
        <v>42</v>
      </c>
      <c r="E1686" t="s">
        <v>43</v>
      </c>
      <c r="F1686" t="s">
        <v>44</v>
      </c>
      <c r="G1686" t="s">
        <v>45</v>
      </c>
      <c r="AH1686" t="s">
        <v>42</v>
      </c>
      <c r="AI1686" t="str">
        <f>"66298846096075"</f>
        <v>66298846096075</v>
      </c>
      <c r="AJ1686" t="str">
        <f>"41080-0598-11H"</f>
        <v>41080-0598-11H</v>
      </c>
      <c r="AK1686" t="s">
        <v>46</v>
      </c>
      <c r="AL1686" s="1">
        <v>44816.551620370374</v>
      </c>
      <c r="AM1686" t="s">
        <v>44</v>
      </c>
    </row>
    <row r="1687" spans="1:39" x14ac:dyDescent="0.2">
      <c r="A1687" t="s">
        <v>1665</v>
      </c>
      <c r="B1687" t="s">
        <v>40</v>
      </c>
      <c r="C1687" t="s">
        <v>1578</v>
      </c>
      <c r="D1687" t="s">
        <v>42</v>
      </c>
      <c r="E1687" t="s">
        <v>43</v>
      </c>
      <c r="F1687" t="s">
        <v>44</v>
      </c>
      <c r="G1687" t="s">
        <v>45</v>
      </c>
      <c r="AH1687" t="s">
        <v>42</v>
      </c>
      <c r="AI1687" t="str">
        <f>"66298846140657"</f>
        <v>66298846140657</v>
      </c>
      <c r="AJ1687" t="str">
        <f>"CD014"</f>
        <v>CD014</v>
      </c>
      <c r="AK1687" t="s">
        <v>46</v>
      </c>
      <c r="AL1687" s="1">
        <v>44816.551631944443</v>
      </c>
      <c r="AM1687" t="s">
        <v>44</v>
      </c>
    </row>
    <row r="1688" spans="1:39" x14ac:dyDescent="0.2">
      <c r="A1688" t="s">
        <v>1666</v>
      </c>
      <c r="B1688" t="s">
        <v>40</v>
      </c>
      <c r="C1688" t="s">
        <v>1578</v>
      </c>
      <c r="D1688" t="s">
        <v>42</v>
      </c>
      <c r="E1688" t="s">
        <v>43</v>
      </c>
      <c r="F1688" t="s">
        <v>44</v>
      </c>
      <c r="G1688" t="s">
        <v>45</v>
      </c>
      <c r="AH1688" t="s">
        <v>42</v>
      </c>
      <c r="AI1688" t="str">
        <f>"66298846182767"</f>
        <v>66298846182767</v>
      </c>
      <c r="AJ1688" t="str">
        <f>"CD011"</f>
        <v>CD011</v>
      </c>
      <c r="AK1688" t="s">
        <v>46</v>
      </c>
      <c r="AL1688" s="1">
        <v>44816.551631944443</v>
      </c>
      <c r="AM1688" t="s">
        <v>44</v>
      </c>
    </row>
    <row r="1689" spans="1:39" x14ac:dyDescent="0.2">
      <c r="A1689" t="s">
        <v>1667</v>
      </c>
      <c r="B1689" t="s">
        <v>40</v>
      </c>
      <c r="C1689" t="s">
        <v>1578</v>
      </c>
      <c r="D1689" t="s">
        <v>42</v>
      </c>
      <c r="E1689" t="s">
        <v>43</v>
      </c>
      <c r="F1689" t="s">
        <v>44</v>
      </c>
      <c r="G1689" t="s">
        <v>45</v>
      </c>
      <c r="AH1689" t="s">
        <v>42</v>
      </c>
      <c r="AI1689" t="str">
        <f>"CD004"</f>
        <v>CD004</v>
      </c>
      <c r="AJ1689" t="str">
        <f>"CD004"</f>
        <v>CD004</v>
      </c>
      <c r="AK1689" t="s">
        <v>46</v>
      </c>
      <c r="AL1689" s="1">
        <v>45091.69253472222</v>
      </c>
      <c r="AM1689" t="s">
        <v>44</v>
      </c>
    </row>
    <row r="1690" spans="1:39" x14ac:dyDescent="0.2">
      <c r="A1690" t="s">
        <v>1668</v>
      </c>
      <c r="B1690" t="s">
        <v>40</v>
      </c>
      <c r="C1690" t="s">
        <v>1578</v>
      </c>
      <c r="D1690" t="s">
        <v>42</v>
      </c>
      <c r="E1690" t="s">
        <v>43</v>
      </c>
      <c r="F1690" t="s">
        <v>44</v>
      </c>
      <c r="G1690" t="s">
        <v>45</v>
      </c>
      <c r="AH1690" t="s">
        <v>42</v>
      </c>
      <c r="AI1690" t="str">
        <f>"66298846225496"</f>
        <v>66298846225496</v>
      </c>
      <c r="AJ1690" t="str">
        <f>"400029"</f>
        <v>400029</v>
      </c>
      <c r="AK1690" t="s">
        <v>46</v>
      </c>
      <c r="AL1690" s="1">
        <v>44816.55164351852</v>
      </c>
      <c r="AM1690" t="s">
        <v>44</v>
      </c>
    </row>
    <row r="1691" spans="1:39" x14ac:dyDescent="0.2">
      <c r="A1691" t="s">
        <v>1669</v>
      </c>
      <c r="B1691" t="s">
        <v>40</v>
      </c>
      <c r="C1691" t="s">
        <v>1578</v>
      </c>
      <c r="D1691" t="s">
        <v>42</v>
      </c>
      <c r="E1691" t="s">
        <v>43</v>
      </c>
      <c r="F1691" t="s">
        <v>44</v>
      </c>
      <c r="G1691" t="s">
        <v>45</v>
      </c>
      <c r="AH1691" t="s">
        <v>42</v>
      </c>
      <c r="AI1691" t="str">
        <f>"66298846267226"</f>
        <v>66298846267226</v>
      </c>
      <c r="AJ1691" t="str">
        <f>"400030"</f>
        <v>400030</v>
      </c>
      <c r="AK1691" t="s">
        <v>46</v>
      </c>
      <c r="AL1691" s="1">
        <v>44816.55164351852</v>
      </c>
      <c r="AM1691" t="s">
        <v>44</v>
      </c>
    </row>
    <row r="1692" spans="1:39" x14ac:dyDescent="0.2">
      <c r="A1692" t="s">
        <v>1670</v>
      </c>
      <c r="B1692" t="s">
        <v>40</v>
      </c>
      <c r="C1692" t="s">
        <v>1578</v>
      </c>
      <c r="D1692" t="s">
        <v>42</v>
      </c>
      <c r="E1692" t="s">
        <v>43</v>
      </c>
      <c r="F1692" t="s">
        <v>44</v>
      </c>
      <c r="G1692" t="s">
        <v>45</v>
      </c>
      <c r="AH1692" t="s">
        <v>42</v>
      </c>
      <c r="AI1692" t="str">
        <f>"7747"</f>
        <v>7747</v>
      </c>
      <c r="AJ1692" t="str">
        <f>"7747"</f>
        <v>7747</v>
      </c>
      <c r="AK1692" t="s">
        <v>46</v>
      </c>
      <c r="AL1692" s="1">
        <v>45091.691631944443</v>
      </c>
      <c r="AM1692" t="s">
        <v>44</v>
      </c>
    </row>
    <row r="1693" spans="1:39" x14ac:dyDescent="0.2">
      <c r="A1693" t="s">
        <v>1671</v>
      </c>
      <c r="B1693" t="s">
        <v>40</v>
      </c>
      <c r="C1693" t="s">
        <v>1578</v>
      </c>
      <c r="D1693" t="s">
        <v>42</v>
      </c>
      <c r="E1693" t="s">
        <v>43</v>
      </c>
      <c r="F1693" t="s">
        <v>44</v>
      </c>
      <c r="G1693" t="s">
        <v>45</v>
      </c>
      <c r="AH1693" t="s">
        <v>42</v>
      </c>
      <c r="AI1693" t="str">
        <f>"66298846311626"</f>
        <v>66298846311626</v>
      </c>
      <c r="AJ1693" t="str">
        <f>"80996"</f>
        <v>80996</v>
      </c>
      <c r="AK1693" t="s">
        <v>46</v>
      </c>
      <c r="AL1693" s="1">
        <v>44816.551655092589</v>
      </c>
      <c r="AM1693" t="s">
        <v>44</v>
      </c>
    </row>
    <row r="1694" spans="1:39" x14ac:dyDescent="0.2">
      <c r="A1694" t="s">
        <v>1671</v>
      </c>
      <c r="B1694" t="s">
        <v>40</v>
      </c>
      <c r="C1694" t="s">
        <v>1578</v>
      </c>
      <c r="D1694" t="s">
        <v>42</v>
      </c>
      <c r="E1694" t="s">
        <v>43</v>
      </c>
      <c r="F1694" t="s">
        <v>44</v>
      </c>
      <c r="G1694" t="s">
        <v>45</v>
      </c>
      <c r="AH1694" t="s">
        <v>42</v>
      </c>
      <c r="AI1694" t="str">
        <f>"66298846318477"</f>
        <v>66298846318477</v>
      </c>
      <c r="AJ1694" t="str">
        <f>"DISCOS-GN"</f>
        <v>DISCOS-GN</v>
      </c>
      <c r="AK1694" t="s">
        <v>46</v>
      </c>
      <c r="AL1694" s="1">
        <v>44816.551655092589</v>
      </c>
      <c r="AM1694" t="s">
        <v>44</v>
      </c>
    </row>
    <row r="1695" spans="1:39" x14ac:dyDescent="0.2">
      <c r="A1695" t="s">
        <v>1672</v>
      </c>
      <c r="B1695" t="s">
        <v>40</v>
      </c>
      <c r="C1695" t="s">
        <v>1578</v>
      </c>
      <c r="D1695" t="s">
        <v>42</v>
      </c>
      <c r="E1695" t="s">
        <v>43</v>
      </c>
      <c r="F1695" t="s">
        <v>44</v>
      </c>
      <c r="G1695" t="s">
        <v>45</v>
      </c>
      <c r="AH1695" t="s">
        <v>42</v>
      </c>
      <c r="AI1695" t="str">
        <f>"66298846405251"</f>
        <v>66298846405251</v>
      </c>
      <c r="AJ1695" t="str">
        <f>"400031"</f>
        <v>400031</v>
      </c>
      <c r="AK1695" t="s">
        <v>46</v>
      </c>
      <c r="AL1695" s="1">
        <v>44816.551666666666</v>
      </c>
      <c r="AM1695" t="s">
        <v>44</v>
      </c>
    </row>
    <row r="1696" spans="1:39" x14ac:dyDescent="0.2">
      <c r="A1696" t="s">
        <v>1673</v>
      </c>
      <c r="B1696" t="s">
        <v>40</v>
      </c>
      <c r="C1696" t="s">
        <v>1578</v>
      </c>
      <c r="D1696" t="s">
        <v>42</v>
      </c>
      <c r="E1696" t="s">
        <v>43</v>
      </c>
      <c r="F1696" t="s">
        <v>44</v>
      </c>
      <c r="G1696" t="s">
        <v>45</v>
      </c>
      <c r="AH1696" t="s">
        <v>42</v>
      </c>
      <c r="AI1696" t="str">
        <f>"CD005"</f>
        <v>CD005</v>
      </c>
      <c r="AJ1696" t="str">
        <f>"CD005"</f>
        <v>CD005</v>
      </c>
      <c r="AK1696" t="s">
        <v>46</v>
      </c>
      <c r="AL1696" s="1">
        <v>45091.693576388891</v>
      </c>
      <c r="AM1696" t="s">
        <v>44</v>
      </c>
    </row>
    <row r="1697" spans="1:39" x14ac:dyDescent="0.2">
      <c r="A1697" t="s">
        <v>1674</v>
      </c>
      <c r="B1697" t="s">
        <v>40</v>
      </c>
      <c r="C1697" t="s">
        <v>1578</v>
      </c>
      <c r="D1697" t="s">
        <v>42</v>
      </c>
      <c r="E1697" t="s">
        <v>43</v>
      </c>
      <c r="F1697" t="s">
        <v>44</v>
      </c>
      <c r="G1697" t="s">
        <v>45</v>
      </c>
      <c r="AH1697" t="s">
        <v>42</v>
      </c>
      <c r="AI1697" t="str">
        <f>"66298846455109"</f>
        <v>66298846455109</v>
      </c>
      <c r="AJ1697" t="str">
        <f>"E110"</f>
        <v>E110</v>
      </c>
      <c r="AK1697" t="s">
        <v>46</v>
      </c>
      <c r="AL1697" s="1">
        <v>44816.551666666666</v>
      </c>
      <c r="AM1697" t="s">
        <v>44</v>
      </c>
    </row>
    <row r="1698" spans="1:39" x14ac:dyDescent="0.2">
      <c r="A1698" t="s">
        <v>1674</v>
      </c>
      <c r="B1698" t="s">
        <v>40</v>
      </c>
      <c r="C1698" t="s">
        <v>1578</v>
      </c>
      <c r="D1698" t="s">
        <v>42</v>
      </c>
      <c r="E1698" t="s">
        <v>43</v>
      </c>
      <c r="F1698" t="s">
        <v>44</v>
      </c>
      <c r="G1698" t="s">
        <v>45</v>
      </c>
      <c r="AH1698" t="s">
        <v>42</v>
      </c>
      <c r="AI1698" t="str">
        <f>"CD007"</f>
        <v>CD007</v>
      </c>
      <c r="AJ1698" t="str">
        <f>"CD007"</f>
        <v>CD007</v>
      </c>
      <c r="AK1698" t="s">
        <v>46</v>
      </c>
      <c r="AL1698" s="1">
        <v>45091.694502314815</v>
      </c>
      <c r="AM1698" t="s">
        <v>44</v>
      </c>
    </row>
    <row r="1699" spans="1:39" x14ac:dyDescent="0.2">
      <c r="A1699" t="s">
        <v>1675</v>
      </c>
      <c r="B1699" t="s">
        <v>40</v>
      </c>
      <c r="C1699" t="s">
        <v>1578</v>
      </c>
      <c r="D1699" t="s">
        <v>42</v>
      </c>
      <c r="E1699" t="s">
        <v>43</v>
      </c>
      <c r="F1699" t="s">
        <v>44</v>
      </c>
      <c r="G1699" t="s">
        <v>45</v>
      </c>
      <c r="AH1699" t="s">
        <v>42</v>
      </c>
      <c r="AI1699" t="str">
        <f>"80325"</f>
        <v>80325</v>
      </c>
      <c r="AJ1699" t="str">
        <f>"80325"</f>
        <v>80325</v>
      </c>
      <c r="AK1699" t="s">
        <v>46</v>
      </c>
      <c r="AL1699" s="1">
        <v>45063.875300925924</v>
      </c>
      <c r="AM1699" t="s">
        <v>44</v>
      </c>
    </row>
    <row r="1700" spans="1:39" x14ac:dyDescent="0.2">
      <c r="A1700" t="s">
        <v>1676</v>
      </c>
      <c r="B1700" t="s">
        <v>40</v>
      </c>
      <c r="C1700" t="s">
        <v>1677</v>
      </c>
      <c r="D1700" t="s">
        <v>42</v>
      </c>
      <c r="E1700" t="s">
        <v>43</v>
      </c>
      <c r="F1700" t="s">
        <v>44</v>
      </c>
      <c r="G1700" t="s">
        <v>45</v>
      </c>
      <c r="H1700" t="s">
        <v>1678</v>
      </c>
      <c r="AH1700" t="s">
        <v>42</v>
      </c>
      <c r="AI1700" t="str">
        <f>"RO-3181"</f>
        <v>RO-3181</v>
      </c>
      <c r="AJ1700" t="str">
        <f>"RO-3181"</f>
        <v>RO-3181</v>
      </c>
      <c r="AK1700" t="s">
        <v>46</v>
      </c>
      <c r="AL1700" s="1">
        <v>44846.877523148149</v>
      </c>
      <c r="AM1700" t="s">
        <v>44</v>
      </c>
    </row>
    <row r="1701" spans="1:39" x14ac:dyDescent="0.2">
      <c r="A1701" t="s">
        <v>1679</v>
      </c>
      <c r="B1701" t="s">
        <v>40</v>
      </c>
      <c r="C1701" t="s">
        <v>1680</v>
      </c>
      <c r="D1701" t="s">
        <v>42</v>
      </c>
      <c r="E1701" t="s">
        <v>43</v>
      </c>
      <c r="F1701" t="s">
        <v>44</v>
      </c>
      <c r="G1701" t="s">
        <v>45</v>
      </c>
      <c r="AH1701" t="s">
        <v>42</v>
      </c>
      <c r="AI1701" t="str">
        <f>"66298848948462"</f>
        <v>66298848948462</v>
      </c>
      <c r="AJ1701" t="str">
        <f>"400464"</f>
        <v>400464</v>
      </c>
      <c r="AK1701" t="s">
        <v>46</v>
      </c>
      <c r="AL1701" s="1">
        <v>44816.55195601852</v>
      </c>
      <c r="AM1701" t="s">
        <v>44</v>
      </c>
    </row>
    <row r="1702" spans="1:39" x14ac:dyDescent="0.2">
      <c r="A1702" t="s">
        <v>1681</v>
      </c>
      <c r="B1702" t="s">
        <v>40</v>
      </c>
      <c r="C1702" t="s">
        <v>1680</v>
      </c>
      <c r="D1702" t="s">
        <v>42</v>
      </c>
      <c r="E1702" t="s">
        <v>43</v>
      </c>
      <c r="F1702" t="s">
        <v>44</v>
      </c>
      <c r="G1702" t="s">
        <v>45</v>
      </c>
      <c r="AH1702" t="s">
        <v>42</v>
      </c>
      <c r="AI1702" t="str">
        <f>"66298848909102"</f>
        <v>66298848909102</v>
      </c>
      <c r="AJ1702" t="str">
        <f>"400467"</f>
        <v>400467</v>
      </c>
      <c r="AK1702" t="s">
        <v>46</v>
      </c>
      <c r="AL1702" s="1">
        <v>44816.55195601852</v>
      </c>
      <c r="AM1702" t="s">
        <v>44</v>
      </c>
    </row>
    <row r="1703" spans="1:39" x14ac:dyDescent="0.2">
      <c r="A1703" t="s">
        <v>1682</v>
      </c>
      <c r="B1703" t="s">
        <v>40</v>
      </c>
      <c r="C1703" t="s">
        <v>1680</v>
      </c>
      <c r="D1703" t="s">
        <v>42</v>
      </c>
      <c r="E1703" t="s">
        <v>43</v>
      </c>
      <c r="F1703" t="s">
        <v>44</v>
      </c>
      <c r="G1703" t="s">
        <v>45</v>
      </c>
      <c r="AH1703" t="s">
        <v>42</v>
      </c>
      <c r="AI1703" t="str">
        <f>"66298849068247"</f>
        <v>66298849068247</v>
      </c>
      <c r="AJ1703" t="str">
        <f>"400465"</f>
        <v>400465</v>
      </c>
      <c r="AK1703" t="s">
        <v>46</v>
      </c>
      <c r="AL1703" s="1">
        <v>44816.55196759259</v>
      </c>
      <c r="AM1703" t="s">
        <v>44</v>
      </c>
    </row>
    <row r="1704" spans="1:39" x14ac:dyDescent="0.2">
      <c r="A1704" t="s">
        <v>1683</v>
      </c>
      <c r="B1704" t="s">
        <v>40</v>
      </c>
      <c r="C1704" t="s">
        <v>1680</v>
      </c>
      <c r="D1704" t="s">
        <v>42</v>
      </c>
      <c r="E1704" t="s">
        <v>43</v>
      </c>
      <c r="F1704" t="s">
        <v>44</v>
      </c>
      <c r="G1704" t="s">
        <v>45</v>
      </c>
      <c r="AH1704" t="s">
        <v>42</v>
      </c>
      <c r="AI1704" t="str">
        <f>"66298849105910"</f>
        <v>66298849105910</v>
      </c>
      <c r="AJ1704" t="str">
        <f>"400468"</f>
        <v>400468</v>
      </c>
      <c r="AK1704" t="s">
        <v>46</v>
      </c>
      <c r="AL1704" s="1">
        <v>44816.551979166667</v>
      </c>
      <c r="AM1704" t="s">
        <v>44</v>
      </c>
    </row>
    <row r="1705" spans="1:39" x14ac:dyDescent="0.2">
      <c r="A1705" t="s">
        <v>1684</v>
      </c>
      <c r="B1705" t="s">
        <v>40</v>
      </c>
      <c r="C1705" t="s">
        <v>1680</v>
      </c>
      <c r="D1705" t="s">
        <v>42</v>
      </c>
      <c r="E1705" t="s">
        <v>43</v>
      </c>
      <c r="F1705" t="s">
        <v>44</v>
      </c>
      <c r="G1705" t="s">
        <v>45</v>
      </c>
      <c r="AH1705" t="s">
        <v>42</v>
      </c>
      <c r="AI1705" t="str">
        <f>"66298849148441"</f>
        <v>66298849148441</v>
      </c>
      <c r="AJ1705" t="str">
        <f>"400466"</f>
        <v>400466</v>
      </c>
      <c r="AK1705" t="s">
        <v>46</v>
      </c>
      <c r="AL1705" s="1">
        <v>44816.551979166667</v>
      </c>
      <c r="AM1705" t="s">
        <v>44</v>
      </c>
    </row>
    <row r="1706" spans="1:39" x14ac:dyDescent="0.2">
      <c r="A1706" t="s">
        <v>1685</v>
      </c>
      <c r="B1706" t="s">
        <v>40</v>
      </c>
      <c r="C1706" t="s">
        <v>1680</v>
      </c>
      <c r="D1706" t="s">
        <v>42</v>
      </c>
      <c r="E1706" t="s">
        <v>43</v>
      </c>
      <c r="F1706" t="s">
        <v>44</v>
      </c>
      <c r="G1706" t="s">
        <v>45</v>
      </c>
      <c r="AH1706" t="s">
        <v>42</v>
      </c>
      <c r="AI1706" t="str">
        <f>"GJ010"</f>
        <v>GJ010</v>
      </c>
      <c r="AJ1706" t="str">
        <f>"GJ010"</f>
        <v>GJ010</v>
      </c>
      <c r="AK1706" t="s">
        <v>46</v>
      </c>
      <c r="AL1706" s="1">
        <v>44816.551678240743</v>
      </c>
      <c r="AM1706" t="s">
        <v>44</v>
      </c>
    </row>
    <row r="1707" spans="1:39" x14ac:dyDescent="0.2">
      <c r="A1707" t="s">
        <v>1686</v>
      </c>
      <c r="B1707" t="s">
        <v>40</v>
      </c>
      <c r="C1707" t="s">
        <v>1680</v>
      </c>
      <c r="D1707" t="s">
        <v>42</v>
      </c>
      <c r="E1707" t="s">
        <v>43</v>
      </c>
      <c r="F1707" t="s">
        <v>44</v>
      </c>
      <c r="G1707" t="s">
        <v>45</v>
      </c>
      <c r="AH1707" t="s">
        <v>42</v>
      </c>
      <c r="AI1707" t="str">
        <f>"66298846550885"</f>
        <v>66298846550885</v>
      </c>
      <c r="AJ1707" t="str">
        <f>"80952"</f>
        <v>80952</v>
      </c>
      <c r="AK1707" t="s">
        <v>46</v>
      </c>
      <c r="AL1707" s="1">
        <v>44816.551678240743</v>
      </c>
      <c r="AM1707" t="s">
        <v>44</v>
      </c>
    </row>
    <row r="1708" spans="1:39" x14ac:dyDescent="0.2">
      <c r="A1708" t="s">
        <v>1687</v>
      </c>
      <c r="B1708" t="s">
        <v>40</v>
      </c>
      <c r="C1708" t="s">
        <v>1680</v>
      </c>
      <c r="D1708" t="s">
        <v>42</v>
      </c>
      <c r="E1708" t="s">
        <v>43</v>
      </c>
      <c r="F1708" t="s">
        <v>44</v>
      </c>
      <c r="G1708" t="s">
        <v>45</v>
      </c>
      <c r="AH1708" t="s">
        <v>42</v>
      </c>
      <c r="AI1708" t="str">
        <f>"GJ004"</f>
        <v>GJ004</v>
      </c>
      <c r="AJ1708" t="str">
        <f>"GJ004"</f>
        <v>GJ004</v>
      </c>
      <c r="AK1708" t="s">
        <v>46</v>
      </c>
      <c r="AL1708" s="1">
        <v>44816.551678240743</v>
      </c>
      <c r="AM1708" t="s">
        <v>44</v>
      </c>
    </row>
    <row r="1709" spans="1:39" x14ac:dyDescent="0.2">
      <c r="A1709" t="s">
        <v>1688</v>
      </c>
      <c r="B1709" t="s">
        <v>40</v>
      </c>
      <c r="C1709" t="s">
        <v>1680</v>
      </c>
      <c r="D1709" t="s">
        <v>42</v>
      </c>
      <c r="E1709" t="s">
        <v>43</v>
      </c>
      <c r="F1709" t="s">
        <v>44</v>
      </c>
      <c r="G1709" t="s">
        <v>45</v>
      </c>
      <c r="AH1709" t="s">
        <v>42</v>
      </c>
      <c r="AI1709" t="str">
        <f>"GJ001"</f>
        <v>GJ001</v>
      </c>
      <c r="AJ1709" t="str">
        <f>"GJ001"</f>
        <v>GJ001</v>
      </c>
      <c r="AK1709" t="s">
        <v>46</v>
      </c>
      <c r="AL1709" s="1">
        <v>44816.551689814813</v>
      </c>
      <c r="AM1709" t="s">
        <v>44</v>
      </c>
    </row>
    <row r="1710" spans="1:39" x14ac:dyDescent="0.2">
      <c r="A1710" t="s">
        <v>1689</v>
      </c>
      <c r="B1710" t="s">
        <v>40</v>
      </c>
      <c r="C1710" t="s">
        <v>1690</v>
      </c>
      <c r="D1710" t="s">
        <v>42</v>
      </c>
      <c r="E1710" t="s">
        <v>43</v>
      </c>
      <c r="F1710" t="s">
        <v>44</v>
      </c>
      <c r="G1710" t="s">
        <v>45</v>
      </c>
      <c r="AH1710" t="s">
        <v>42</v>
      </c>
      <c r="AI1710" t="str">
        <f>"1593"</f>
        <v>1593</v>
      </c>
      <c r="AJ1710" t="str">
        <f>"1593"</f>
        <v>1593</v>
      </c>
      <c r="AK1710" t="s">
        <v>46</v>
      </c>
      <c r="AL1710" s="1">
        <v>45097.70653935185</v>
      </c>
      <c r="AM1710" t="s">
        <v>44</v>
      </c>
    </row>
    <row r="1711" spans="1:39" x14ac:dyDescent="0.2">
      <c r="A1711" t="s">
        <v>1691</v>
      </c>
      <c r="B1711" t="s">
        <v>40</v>
      </c>
      <c r="C1711" t="s">
        <v>1690</v>
      </c>
      <c r="D1711" t="s">
        <v>42</v>
      </c>
      <c r="E1711" t="s">
        <v>43</v>
      </c>
      <c r="F1711" t="s">
        <v>44</v>
      </c>
      <c r="G1711" t="s">
        <v>45</v>
      </c>
      <c r="AH1711" t="s">
        <v>42</v>
      </c>
      <c r="AI1711" t="str">
        <f>"66298846770060"</f>
        <v>66298846770060</v>
      </c>
      <c r="AJ1711" t="str">
        <f>"401018"</f>
        <v>401018</v>
      </c>
      <c r="AK1711" t="s">
        <v>46</v>
      </c>
      <c r="AL1711" s="1">
        <v>44816.551701388889</v>
      </c>
      <c r="AM1711" t="s">
        <v>44</v>
      </c>
    </row>
    <row r="1712" spans="1:39" x14ac:dyDescent="0.2">
      <c r="A1712" t="s">
        <v>1692</v>
      </c>
      <c r="B1712" t="s">
        <v>40</v>
      </c>
      <c r="C1712" t="s">
        <v>1690</v>
      </c>
      <c r="D1712" t="s">
        <v>42</v>
      </c>
      <c r="E1712" t="s">
        <v>43</v>
      </c>
      <c r="F1712" t="s">
        <v>44</v>
      </c>
      <c r="G1712" t="s">
        <v>45</v>
      </c>
      <c r="AH1712" t="s">
        <v>42</v>
      </c>
      <c r="AI1712" t="str">
        <f>"66298846817714"</f>
        <v>66298846817714</v>
      </c>
      <c r="AJ1712" t="str">
        <f>"401017"</f>
        <v>401017</v>
      </c>
      <c r="AK1712" t="s">
        <v>46</v>
      </c>
      <c r="AL1712" s="1">
        <v>44816.551712962966</v>
      </c>
      <c r="AM1712" t="s">
        <v>44</v>
      </c>
    </row>
    <row r="1713" spans="1:39" x14ac:dyDescent="0.2">
      <c r="A1713" t="s">
        <v>1693</v>
      </c>
      <c r="B1713" t="s">
        <v>40</v>
      </c>
      <c r="C1713" t="s">
        <v>1690</v>
      </c>
      <c r="D1713" t="s">
        <v>42</v>
      </c>
      <c r="E1713" t="s">
        <v>43</v>
      </c>
      <c r="F1713" t="s">
        <v>44</v>
      </c>
      <c r="G1713" t="s">
        <v>45</v>
      </c>
      <c r="AH1713" t="s">
        <v>42</v>
      </c>
      <c r="AI1713" t="str">
        <f>"66298846719666"</f>
        <v>66298846719666</v>
      </c>
      <c r="AJ1713" t="str">
        <f>"401012"</f>
        <v>401012</v>
      </c>
      <c r="AK1713" t="s">
        <v>46</v>
      </c>
      <c r="AL1713" s="1">
        <v>44816.551701388889</v>
      </c>
      <c r="AM1713" t="s">
        <v>44</v>
      </c>
    </row>
    <row r="1714" spans="1:39" x14ac:dyDescent="0.2">
      <c r="A1714" t="s">
        <v>1694</v>
      </c>
      <c r="B1714" t="s">
        <v>40</v>
      </c>
      <c r="C1714" t="s">
        <v>1690</v>
      </c>
      <c r="D1714" t="s">
        <v>42</v>
      </c>
      <c r="E1714" t="s">
        <v>43</v>
      </c>
      <c r="F1714" t="s">
        <v>44</v>
      </c>
      <c r="G1714" t="s">
        <v>45</v>
      </c>
      <c r="AH1714" t="s">
        <v>42</v>
      </c>
      <c r="AI1714" t="str">
        <f>"DE008"</f>
        <v>DE008</v>
      </c>
      <c r="AJ1714" t="str">
        <f>"DE008"</f>
        <v>DE008</v>
      </c>
      <c r="AK1714" t="s">
        <v>46</v>
      </c>
      <c r="AL1714" s="1">
        <v>44816.551689814813</v>
      </c>
      <c r="AM1714" t="s">
        <v>44</v>
      </c>
    </row>
    <row r="1715" spans="1:39" x14ac:dyDescent="0.2">
      <c r="A1715" t="s">
        <v>1695</v>
      </c>
      <c r="B1715" t="s">
        <v>40</v>
      </c>
      <c r="C1715" t="s">
        <v>1690</v>
      </c>
      <c r="D1715" t="s">
        <v>42</v>
      </c>
      <c r="E1715" t="s">
        <v>43</v>
      </c>
      <c r="F1715" t="s">
        <v>44</v>
      </c>
      <c r="G1715" t="s">
        <v>45</v>
      </c>
      <c r="AH1715" t="s">
        <v>42</v>
      </c>
      <c r="AI1715" t="str">
        <f>"3223"</f>
        <v>3223</v>
      </c>
      <c r="AJ1715" t="str">
        <f>"3223"</f>
        <v>3223</v>
      </c>
      <c r="AK1715" t="s">
        <v>46</v>
      </c>
      <c r="AL1715" s="1">
        <v>45174.779965277776</v>
      </c>
      <c r="AM1715" t="s">
        <v>44</v>
      </c>
    </row>
    <row r="1716" spans="1:39" x14ac:dyDescent="0.2">
      <c r="A1716" t="s">
        <v>1696</v>
      </c>
      <c r="B1716" t="s">
        <v>40</v>
      </c>
      <c r="C1716" t="s">
        <v>1690</v>
      </c>
      <c r="D1716" t="s">
        <v>42</v>
      </c>
      <c r="E1716" t="s">
        <v>43</v>
      </c>
      <c r="F1716" t="s">
        <v>44</v>
      </c>
      <c r="G1716" t="s">
        <v>45</v>
      </c>
      <c r="AH1716" t="s">
        <v>42</v>
      </c>
      <c r="AI1716" t="str">
        <f>"66298846856317"</f>
        <v>66298846856317</v>
      </c>
      <c r="AJ1716" t="str">
        <f>"11514"</f>
        <v>11514</v>
      </c>
      <c r="AK1716" t="s">
        <v>46</v>
      </c>
      <c r="AL1716" s="1">
        <v>44816.551712962966</v>
      </c>
      <c r="AM1716" t="s">
        <v>44</v>
      </c>
    </row>
    <row r="1717" spans="1:39" x14ac:dyDescent="0.2">
      <c r="A1717" t="s">
        <v>1697</v>
      </c>
      <c r="B1717" t="s">
        <v>40</v>
      </c>
      <c r="C1717" t="s">
        <v>1690</v>
      </c>
      <c r="D1717" t="s">
        <v>42</v>
      </c>
      <c r="E1717" t="s">
        <v>43</v>
      </c>
      <c r="F1717" t="s">
        <v>44</v>
      </c>
      <c r="G1717" t="s">
        <v>45</v>
      </c>
      <c r="AH1717" t="s">
        <v>42</v>
      </c>
      <c r="AI1717" t="str">
        <f>"66298846942633"</f>
        <v>66298846942633</v>
      </c>
      <c r="AJ1717" t="str">
        <f>"400098"</f>
        <v>400098</v>
      </c>
      <c r="AK1717" t="s">
        <v>46</v>
      </c>
      <c r="AL1717" s="1">
        <v>44816.551724537036</v>
      </c>
      <c r="AM1717" t="s">
        <v>44</v>
      </c>
    </row>
    <row r="1718" spans="1:39" x14ac:dyDescent="0.2">
      <c r="A1718" t="s">
        <v>1698</v>
      </c>
      <c r="B1718" t="s">
        <v>40</v>
      </c>
      <c r="C1718" t="s">
        <v>1690</v>
      </c>
      <c r="D1718" t="s">
        <v>42</v>
      </c>
      <c r="E1718" t="s">
        <v>43</v>
      </c>
      <c r="F1718" t="s">
        <v>44</v>
      </c>
      <c r="G1718" t="s">
        <v>45</v>
      </c>
      <c r="AH1718" t="s">
        <v>42</v>
      </c>
      <c r="AI1718" t="str">
        <f>"66298846998501"</f>
        <v>66298846998501</v>
      </c>
      <c r="AJ1718" t="str">
        <f>"401010"</f>
        <v>401010</v>
      </c>
      <c r="AK1718" t="s">
        <v>46</v>
      </c>
      <c r="AL1718" s="1">
        <v>44816.551724537036</v>
      </c>
      <c r="AM1718" t="s">
        <v>44</v>
      </c>
    </row>
    <row r="1719" spans="1:39" x14ac:dyDescent="0.2">
      <c r="A1719" t="s">
        <v>1699</v>
      </c>
      <c r="B1719" t="s">
        <v>40</v>
      </c>
      <c r="C1719" t="s">
        <v>1690</v>
      </c>
      <c r="D1719" t="s">
        <v>42</v>
      </c>
      <c r="E1719" t="s">
        <v>43</v>
      </c>
      <c r="F1719" t="s">
        <v>44</v>
      </c>
      <c r="G1719" t="s">
        <v>45</v>
      </c>
      <c r="AH1719" t="s">
        <v>42</v>
      </c>
      <c r="AI1719" t="str">
        <f>"66298846896255"</f>
        <v>66298846896255</v>
      </c>
      <c r="AJ1719" t="str">
        <f>"21C-E2170-00JP"</f>
        <v>21C-E2170-00JP</v>
      </c>
      <c r="AK1719" t="s">
        <v>46</v>
      </c>
      <c r="AL1719" s="1">
        <v>44816.551712962966</v>
      </c>
      <c r="AM1719" t="s">
        <v>44</v>
      </c>
    </row>
    <row r="1720" spans="1:39" x14ac:dyDescent="0.2">
      <c r="A1720" t="s">
        <v>1700</v>
      </c>
      <c r="B1720" t="s">
        <v>40</v>
      </c>
      <c r="C1720" t="s">
        <v>1690</v>
      </c>
      <c r="D1720" t="s">
        <v>42</v>
      </c>
      <c r="E1720" t="s">
        <v>43</v>
      </c>
      <c r="F1720" t="s">
        <v>44</v>
      </c>
      <c r="G1720" t="s">
        <v>45</v>
      </c>
      <c r="AH1720" t="s">
        <v>42</v>
      </c>
      <c r="AI1720" t="str">
        <f>"66298847040504"</f>
        <v>66298847040504</v>
      </c>
      <c r="AJ1720" t="str">
        <f>"401109"</f>
        <v>401109</v>
      </c>
      <c r="AK1720" t="s">
        <v>46</v>
      </c>
      <c r="AL1720" s="1">
        <v>44816.551736111112</v>
      </c>
      <c r="AM1720" t="s">
        <v>44</v>
      </c>
    </row>
    <row r="1721" spans="1:39" x14ac:dyDescent="0.2">
      <c r="A1721" t="s">
        <v>1701</v>
      </c>
      <c r="B1721" t="s">
        <v>40</v>
      </c>
      <c r="C1721" t="s">
        <v>1690</v>
      </c>
      <c r="D1721" t="s">
        <v>42</v>
      </c>
      <c r="E1721" t="s">
        <v>43</v>
      </c>
      <c r="F1721" t="s">
        <v>44</v>
      </c>
      <c r="G1721" t="s">
        <v>45</v>
      </c>
      <c r="AH1721" t="s">
        <v>42</v>
      </c>
      <c r="AI1721" t="str">
        <f>"66298847079059"</f>
        <v>66298847079059</v>
      </c>
      <c r="AJ1721" t="str">
        <f>"401013"</f>
        <v>401013</v>
      </c>
      <c r="AK1721" t="s">
        <v>46</v>
      </c>
      <c r="AL1721" s="1">
        <v>44816.551736111112</v>
      </c>
      <c r="AM1721" t="s">
        <v>44</v>
      </c>
    </row>
    <row r="1722" spans="1:39" x14ac:dyDescent="0.2">
      <c r="A1722" t="s">
        <v>1702</v>
      </c>
      <c r="B1722" t="s">
        <v>40</v>
      </c>
      <c r="C1722" t="s">
        <v>1690</v>
      </c>
      <c r="D1722" t="s">
        <v>42</v>
      </c>
      <c r="E1722" t="s">
        <v>43</v>
      </c>
      <c r="F1722" t="s">
        <v>44</v>
      </c>
      <c r="G1722" t="s">
        <v>45</v>
      </c>
      <c r="AH1722" t="s">
        <v>42</v>
      </c>
      <c r="AI1722" t="str">
        <f>"66298847121632"</f>
        <v>66298847121632</v>
      </c>
      <c r="AJ1722" t="str">
        <f>"400093"</f>
        <v>400093</v>
      </c>
      <c r="AK1722" t="s">
        <v>46</v>
      </c>
      <c r="AL1722" s="1">
        <v>44816.551747685182</v>
      </c>
      <c r="AM1722" t="s">
        <v>44</v>
      </c>
    </row>
    <row r="1723" spans="1:39" x14ac:dyDescent="0.2">
      <c r="A1723" t="s">
        <v>1703</v>
      </c>
      <c r="B1723" t="s">
        <v>40</v>
      </c>
      <c r="C1723" t="s">
        <v>1690</v>
      </c>
      <c r="D1723" t="s">
        <v>42</v>
      </c>
      <c r="E1723" t="s">
        <v>43</v>
      </c>
      <c r="F1723" t="s">
        <v>44</v>
      </c>
      <c r="G1723" t="s">
        <v>45</v>
      </c>
      <c r="AH1723" t="s">
        <v>42</v>
      </c>
      <c r="AI1723" t="str">
        <f>"12710-12F50JP"</f>
        <v>12710-12F50JP</v>
      </c>
      <c r="AJ1723" t="str">
        <f>"12710-12F50JP"</f>
        <v>12710-12F50JP</v>
      </c>
      <c r="AK1723" t="s">
        <v>46</v>
      </c>
      <c r="AL1723" s="1">
        <v>44872.658796296295</v>
      </c>
      <c r="AM1723" t="s">
        <v>44</v>
      </c>
    </row>
    <row r="1724" spans="1:39" x14ac:dyDescent="0.2">
      <c r="A1724" t="s">
        <v>1704</v>
      </c>
      <c r="B1724" t="s">
        <v>40</v>
      </c>
      <c r="C1724" t="s">
        <v>1690</v>
      </c>
      <c r="D1724" t="s">
        <v>42</v>
      </c>
      <c r="E1724" t="s">
        <v>43</v>
      </c>
      <c r="F1724" t="s">
        <v>44</v>
      </c>
      <c r="G1724" t="s">
        <v>45</v>
      </c>
      <c r="AH1724" t="s">
        <v>42</v>
      </c>
      <c r="AI1724" t="str">
        <f>"66298847159686"</f>
        <v>66298847159686</v>
      </c>
      <c r="AJ1724" t="str">
        <f>"12711-42A10JP"</f>
        <v>12711-42A10JP</v>
      </c>
      <c r="AK1724" t="s">
        <v>46</v>
      </c>
      <c r="AL1724" s="1">
        <v>44816.551747685182</v>
      </c>
      <c r="AM1724" t="s">
        <v>44</v>
      </c>
    </row>
    <row r="1725" spans="1:39" x14ac:dyDescent="0.2">
      <c r="A1725" t="s">
        <v>1705</v>
      </c>
      <c r="B1725" t="s">
        <v>40</v>
      </c>
      <c r="C1725" t="s">
        <v>1690</v>
      </c>
      <c r="D1725" t="s">
        <v>42</v>
      </c>
      <c r="E1725" t="s">
        <v>43</v>
      </c>
      <c r="F1725" t="s">
        <v>44</v>
      </c>
      <c r="G1725" t="s">
        <v>45</v>
      </c>
      <c r="AH1725" t="s">
        <v>42</v>
      </c>
      <c r="AI1725" t="str">
        <f>"66298847197033"</f>
        <v>66298847197033</v>
      </c>
      <c r="AJ1725" t="str">
        <f>"DE004"</f>
        <v>DE004</v>
      </c>
      <c r="AK1725" t="s">
        <v>46</v>
      </c>
      <c r="AL1725" s="1">
        <v>44816.551747685182</v>
      </c>
      <c r="AM1725" t="s">
        <v>44</v>
      </c>
    </row>
    <row r="1726" spans="1:39" x14ac:dyDescent="0.2">
      <c r="A1726" t="s">
        <v>1706</v>
      </c>
      <c r="B1726" t="s">
        <v>40</v>
      </c>
      <c r="C1726" t="s">
        <v>1690</v>
      </c>
      <c r="D1726" t="s">
        <v>42</v>
      </c>
      <c r="E1726" t="s">
        <v>43</v>
      </c>
      <c r="F1726" t="s">
        <v>44</v>
      </c>
      <c r="G1726" t="s">
        <v>45</v>
      </c>
      <c r="AH1726" t="s">
        <v>42</v>
      </c>
      <c r="AI1726" t="str">
        <f>"66298847235324"</f>
        <v>66298847235324</v>
      </c>
      <c r="AJ1726" t="str">
        <f>"401108"</f>
        <v>401108</v>
      </c>
      <c r="AK1726" t="s">
        <v>46</v>
      </c>
      <c r="AL1726" s="1">
        <v>44816.551759259259</v>
      </c>
      <c r="AM1726" t="s">
        <v>44</v>
      </c>
    </row>
    <row r="1727" spans="1:39" x14ac:dyDescent="0.2">
      <c r="A1727" t="s">
        <v>1707</v>
      </c>
      <c r="B1727" t="s">
        <v>40</v>
      </c>
      <c r="C1727" t="s">
        <v>1690</v>
      </c>
      <c r="D1727" t="s">
        <v>42</v>
      </c>
      <c r="E1727" t="s">
        <v>43</v>
      </c>
      <c r="F1727" t="s">
        <v>44</v>
      </c>
      <c r="G1727" t="s">
        <v>45</v>
      </c>
      <c r="AH1727" t="s">
        <v>42</v>
      </c>
      <c r="AI1727" t="str">
        <f>"66298847277216"</f>
        <v>66298847277216</v>
      </c>
      <c r="AJ1727" t="str">
        <f>"12710H3D021H000"</f>
        <v>12710H3D021H000</v>
      </c>
      <c r="AK1727" t="s">
        <v>46</v>
      </c>
      <c r="AL1727" s="1">
        <v>44816.551759259259</v>
      </c>
      <c r="AM1727" t="s">
        <v>44</v>
      </c>
    </row>
    <row r="1728" spans="1:39" x14ac:dyDescent="0.2">
      <c r="A1728" t="s">
        <v>1708</v>
      </c>
      <c r="B1728" t="s">
        <v>40</v>
      </c>
      <c r="C1728" t="s">
        <v>1690</v>
      </c>
      <c r="D1728" t="s">
        <v>42</v>
      </c>
      <c r="E1728" t="s">
        <v>43</v>
      </c>
      <c r="F1728" t="s">
        <v>44</v>
      </c>
      <c r="G1728" t="s">
        <v>45</v>
      </c>
      <c r="AH1728" t="s">
        <v>42</v>
      </c>
      <c r="AI1728" t="str">
        <f>"66298847319066"</f>
        <v>66298847319066</v>
      </c>
      <c r="AJ1728" t="str">
        <f>"DE015"</f>
        <v>DE015</v>
      </c>
      <c r="AK1728" t="s">
        <v>46</v>
      </c>
      <c r="AL1728" s="1">
        <v>44816.551770833335</v>
      </c>
      <c r="AM1728" t="s">
        <v>44</v>
      </c>
    </row>
    <row r="1729" spans="1:39" x14ac:dyDescent="0.2">
      <c r="A1729" t="s">
        <v>1709</v>
      </c>
      <c r="B1729" t="s">
        <v>40</v>
      </c>
      <c r="C1729" t="s">
        <v>1690</v>
      </c>
      <c r="D1729" t="s">
        <v>42</v>
      </c>
      <c r="E1729" t="s">
        <v>43</v>
      </c>
      <c r="F1729" t="s">
        <v>44</v>
      </c>
      <c r="G1729" t="s">
        <v>45</v>
      </c>
      <c r="AH1729" t="s">
        <v>42</v>
      </c>
      <c r="AI1729" t="str">
        <f>"66298847366358"</f>
        <v>66298847366358</v>
      </c>
      <c r="AJ1729" t="str">
        <f>"JD-5112-11"</f>
        <v>JD-5112-11</v>
      </c>
      <c r="AK1729" t="s">
        <v>46</v>
      </c>
      <c r="AL1729" s="1">
        <v>44816.551770833335</v>
      </c>
      <c r="AM1729" t="s">
        <v>44</v>
      </c>
    </row>
    <row r="1730" spans="1:39" x14ac:dyDescent="0.2">
      <c r="A1730" t="s">
        <v>1710</v>
      </c>
      <c r="B1730" t="s">
        <v>40</v>
      </c>
      <c r="C1730" t="s">
        <v>1690</v>
      </c>
      <c r="D1730" t="s">
        <v>42</v>
      </c>
      <c r="E1730" t="s">
        <v>43</v>
      </c>
      <c r="F1730" t="s">
        <v>44</v>
      </c>
      <c r="G1730" t="s">
        <v>45</v>
      </c>
      <c r="AH1730" t="s">
        <v>42</v>
      </c>
      <c r="AI1730" t="str">
        <f>"66298847411811"</f>
        <v>66298847411811</v>
      </c>
      <c r="AJ1730" t="str">
        <f>"401110"</f>
        <v>401110</v>
      </c>
      <c r="AK1730" t="s">
        <v>46</v>
      </c>
      <c r="AL1730" s="1">
        <v>44816.551782407405</v>
      </c>
      <c r="AM1730" t="s">
        <v>44</v>
      </c>
    </row>
    <row r="1731" spans="1:39" x14ac:dyDescent="0.2">
      <c r="A1731" t="s">
        <v>1711</v>
      </c>
      <c r="B1731" t="s">
        <v>40</v>
      </c>
      <c r="C1731" t="s">
        <v>1690</v>
      </c>
      <c r="D1731" t="s">
        <v>42</v>
      </c>
      <c r="E1731" t="s">
        <v>43</v>
      </c>
      <c r="F1731" t="s">
        <v>44</v>
      </c>
      <c r="G1731" t="s">
        <v>45</v>
      </c>
      <c r="AH1731" t="s">
        <v>42</v>
      </c>
      <c r="AI1731" t="str">
        <f>"66298847455945"</f>
        <v>66298847455945</v>
      </c>
      <c r="AJ1731" t="str">
        <f>"401005"</f>
        <v>401005</v>
      </c>
      <c r="AK1731" t="s">
        <v>46</v>
      </c>
      <c r="AL1731" s="1">
        <v>44816.551782407405</v>
      </c>
      <c r="AM1731" t="s">
        <v>44</v>
      </c>
    </row>
    <row r="1732" spans="1:39" x14ac:dyDescent="0.2">
      <c r="A1732" t="s">
        <v>1712</v>
      </c>
      <c r="B1732" t="s">
        <v>40</v>
      </c>
      <c r="C1732" t="s">
        <v>1690</v>
      </c>
      <c r="D1732" t="s">
        <v>42</v>
      </c>
      <c r="E1732" t="s">
        <v>43</v>
      </c>
      <c r="F1732" t="s">
        <v>44</v>
      </c>
      <c r="G1732" t="s">
        <v>45</v>
      </c>
      <c r="AH1732" t="s">
        <v>42</v>
      </c>
      <c r="AI1732" t="str">
        <f>"JL511241"</f>
        <v>JL511241</v>
      </c>
      <c r="AJ1732" t="str">
        <f>"JL511241"</f>
        <v>JL511241</v>
      </c>
      <c r="AK1732" t="s">
        <v>46</v>
      </c>
      <c r="AL1732" s="1">
        <v>45058.886076388888</v>
      </c>
      <c r="AM1732" t="s">
        <v>44</v>
      </c>
    </row>
    <row r="1733" spans="1:39" x14ac:dyDescent="0.2">
      <c r="A1733" t="s">
        <v>1713</v>
      </c>
      <c r="B1733" t="s">
        <v>40</v>
      </c>
      <c r="C1733" t="s">
        <v>1690</v>
      </c>
      <c r="D1733" t="s">
        <v>42</v>
      </c>
      <c r="E1733" t="s">
        <v>43</v>
      </c>
      <c r="F1733" t="s">
        <v>44</v>
      </c>
      <c r="G1733" t="s">
        <v>45</v>
      </c>
      <c r="AH1733" t="s">
        <v>42</v>
      </c>
      <c r="AI1733" t="str">
        <f>"66298847493207"</f>
        <v>66298847493207</v>
      </c>
      <c r="AJ1733" t="str">
        <f>"DJ-1013-73JP"</f>
        <v>DJ-1013-73JP</v>
      </c>
      <c r="AK1733" t="s">
        <v>46</v>
      </c>
      <c r="AL1733" s="1">
        <v>44816.551782407405</v>
      </c>
      <c r="AM1733" t="s">
        <v>44</v>
      </c>
    </row>
    <row r="1734" spans="1:39" x14ac:dyDescent="0.2">
      <c r="A1734" t="s">
        <v>1714</v>
      </c>
      <c r="B1734" t="s">
        <v>40</v>
      </c>
      <c r="C1734" t="s">
        <v>1690</v>
      </c>
      <c r="D1734" t="s">
        <v>42</v>
      </c>
      <c r="E1734" t="s">
        <v>43</v>
      </c>
      <c r="F1734" t="s">
        <v>44</v>
      </c>
      <c r="G1734" t="s">
        <v>45</v>
      </c>
      <c r="AH1734" t="s">
        <v>42</v>
      </c>
      <c r="AI1734" t="str">
        <f>"66298847540438"</f>
        <v>66298847540438</v>
      </c>
      <c r="AJ1734" t="str">
        <f>"11714"</f>
        <v>11714</v>
      </c>
      <c r="AK1734" t="s">
        <v>46</v>
      </c>
      <c r="AL1734" s="1">
        <v>44816.551793981482</v>
      </c>
      <c r="AM1734" t="s">
        <v>44</v>
      </c>
    </row>
    <row r="1735" spans="1:39" x14ac:dyDescent="0.2">
      <c r="A1735" t="s">
        <v>1715</v>
      </c>
      <c r="B1735" t="s">
        <v>40</v>
      </c>
      <c r="C1735" t="s">
        <v>1690</v>
      </c>
      <c r="D1735" t="s">
        <v>42</v>
      </c>
      <c r="E1735" t="s">
        <v>43</v>
      </c>
      <c r="F1735" t="s">
        <v>44</v>
      </c>
      <c r="G1735" t="s">
        <v>45</v>
      </c>
      <c r="AH1735" t="s">
        <v>42</v>
      </c>
      <c r="AI1735" t="str">
        <f>"66298847592617"</f>
        <v>66298847592617</v>
      </c>
      <c r="AJ1735" t="str">
        <f>"14100-KBB-900JP"</f>
        <v>14100-KBB-900JP</v>
      </c>
      <c r="AK1735" t="s">
        <v>46</v>
      </c>
      <c r="AL1735" s="1">
        <v>44816.551793981482</v>
      </c>
      <c r="AM1735" t="s">
        <v>44</v>
      </c>
    </row>
    <row r="1736" spans="1:39" x14ac:dyDescent="0.2">
      <c r="A1736" t="s">
        <v>1716</v>
      </c>
      <c r="B1736" t="s">
        <v>40</v>
      </c>
      <c r="C1736" t="s">
        <v>1690</v>
      </c>
      <c r="D1736" t="s">
        <v>42</v>
      </c>
      <c r="E1736" t="s">
        <v>43</v>
      </c>
      <c r="F1736" t="s">
        <v>44</v>
      </c>
      <c r="G1736" t="s">
        <v>45</v>
      </c>
      <c r="AH1736" t="s">
        <v>42</v>
      </c>
      <c r="AI1736" t="str">
        <f>"66298847631586"</f>
        <v>66298847631586</v>
      </c>
      <c r="AJ1736" t="str">
        <f>"400097"</f>
        <v>400097</v>
      </c>
      <c r="AK1736" t="s">
        <v>46</v>
      </c>
      <c r="AL1736" s="1">
        <v>44816.551805555559</v>
      </c>
      <c r="AM1736" t="s">
        <v>44</v>
      </c>
    </row>
    <row r="1737" spans="1:39" x14ac:dyDescent="0.2">
      <c r="A1737" t="s">
        <v>1717</v>
      </c>
      <c r="B1737" t="s">
        <v>40</v>
      </c>
      <c r="C1737" t="s">
        <v>1690</v>
      </c>
      <c r="D1737" t="s">
        <v>42</v>
      </c>
      <c r="E1737" t="s">
        <v>43</v>
      </c>
      <c r="F1737" t="s">
        <v>44</v>
      </c>
      <c r="G1737" t="s">
        <v>45</v>
      </c>
      <c r="AH1737" t="s">
        <v>42</v>
      </c>
      <c r="AI1737" t="str">
        <f>"66298847669912"</f>
        <v>66298847669912</v>
      </c>
      <c r="AJ1737" t="str">
        <f>"401105"</f>
        <v>401105</v>
      </c>
      <c r="AK1737" t="s">
        <v>46</v>
      </c>
      <c r="AL1737" s="1">
        <v>44816.551805555559</v>
      </c>
      <c r="AM1737" t="s">
        <v>44</v>
      </c>
    </row>
    <row r="1738" spans="1:39" x14ac:dyDescent="0.2">
      <c r="A1738" t="s">
        <v>1718</v>
      </c>
      <c r="B1738" t="s">
        <v>40</v>
      </c>
      <c r="C1738" t="s">
        <v>1690</v>
      </c>
      <c r="D1738" t="s">
        <v>42</v>
      </c>
      <c r="E1738" t="s">
        <v>43</v>
      </c>
      <c r="F1738" t="s">
        <v>44</v>
      </c>
      <c r="G1738" t="s">
        <v>45</v>
      </c>
      <c r="AH1738" t="s">
        <v>42</v>
      </c>
      <c r="AI1738" t="str">
        <f>"66298847706637"</f>
        <v>66298847706637</v>
      </c>
      <c r="AJ1738" t="str">
        <f>"401009"</f>
        <v>401009</v>
      </c>
      <c r="AK1738" t="s">
        <v>46</v>
      </c>
      <c r="AL1738" s="1">
        <v>44816.551817129628</v>
      </c>
      <c r="AM1738" t="s">
        <v>44</v>
      </c>
    </row>
    <row r="1739" spans="1:39" x14ac:dyDescent="0.2">
      <c r="A1739" t="s">
        <v>1719</v>
      </c>
      <c r="B1739" t="s">
        <v>40</v>
      </c>
      <c r="C1739" t="s">
        <v>1690</v>
      </c>
      <c r="D1739" t="s">
        <v>42</v>
      </c>
      <c r="E1739" t="s">
        <v>43</v>
      </c>
      <c r="F1739" t="s">
        <v>44</v>
      </c>
      <c r="G1739" t="s">
        <v>45</v>
      </c>
      <c r="AH1739" t="s">
        <v>42</v>
      </c>
      <c r="AI1739" t="str">
        <f>"66298847747405"</f>
        <v>66298847747405</v>
      </c>
      <c r="AJ1739" t="str">
        <f>"401023"</f>
        <v>401023</v>
      </c>
      <c r="AK1739" t="s">
        <v>46</v>
      </c>
      <c r="AL1739" s="1">
        <v>44816.551817129628</v>
      </c>
      <c r="AM1739" t="s">
        <v>44</v>
      </c>
    </row>
    <row r="1740" spans="1:39" x14ac:dyDescent="0.2">
      <c r="A1740" t="s">
        <v>1720</v>
      </c>
      <c r="B1740" t="s">
        <v>40</v>
      </c>
      <c r="C1740" t="s">
        <v>1690</v>
      </c>
      <c r="D1740" t="s">
        <v>42</v>
      </c>
      <c r="E1740" t="s">
        <v>43</v>
      </c>
      <c r="F1740" t="s">
        <v>44</v>
      </c>
      <c r="G1740" t="s">
        <v>45</v>
      </c>
      <c r="AH1740" t="s">
        <v>42</v>
      </c>
      <c r="AI1740" t="str">
        <f>"66298847865357"</f>
        <v>66298847865357</v>
      </c>
      <c r="AJ1740" t="str">
        <f>"401111"</f>
        <v>401111</v>
      </c>
      <c r="AK1740" t="s">
        <v>46</v>
      </c>
      <c r="AL1740" s="1">
        <v>44816.551828703705</v>
      </c>
      <c r="AM1740" t="s">
        <v>44</v>
      </c>
    </row>
    <row r="1741" spans="1:39" x14ac:dyDescent="0.2">
      <c r="A1741" t="s">
        <v>1721</v>
      </c>
      <c r="B1741" t="s">
        <v>40</v>
      </c>
      <c r="C1741" t="s">
        <v>1690</v>
      </c>
      <c r="D1741" t="s">
        <v>42</v>
      </c>
      <c r="E1741" t="s">
        <v>43</v>
      </c>
      <c r="F1741" t="s">
        <v>44</v>
      </c>
      <c r="G1741" t="s">
        <v>45</v>
      </c>
      <c r="AH1741" t="s">
        <v>42</v>
      </c>
      <c r="AI1741" t="str">
        <f>"66298847787944"</f>
        <v>66298847787944</v>
      </c>
      <c r="AJ1741" t="str">
        <f>"80516"</f>
        <v>80516</v>
      </c>
      <c r="AK1741" t="s">
        <v>46</v>
      </c>
      <c r="AL1741" s="1">
        <v>44816.551817129628</v>
      </c>
      <c r="AM1741" t="s">
        <v>44</v>
      </c>
    </row>
    <row r="1742" spans="1:39" x14ac:dyDescent="0.2">
      <c r="A1742" t="s">
        <v>1721</v>
      </c>
      <c r="B1742" t="s">
        <v>40</v>
      </c>
      <c r="C1742" t="s">
        <v>1690</v>
      </c>
      <c r="D1742" t="s">
        <v>42</v>
      </c>
      <c r="E1742" t="s">
        <v>43</v>
      </c>
      <c r="F1742" t="s">
        <v>44</v>
      </c>
      <c r="G1742" t="s">
        <v>45</v>
      </c>
      <c r="AH1742" t="s">
        <v>42</v>
      </c>
      <c r="AI1742" t="str">
        <f>"66298847823758"</f>
        <v>66298847823758</v>
      </c>
      <c r="AJ1742" t="str">
        <f>"5YY-E2170-00JP"</f>
        <v>5YY-E2170-00JP</v>
      </c>
      <c r="AK1742" t="s">
        <v>46</v>
      </c>
      <c r="AL1742" s="1">
        <v>44816.551828703705</v>
      </c>
      <c r="AM1742" t="s">
        <v>44</v>
      </c>
    </row>
    <row r="1743" spans="1:39" x14ac:dyDescent="0.2">
      <c r="A1743" t="s">
        <v>1722</v>
      </c>
      <c r="B1743" t="s">
        <v>40</v>
      </c>
      <c r="C1743" t="s">
        <v>1690</v>
      </c>
      <c r="D1743" t="s">
        <v>42</v>
      </c>
      <c r="E1743" t="s">
        <v>43</v>
      </c>
      <c r="F1743" t="s">
        <v>44</v>
      </c>
      <c r="G1743" t="s">
        <v>45</v>
      </c>
      <c r="AH1743" t="s">
        <v>42</v>
      </c>
      <c r="AI1743" t="str">
        <f>"66298847945623"</f>
        <v>66298847945623</v>
      </c>
      <c r="AJ1743" t="str">
        <f>"401011"</f>
        <v>401011</v>
      </c>
      <c r="AK1743" t="s">
        <v>46</v>
      </c>
      <c r="AL1743" s="1">
        <v>44816.551840277774</v>
      </c>
      <c r="AM1743" t="s">
        <v>44</v>
      </c>
    </row>
    <row r="1744" spans="1:39" x14ac:dyDescent="0.2">
      <c r="A1744" t="s">
        <v>1723</v>
      </c>
      <c r="B1744" t="s">
        <v>40</v>
      </c>
      <c r="C1744" t="s">
        <v>1690</v>
      </c>
      <c r="D1744" t="s">
        <v>42</v>
      </c>
      <c r="E1744" t="s">
        <v>43</v>
      </c>
      <c r="F1744" t="s">
        <v>44</v>
      </c>
      <c r="G1744" t="s">
        <v>45</v>
      </c>
      <c r="AH1744" t="s">
        <v>42</v>
      </c>
      <c r="AI1744" t="str">
        <f>"66298847905688"</f>
        <v>66298847905688</v>
      </c>
      <c r="AJ1744" t="str">
        <f>"351"</f>
        <v>351</v>
      </c>
      <c r="AK1744" t="s">
        <v>46</v>
      </c>
      <c r="AL1744" s="1">
        <v>44816.551840277774</v>
      </c>
      <c r="AM1744" t="s">
        <v>44</v>
      </c>
    </row>
    <row r="1745" spans="1:39" x14ac:dyDescent="0.2">
      <c r="A1745" t="s">
        <v>1724</v>
      </c>
      <c r="B1745" t="s">
        <v>40</v>
      </c>
      <c r="C1745" t="s">
        <v>1680</v>
      </c>
      <c r="D1745" t="s">
        <v>42</v>
      </c>
      <c r="E1745" t="s">
        <v>43</v>
      </c>
      <c r="F1745" t="s">
        <v>44</v>
      </c>
      <c r="G1745" t="s">
        <v>45</v>
      </c>
      <c r="AH1745" t="s">
        <v>42</v>
      </c>
      <c r="AI1745" t="str">
        <f>"66298847984326"</f>
        <v>66298847984326</v>
      </c>
      <c r="AJ1745" t="str">
        <f>"GJ006"</f>
        <v>GJ006</v>
      </c>
      <c r="AK1745" t="s">
        <v>46</v>
      </c>
      <c r="AL1745" s="1">
        <v>44816.551840277774</v>
      </c>
      <c r="AM1745" t="s">
        <v>44</v>
      </c>
    </row>
    <row r="1746" spans="1:39" x14ac:dyDescent="0.2">
      <c r="A1746" t="s">
        <v>1725</v>
      </c>
      <c r="B1746" t="s">
        <v>40</v>
      </c>
      <c r="C1746" t="s">
        <v>1680</v>
      </c>
      <c r="D1746" t="s">
        <v>42</v>
      </c>
      <c r="E1746" t="s">
        <v>43</v>
      </c>
      <c r="F1746" t="s">
        <v>44</v>
      </c>
      <c r="G1746" t="s">
        <v>45</v>
      </c>
      <c r="AH1746" t="s">
        <v>42</v>
      </c>
      <c r="AI1746" t="str">
        <f>"66298848025936"</f>
        <v>66298848025936</v>
      </c>
      <c r="AJ1746" t="str">
        <f>"GJ003"</f>
        <v>GJ003</v>
      </c>
      <c r="AK1746" t="s">
        <v>46</v>
      </c>
      <c r="AL1746" s="1">
        <v>44816.551851851851</v>
      </c>
      <c r="AM1746" t="s">
        <v>44</v>
      </c>
    </row>
    <row r="1747" spans="1:39" x14ac:dyDescent="0.2">
      <c r="A1747" t="s">
        <v>1726</v>
      </c>
      <c r="B1747" t="s">
        <v>40</v>
      </c>
      <c r="C1747" t="s">
        <v>1680</v>
      </c>
      <c r="D1747" t="s">
        <v>42</v>
      </c>
      <c r="E1747" t="s">
        <v>43</v>
      </c>
      <c r="F1747" t="s">
        <v>44</v>
      </c>
      <c r="G1747" t="s">
        <v>45</v>
      </c>
      <c r="AH1747" t="s">
        <v>42</v>
      </c>
      <c r="AI1747" t="str">
        <f>"66298848068626"</f>
        <v>66298848068626</v>
      </c>
      <c r="AJ1747" t="str">
        <f>"400677"</f>
        <v>400677</v>
      </c>
      <c r="AK1747" t="s">
        <v>46</v>
      </c>
      <c r="AL1747" s="1">
        <v>44816.551851851851</v>
      </c>
      <c r="AM1747" t="s">
        <v>44</v>
      </c>
    </row>
    <row r="1748" spans="1:39" x14ac:dyDescent="0.2">
      <c r="A1748" t="s">
        <v>1727</v>
      </c>
      <c r="B1748" t="s">
        <v>40</v>
      </c>
      <c r="C1748" t="s">
        <v>1680</v>
      </c>
      <c r="D1748" t="s">
        <v>42</v>
      </c>
      <c r="E1748" t="s">
        <v>43</v>
      </c>
      <c r="F1748" t="s">
        <v>44</v>
      </c>
      <c r="G1748" t="s">
        <v>45</v>
      </c>
      <c r="AH1748" t="s">
        <v>42</v>
      </c>
      <c r="AI1748" t="str">
        <f>"66298848112803"</f>
        <v>66298848112803</v>
      </c>
      <c r="AJ1748" t="str">
        <f>"400679"</f>
        <v>400679</v>
      </c>
      <c r="AK1748" t="s">
        <v>46</v>
      </c>
      <c r="AL1748" s="1">
        <v>44816.551863425928</v>
      </c>
      <c r="AM1748" t="s">
        <v>44</v>
      </c>
    </row>
    <row r="1749" spans="1:39" x14ac:dyDescent="0.2">
      <c r="A1749" t="s">
        <v>1728</v>
      </c>
      <c r="B1749" t="s">
        <v>40</v>
      </c>
      <c r="C1749" t="s">
        <v>1680</v>
      </c>
      <c r="D1749" t="s">
        <v>42</v>
      </c>
      <c r="E1749" t="s">
        <v>43</v>
      </c>
      <c r="F1749" t="s">
        <v>44</v>
      </c>
      <c r="G1749" t="s">
        <v>45</v>
      </c>
      <c r="AH1749" t="s">
        <v>42</v>
      </c>
      <c r="AI1749" t="str">
        <f>"66298848154338"</f>
        <v>66298848154338</v>
      </c>
      <c r="AJ1749" t="str">
        <f>"400678"</f>
        <v>400678</v>
      </c>
      <c r="AK1749" t="s">
        <v>46</v>
      </c>
      <c r="AL1749" s="1">
        <v>44816.551863425928</v>
      </c>
      <c r="AM1749" t="s">
        <v>44</v>
      </c>
    </row>
    <row r="1750" spans="1:39" x14ac:dyDescent="0.2">
      <c r="A1750" t="s">
        <v>1729</v>
      </c>
      <c r="B1750" t="s">
        <v>40</v>
      </c>
      <c r="C1750" t="s">
        <v>1680</v>
      </c>
      <c r="D1750" t="s">
        <v>42</v>
      </c>
      <c r="E1750" t="s">
        <v>43</v>
      </c>
      <c r="F1750" t="s">
        <v>44</v>
      </c>
      <c r="G1750" t="s">
        <v>45</v>
      </c>
      <c r="AH1750" t="s">
        <v>42</v>
      </c>
      <c r="AI1750" t="str">
        <f>"66298848196303"</f>
        <v>66298848196303</v>
      </c>
      <c r="AJ1750" t="str">
        <f>"400680"</f>
        <v>400680</v>
      </c>
      <c r="AK1750" t="s">
        <v>46</v>
      </c>
      <c r="AL1750" s="1">
        <v>44816.551863425928</v>
      </c>
      <c r="AM1750" t="s">
        <v>44</v>
      </c>
    </row>
    <row r="1751" spans="1:39" x14ac:dyDescent="0.2">
      <c r="A1751" t="s">
        <v>1730</v>
      </c>
      <c r="B1751" t="s">
        <v>40</v>
      </c>
      <c r="C1751" t="s">
        <v>1680</v>
      </c>
      <c r="D1751" t="s">
        <v>42</v>
      </c>
      <c r="E1751" t="s">
        <v>43</v>
      </c>
      <c r="F1751" t="s">
        <v>44</v>
      </c>
      <c r="G1751" t="s">
        <v>45</v>
      </c>
      <c r="AH1751" t="s">
        <v>42</v>
      </c>
      <c r="AI1751" t="str">
        <f>"66298848239798"</f>
        <v>66298848239798</v>
      </c>
      <c r="AJ1751" t="str">
        <f>"400676"</f>
        <v>400676</v>
      </c>
      <c r="AK1751" t="s">
        <v>46</v>
      </c>
      <c r="AL1751" s="1">
        <v>44816.551874999997</v>
      </c>
      <c r="AM1751" t="s">
        <v>44</v>
      </c>
    </row>
    <row r="1752" spans="1:39" x14ac:dyDescent="0.2">
      <c r="A1752" t="s">
        <v>1731</v>
      </c>
      <c r="B1752" t="s">
        <v>40</v>
      </c>
      <c r="C1752" t="s">
        <v>1680</v>
      </c>
      <c r="D1752" t="s">
        <v>42</v>
      </c>
      <c r="E1752" t="s">
        <v>43</v>
      </c>
      <c r="F1752" t="s">
        <v>44</v>
      </c>
      <c r="G1752" t="s">
        <v>45</v>
      </c>
      <c r="AH1752" t="s">
        <v>42</v>
      </c>
      <c r="AI1752" t="str">
        <f>"24648"</f>
        <v>24648</v>
      </c>
      <c r="AJ1752" t="str">
        <f>"24648"</f>
        <v>24648</v>
      </c>
      <c r="AK1752" t="s">
        <v>46</v>
      </c>
      <c r="AL1752" s="1">
        <v>44816.551874999997</v>
      </c>
      <c r="AM1752" t="s">
        <v>44</v>
      </c>
    </row>
    <row r="1753" spans="1:39" x14ac:dyDescent="0.2">
      <c r="A1753" t="s">
        <v>1732</v>
      </c>
      <c r="B1753" t="s">
        <v>40</v>
      </c>
      <c r="C1753" t="s">
        <v>1680</v>
      </c>
      <c r="D1753" t="s">
        <v>42</v>
      </c>
      <c r="E1753" t="s">
        <v>43</v>
      </c>
      <c r="F1753" t="s">
        <v>44</v>
      </c>
      <c r="G1753" t="s">
        <v>45</v>
      </c>
      <c r="AH1753" t="s">
        <v>42</v>
      </c>
      <c r="AI1753" t="str">
        <f>"66298848326497"</f>
        <v>66298848326497</v>
      </c>
      <c r="AJ1753" t="str">
        <f>"400748"</f>
        <v>400748</v>
      </c>
      <c r="AK1753" t="s">
        <v>46</v>
      </c>
      <c r="AL1753" s="1">
        <v>44816.551886574074</v>
      </c>
      <c r="AM1753" t="s">
        <v>44</v>
      </c>
    </row>
    <row r="1754" spans="1:39" x14ac:dyDescent="0.2">
      <c r="A1754" t="s">
        <v>1733</v>
      </c>
      <c r="B1754" t="s">
        <v>40</v>
      </c>
      <c r="C1754" t="s">
        <v>1680</v>
      </c>
      <c r="D1754" t="s">
        <v>42</v>
      </c>
      <c r="E1754" t="s">
        <v>43</v>
      </c>
      <c r="F1754" t="s">
        <v>44</v>
      </c>
      <c r="G1754" t="s">
        <v>45</v>
      </c>
      <c r="AH1754" t="s">
        <v>42</v>
      </c>
      <c r="AI1754" t="str">
        <f>"66298848371319"</f>
        <v>66298848371319</v>
      </c>
      <c r="AJ1754" t="str">
        <f>"400749"</f>
        <v>400749</v>
      </c>
      <c r="AK1754" t="s">
        <v>46</v>
      </c>
      <c r="AL1754" s="1">
        <v>44816.551886574074</v>
      </c>
      <c r="AM1754" t="s">
        <v>44</v>
      </c>
    </row>
    <row r="1755" spans="1:39" x14ac:dyDescent="0.2">
      <c r="A1755" t="s">
        <v>1734</v>
      </c>
      <c r="B1755" t="s">
        <v>40</v>
      </c>
      <c r="C1755" t="s">
        <v>1680</v>
      </c>
      <c r="D1755" t="s">
        <v>42</v>
      </c>
      <c r="E1755" t="s">
        <v>43</v>
      </c>
      <c r="F1755" t="s">
        <v>44</v>
      </c>
      <c r="G1755" t="s">
        <v>45</v>
      </c>
      <c r="AH1755" t="s">
        <v>42</v>
      </c>
      <c r="AI1755" t="str">
        <f>"66298848416535"</f>
        <v>66298848416535</v>
      </c>
      <c r="AJ1755" t="str">
        <f>"400751"</f>
        <v>400751</v>
      </c>
      <c r="AK1755" t="s">
        <v>46</v>
      </c>
      <c r="AL1755" s="1">
        <v>44816.551898148151</v>
      </c>
      <c r="AM1755" t="s">
        <v>44</v>
      </c>
    </row>
    <row r="1756" spans="1:39" x14ac:dyDescent="0.2">
      <c r="A1756" t="s">
        <v>1735</v>
      </c>
      <c r="B1756" t="s">
        <v>40</v>
      </c>
      <c r="C1756" t="s">
        <v>1680</v>
      </c>
      <c r="D1756" t="s">
        <v>42</v>
      </c>
      <c r="E1756" t="s">
        <v>43</v>
      </c>
      <c r="F1756" t="s">
        <v>44</v>
      </c>
      <c r="G1756" t="s">
        <v>45</v>
      </c>
      <c r="AH1756" t="s">
        <v>42</v>
      </c>
      <c r="AI1756" t="str">
        <f>"H1116"</f>
        <v>H1116</v>
      </c>
      <c r="AJ1756" t="str">
        <f>"H1116"</f>
        <v>H1116</v>
      </c>
      <c r="AK1756" t="s">
        <v>46</v>
      </c>
      <c r="AL1756" s="1">
        <v>45091.696921296294</v>
      </c>
      <c r="AM1756" t="s">
        <v>44</v>
      </c>
    </row>
    <row r="1757" spans="1:39" x14ac:dyDescent="0.2">
      <c r="A1757" t="s">
        <v>1736</v>
      </c>
      <c r="B1757" t="s">
        <v>40</v>
      </c>
      <c r="C1757" t="s">
        <v>1680</v>
      </c>
      <c r="D1757" t="s">
        <v>42</v>
      </c>
      <c r="E1757" t="s">
        <v>43</v>
      </c>
      <c r="F1757" t="s">
        <v>44</v>
      </c>
      <c r="G1757" t="s">
        <v>45</v>
      </c>
      <c r="AH1757" t="s">
        <v>42</v>
      </c>
      <c r="AI1757" t="str">
        <f>"66298848458331"</f>
        <v>66298848458331</v>
      </c>
      <c r="AJ1757" t="str">
        <f>"400750"</f>
        <v>400750</v>
      </c>
      <c r="AK1757" t="s">
        <v>46</v>
      </c>
      <c r="AL1757" s="1">
        <v>44816.551898148151</v>
      </c>
      <c r="AM1757" t="s">
        <v>44</v>
      </c>
    </row>
    <row r="1758" spans="1:39" x14ac:dyDescent="0.2">
      <c r="A1758" t="s">
        <v>1737</v>
      </c>
      <c r="B1758" t="s">
        <v>40</v>
      </c>
      <c r="C1758" t="s">
        <v>1680</v>
      </c>
      <c r="D1758" t="s">
        <v>42</v>
      </c>
      <c r="E1758" t="s">
        <v>43</v>
      </c>
      <c r="F1758" t="s">
        <v>44</v>
      </c>
      <c r="G1758" t="s">
        <v>45</v>
      </c>
      <c r="AH1758" t="s">
        <v>42</v>
      </c>
      <c r="AI1758" t="str">
        <f>"66298848502114"</f>
        <v>66298848502114</v>
      </c>
      <c r="AJ1758" t="str">
        <f>"24103H3E061H000"</f>
        <v>24103H3E061H000</v>
      </c>
      <c r="AK1758" t="s">
        <v>46</v>
      </c>
      <c r="AL1758" s="1">
        <v>44816.55190972222</v>
      </c>
      <c r="AM1758" t="s">
        <v>44</v>
      </c>
    </row>
    <row r="1759" spans="1:39" x14ac:dyDescent="0.2">
      <c r="A1759" t="s">
        <v>1738</v>
      </c>
      <c r="B1759" t="s">
        <v>40</v>
      </c>
      <c r="C1759" t="s">
        <v>1680</v>
      </c>
      <c r="D1759" t="s">
        <v>42</v>
      </c>
      <c r="E1759" t="s">
        <v>43</v>
      </c>
      <c r="F1759" t="s">
        <v>44</v>
      </c>
      <c r="G1759" t="s">
        <v>45</v>
      </c>
      <c r="AH1759" t="s">
        <v>42</v>
      </c>
      <c r="AI1759" t="str">
        <f>"66298848544753"</f>
        <v>66298848544753</v>
      </c>
      <c r="AJ1759" t="str">
        <f>"CBP180-E15-31"</f>
        <v>CBP180-E15-31</v>
      </c>
      <c r="AK1759" t="s">
        <v>46</v>
      </c>
      <c r="AL1759" s="1">
        <v>44816.55190972222</v>
      </c>
      <c r="AM1759" t="s">
        <v>44</v>
      </c>
    </row>
    <row r="1760" spans="1:39" x14ac:dyDescent="0.2">
      <c r="A1760" t="s">
        <v>1739</v>
      </c>
      <c r="B1760" t="s">
        <v>40</v>
      </c>
      <c r="C1760" t="s">
        <v>1680</v>
      </c>
      <c r="D1760" t="s">
        <v>42</v>
      </c>
      <c r="E1760" t="s">
        <v>43</v>
      </c>
      <c r="F1760" t="s">
        <v>44</v>
      </c>
      <c r="G1760" t="s">
        <v>45</v>
      </c>
      <c r="AH1760" t="s">
        <v>42</v>
      </c>
      <c r="AI1760" t="str">
        <f>"66298848584138"</f>
        <v>66298848584138</v>
      </c>
      <c r="AJ1760" t="str">
        <f>"24651"</f>
        <v>24651</v>
      </c>
      <c r="AK1760" t="s">
        <v>46</v>
      </c>
      <c r="AL1760" s="1">
        <v>44816.55190972222</v>
      </c>
      <c r="AM1760" t="s">
        <v>44</v>
      </c>
    </row>
    <row r="1761" spans="1:39" x14ac:dyDescent="0.2">
      <c r="A1761" t="s">
        <v>1740</v>
      </c>
      <c r="B1761" t="s">
        <v>40</v>
      </c>
      <c r="C1761" t="s">
        <v>1680</v>
      </c>
      <c r="D1761" t="s">
        <v>42</v>
      </c>
      <c r="E1761" t="s">
        <v>43</v>
      </c>
      <c r="F1761" t="s">
        <v>44</v>
      </c>
      <c r="G1761" t="s">
        <v>45</v>
      </c>
      <c r="AH1761" t="s">
        <v>42</v>
      </c>
      <c r="AI1761" t="str">
        <f>"66298848629436"</f>
        <v>66298848629436</v>
      </c>
      <c r="AJ1761" t="str">
        <f>"24102H3E010H000"</f>
        <v>24102H3E010H000</v>
      </c>
      <c r="AK1761" t="s">
        <v>46</v>
      </c>
      <c r="AL1761" s="1">
        <v>44816.551921296297</v>
      </c>
      <c r="AM1761" t="s">
        <v>44</v>
      </c>
    </row>
    <row r="1762" spans="1:39" x14ac:dyDescent="0.2">
      <c r="A1762" t="s">
        <v>1741</v>
      </c>
      <c r="B1762" t="s">
        <v>40</v>
      </c>
      <c r="C1762" t="s">
        <v>1680</v>
      </c>
      <c r="D1762" t="s">
        <v>42</v>
      </c>
      <c r="E1762" t="s">
        <v>43</v>
      </c>
      <c r="F1762" t="s">
        <v>44</v>
      </c>
      <c r="G1762" t="s">
        <v>45</v>
      </c>
      <c r="AH1762" t="s">
        <v>42</v>
      </c>
      <c r="AI1762" t="str">
        <f>"66298848672052"</f>
        <v>66298848672052</v>
      </c>
      <c r="AJ1762" t="str">
        <f>"CBP180-E15-32"</f>
        <v>CBP180-E15-32</v>
      </c>
      <c r="AK1762" t="s">
        <v>46</v>
      </c>
      <c r="AL1762" s="1">
        <v>44816.551921296297</v>
      </c>
      <c r="AM1762" t="s">
        <v>44</v>
      </c>
    </row>
    <row r="1763" spans="1:39" x14ac:dyDescent="0.2">
      <c r="A1763" t="s">
        <v>1742</v>
      </c>
      <c r="B1763" t="s">
        <v>40</v>
      </c>
      <c r="C1763" t="s">
        <v>1680</v>
      </c>
      <c r="D1763" t="s">
        <v>42</v>
      </c>
      <c r="E1763" t="s">
        <v>43</v>
      </c>
      <c r="F1763" t="s">
        <v>44</v>
      </c>
      <c r="G1763" t="s">
        <v>45</v>
      </c>
      <c r="AH1763" t="s">
        <v>42</v>
      </c>
      <c r="AI1763" t="str">
        <f>"66298848711146"</f>
        <v>66298848711146</v>
      </c>
      <c r="AJ1763" t="str">
        <f>"19"</f>
        <v>19</v>
      </c>
      <c r="AK1763" t="s">
        <v>46</v>
      </c>
      <c r="AL1763" s="1">
        <v>44816.551932870374</v>
      </c>
      <c r="AM1763" t="s">
        <v>44</v>
      </c>
    </row>
    <row r="1764" spans="1:39" x14ac:dyDescent="0.2">
      <c r="A1764" t="s">
        <v>1743</v>
      </c>
      <c r="B1764" t="s">
        <v>40</v>
      </c>
      <c r="C1764" t="s">
        <v>1680</v>
      </c>
      <c r="D1764" t="s">
        <v>42</v>
      </c>
      <c r="E1764" t="s">
        <v>43</v>
      </c>
      <c r="F1764" t="s">
        <v>44</v>
      </c>
      <c r="G1764" t="s">
        <v>45</v>
      </c>
      <c r="AH1764" t="s">
        <v>42</v>
      </c>
      <c r="AI1764" t="str">
        <f>"66298848752886"</f>
        <v>66298848752886</v>
      </c>
      <c r="AJ1764" t="str">
        <f>"26"</f>
        <v>26</v>
      </c>
      <c r="AK1764" t="s">
        <v>46</v>
      </c>
      <c r="AL1764" s="1">
        <v>44816.551932870374</v>
      </c>
      <c r="AM1764" t="s">
        <v>44</v>
      </c>
    </row>
    <row r="1765" spans="1:39" x14ac:dyDescent="0.2">
      <c r="A1765" t="s">
        <v>1744</v>
      </c>
      <c r="B1765" t="s">
        <v>40</v>
      </c>
      <c r="C1765" t="s">
        <v>1680</v>
      </c>
      <c r="D1765" t="s">
        <v>42</v>
      </c>
      <c r="E1765" t="s">
        <v>43</v>
      </c>
      <c r="F1765" t="s">
        <v>44</v>
      </c>
      <c r="G1765" t="s">
        <v>45</v>
      </c>
      <c r="AH1765" t="s">
        <v>42</v>
      </c>
      <c r="AI1765" t="str">
        <f>"66298848794784"</f>
        <v>66298848794784</v>
      </c>
      <c r="AJ1765" t="str">
        <f>"25"</f>
        <v>25</v>
      </c>
      <c r="AK1765" t="s">
        <v>46</v>
      </c>
      <c r="AL1765" s="1">
        <v>44816.551932870374</v>
      </c>
      <c r="AM1765" t="s">
        <v>44</v>
      </c>
    </row>
    <row r="1766" spans="1:39" x14ac:dyDescent="0.2">
      <c r="A1766" t="s">
        <v>1745</v>
      </c>
      <c r="B1766" t="s">
        <v>40</v>
      </c>
      <c r="C1766" t="s">
        <v>1680</v>
      </c>
      <c r="D1766" t="s">
        <v>42</v>
      </c>
      <c r="E1766" t="s">
        <v>43</v>
      </c>
      <c r="F1766" t="s">
        <v>44</v>
      </c>
      <c r="G1766" t="s">
        <v>45</v>
      </c>
      <c r="AH1766" t="s">
        <v>42</v>
      </c>
      <c r="AI1766" t="str">
        <f>"66298848831349"</f>
        <v>66298848831349</v>
      </c>
      <c r="AJ1766" t="str">
        <f>"85024"</f>
        <v>85024</v>
      </c>
      <c r="AK1766" t="s">
        <v>46</v>
      </c>
      <c r="AL1766" s="1">
        <v>44816.551944444444</v>
      </c>
      <c r="AM1766" t="s">
        <v>44</v>
      </c>
    </row>
    <row r="1767" spans="1:39" x14ac:dyDescent="0.2">
      <c r="A1767" t="s">
        <v>1746</v>
      </c>
      <c r="B1767" t="s">
        <v>40</v>
      </c>
      <c r="C1767" t="s">
        <v>1680</v>
      </c>
      <c r="D1767" t="s">
        <v>42</v>
      </c>
      <c r="E1767" t="s">
        <v>43</v>
      </c>
      <c r="F1767" t="s">
        <v>44</v>
      </c>
      <c r="G1767" t="s">
        <v>45</v>
      </c>
      <c r="AH1767" t="s">
        <v>42</v>
      </c>
      <c r="AI1767" t="str">
        <f>"GJ012"</f>
        <v>GJ012</v>
      </c>
      <c r="AJ1767" t="str">
        <f>"GJ012"</f>
        <v>GJ012</v>
      </c>
      <c r="AK1767" t="s">
        <v>46</v>
      </c>
      <c r="AL1767" s="1">
        <v>45091.903414351851</v>
      </c>
      <c r="AM1767" t="s">
        <v>44</v>
      </c>
    </row>
    <row r="1768" spans="1:39" x14ac:dyDescent="0.2">
      <c r="A1768" t="s">
        <v>1747</v>
      </c>
      <c r="B1768" t="s">
        <v>40</v>
      </c>
      <c r="C1768" t="s">
        <v>1680</v>
      </c>
      <c r="D1768" t="s">
        <v>42</v>
      </c>
      <c r="E1768" t="s">
        <v>43</v>
      </c>
      <c r="F1768" t="s">
        <v>44</v>
      </c>
      <c r="G1768" t="s">
        <v>45</v>
      </c>
      <c r="AH1768" t="s">
        <v>42</v>
      </c>
      <c r="AI1768" t="str">
        <f>"GJ011"</f>
        <v>GJ011</v>
      </c>
      <c r="AJ1768" t="str">
        <f>"GJ011"</f>
        <v>GJ011</v>
      </c>
      <c r="AK1768" t="s">
        <v>46</v>
      </c>
      <c r="AL1768" s="1">
        <v>45091.905312499999</v>
      </c>
      <c r="AM1768" t="s">
        <v>44</v>
      </c>
    </row>
    <row r="1769" spans="1:39" x14ac:dyDescent="0.2">
      <c r="A1769" t="s">
        <v>1748</v>
      </c>
      <c r="B1769" t="s">
        <v>40</v>
      </c>
      <c r="C1769" t="s">
        <v>1680</v>
      </c>
      <c r="D1769" t="s">
        <v>42</v>
      </c>
      <c r="E1769" t="s">
        <v>43</v>
      </c>
      <c r="F1769" t="s">
        <v>44</v>
      </c>
      <c r="G1769" t="s">
        <v>45</v>
      </c>
      <c r="AH1769" t="s">
        <v>42</v>
      </c>
      <c r="AI1769" t="str">
        <f>"66298848872274"</f>
        <v>66298848872274</v>
      </c>
      <c r="AJ1769" t="str">
        <f>"GJ014"</f>
        <v>GJ014</v>
      </c>
      <c r="AK1769" t="s">
        <v>46</v>
      </c>
      <c r="AL1769" s="1">
        <v>44816.551944444444</v>
      </c>
      <c r="AM1769" t="s">
        <v>44</v>
      </c>
    </row>
    <row r="1770" spans="1:39" x14ac:dyDescent="0.2">
      <c r="A1770" t="s">
        <v>1749</v>
      </c>
      <c r="B1770" t="s">
        <v>40</v>
      </c>
      <c r="C1770" t="s">
        <v>1680</v>
      </c>
      <c r="D1770" t="s">
        <v>42</v>
      </c>
      <c r="E1770" t="s">
        <v>43</v>
      </c>
      <c r="F1770" t="s">
        <v>44</v>
      </c>
      <c r="G1770" t="s">
        <v>45</v>
      </c>
      <c r="AH1770" t="s">
        <v>42</v>
      </c>
      <c r="AI1770" t="str">
        <f>"GJ005"</f>
        <v>GJ005</v>
      </c>
      <c r="AJ1770" t="str">
        <f>"GJ005"</f>
        <v>GJ005</v>
      </c>
      <c r="AK1770" t="s">
        <v>46</v>
      </c>
      <c r="AL1770" s="1">
        <v>44816.55195601852</v>
      </c>
      <c r="AM1770" t="s">
        <v>44</v>
      </c>
    </row>
    <row r="1771" spans="1:39" x14ac:dyDescent="0.2">
      <c r="A1771" t="s">
        <v>1750</v>
      </c>
      <c r="B1771" t="s">
        <v>40</v>
      </c>
      <c r="C1771" t="s">
        <v>1680</v>
      </c>
      <c r="D1771" t="s">
        <v>42</v>
      </c>
      <c r="E1771" t="s">
        <v>43</v>
      </c>
      <c r="F1771" t="s">
        <v>44</v>
      </c>
      <c r="G1771" t="s">
        <v>45</v>
      </c>
      <c r="AH1771" t="s">
        <v>42</v>
      </c>
      <c r="AI1771" t="str">
        <f>"GJ002"</f>
        <v>GJ002</v>
      </c>
      <c r="AJ1771" t="str">
        <f>"GJ002"</f>
        <v>GJ002</v>
      </c>
      <c r="AK1771" t="s">
        <v>46</v>
      </c>
      <c r="AL1771" s="1">
        <v>44816.55196759259</v>
      </c>
      <c r="AM1771" t="s">
        <v>44</v>
      </c>
    </row>
    <row r="1772" spans="1:39" x14ac:dyDescent="0.2">
      <c r="A1772" t="s">
        <v>1751</v>
      </c>
      <c r="B1772" t="s">
        <v>40</v>
      </c>
      <c r="C1772" t="s">
        <v>1318</v>
      </c>
      <c r="D1772" t="s">
        <v>42</v>
      </c>
      <c r="E1772" t="s">
        <v>43</v>
      </c>
      <c r="F1772" t="s">
        <v>44</v>
      </c>
      <c r="G1772" t="s">
        <v>45</v>
      </c>
      <c r="AH1772" t="s">
        <v>42</v>
      </c>
      <c r="AI1772" t="str">
        <f>"11551"</f>
        <v>11551</v>
      </c>
      <c r="AJ1772" t="str">
        <f>"11551"</f>
        <v>11551</v>
      </c>
      <c r="AK1772" t="s">
        <v>46</v>
      </c>
      <c r="AL1772" s="1">
        <v>44816.551979166667</v>
      </c>
      <c r="AM1772" t="s">
        <v>44</v>
      </c>
    </row>
    <row r="1773" spans="1:39" x14ac:dyDescent="0.2">
      <c r="A1773" t="s">
        <v>1752</v>
      </c>
      <c r="B1773" t="s">
        <v>40</v>
      </c>
      <c r="C1773" t="s">
        <v>1318</v>
      </c>
      <c r="D1773" t="s">
        <v>42</v>
      </c>
      <c r="E1773" t="s">
        <v>43</v>
      </c>
      <c r="F1773" t="s">
        <v>44</v>
      </c>
      <c r="G1773" t="s">
        <v>45</v>
      </c>
      <c r="AH1773" t="s">
        <v>42</v>
      </c>
      <c r="AI1773" t="str">
        <f>"66298849226190"</f>
        <v>66298849226190</v>
      </c>
      <c r="AJ1773" t="str">
        <f>"2301A-KEC6-C00JP"</f>
        <v>2301A-KEC6-C00JP</v>
      </c>
      <c r="AK1773" t="s">
        <v>46</v>
      </c>
      <c r="AL1773" s="1">
        <v>44816.551990740743</v>
      </c>
      <c r="AM1773" t="s">
        <v>44</v>
      </c>
    </row>
    <row r="1774" spans="1:39" x14ac:dyDescent="0.2">
      <c r="A1774" t="s">
        <v>1753</v>
      </c>
      <c r="B1774" t="s">
        <v>40</v>
      </c>
      <c r="C1774" t="s">
        <v>1318</v>
      </c>
      <c r="D1774" t="s">
        <v>42</v>
      </c>
      <c r="E1774" t="s">
        <v>43</v>
      </c>
      <c r="F1774" t="s">
        <v>44</v>
      </c>
      <c r="G1774" t="s">
        <v>45</v>
      </c>
      <c r="AH1774" t="s">
        <v>42</v>
      </c>
      <c r="AI1774" t="str">
        <f>"66298849271753"</f>
        <v>66298849271753</v>
      </c>
      <c r="AJ1774" t="str">
        <f>"22535-KRW-900"</f>
        <v>22535-KRW-900</v>
      </c>
      <c r="AK1774" t="s">
        <v>46</v>
      </c>
      <c r="AL1774" s="1">
        <v>44816.551990740743</v>
      </c>
      <c r="AM1774" t="s">
        <v>44</v>
      </c>
    </row>
    <row r="1775" spans="1:39" x14ac:dyDescent="0.2">
      <c r="A1775" t="s">
        <v>1754</v>
      </c>
      <c r="B1775" t="s">
        <v>40</v>
      </c>
      <c r="C1775" t="s">
        <v>1318</v>
      </c>
      <c r="D1775" t="s">
        <v>42</v>
      </c>
      <c r="E1775" t="s">
        <v>43</v>
      </c>
      <c r="F1775" t="s">
        <v>44</v>
      </c>
      <c r="G1775" t="s">
        <v>45</v>
      </c>
      <c r="AH1775" t="s">
        <v>42</v>
      </c>
      <c r="AI1775" t="str">
        <f>"66298849321299"</f>
        <v>66298849321299</v>
      </c>
      <c r="AJ1775" t="str">
        <f>"CD018"</f>
        <v>CD018</v>
      </c>
      <c r="AK1775" t="s">
        <v>46</v>
      </c>
      <c r="AL1775" s="1">
        <v>44816.552002314813</v>
      </c>
      <c r="AM1775" t="s">
        <v>44</v>
      </c>
    </row>
    <row r="1776" spans="1:39" x14ac:dyDescent="0.2">
      <c r="A1776" t="s">
        <v>1754</v>
      </c>
      <c r="B1776" t="s">
        <v>40</v>
      </c>
      <c r="C1776" t="s">
        <v>1318</v>
      </c>
      <c r="D1776" t="s">
        <v>42</v>
      </c>
      <c r="E1776" t="s">
        <v>43</v>
      </c>
      <c r="F1776" t="s">
        <v>44</v>
      </c>
      <c r="G1776" t="s">
        <v>45</v>
      </c>
      <c r="AH1776" t="s">
        <v>42</v>
      </c>
      <c r="AI1776" t="str">
        <f>"66298849326472"</f>
        <v>66298849326472</v>
      </c>
      <c r="AJ1776" t="str">
        <f>"CD017"</f>
        <v>CD017</v>
      </c>
      <c r="AK1776" t="s">
        <v>46</v>
      </c>
      <c r="AL1776" s="1">
        <v>44816.552002314813</v>
      </c>
      <c r="AM1776" t="s">
        <v>44</v>
      </c>
    </row>
    <row r="1777" spans="1:39" x14ac:dyDescent="0.2">
      <c r="A1777" t="s">
        <v>1755</v>
      </c>
      <c r="B1777" t="s">
        <v>40</v>
      </c>
      <c r="C1777" t="s">
        <v>1318</v>
      </c>
      <c r="D1777" t="s">
        <v>42</v>
      </c>
      <c r="E1777" t="s">
        <v>43</v>
      </c>
      <c r="F1777" t="s">
        <v>44</v>
      </c>
      <c r="G1777" t="s">
        <v>45</v>
      </c>
      <c r="AH1777" t="s">
        <v>42</v>
      </c>
      <c r="AI1777" t="str">
        <f>"66298849378315"</f>
        <v>66298849378315</v>
      </c>
      <c r="AJ1777" t="str">
        <f>"400714"</f>
        <v>400714</v>
      </c>
      <c r="AK1777" t="s">
        <v>46</v>
      </c>
      <c r="AL1777" s="1">
        <v>44816.552002314813</v>
      </c>
      <c r="AM1777" t="s">
        <v>44</v>
      </c>
    </row>
    <row r="1778" spans="1:39" x14ac:dyDescent="0.2">
      <c r="A1778" t="s">
        <v>1756</v>
      </c>
      <c r="B1778" t="s">
        <v>40</v>
      </c>
      <c r="C1778" t="s">
        <v>1318</v>
      </c>
      <c r="D1778" t="s">
        <v>42</v>
      </c>
      <c r="E1778" t="s">
        <v>43</v>
      </c>
      <c r="F1778" t="s">
        <v>44</v>
      </c>
      <c r="G1778" t="s">
        <v>45</v>
      </c>
      <c r="AH1778" t="s">
        <v>42</v>
      </c>
      <c r="AI1778" t="str">
        <f>"66298849417655"</f>
        <v>66298849417655</v>
      </c>
      <c r="AJ1778" t="str">
        <f>"400715"</f>
        <v>400715</v>
      </c>
      <c r="AK1778" t="s">
        <v>46</v>
      </c>
      <c r="AL1778" s="1">
        <v>44816.55201388889</v>
      </c>
      <c r="AM1778" t="s">
        <v>44</v>
      </c>
    </row>
    <row r="1779" spans="1:39" x14ac:dyDescent="0.2">
      <c r="A1779" t="s">
        <v>1757</v>
      </c>
      <c r="B1779" t="s">
        <v>40</v>
      </c>
      <c r="C1779" t="s">
        <v>1318</v>
      </c>
      <c r="D1779" t="s">
        <v>42</v>
      </c>
      <c r="E1779" t="s">
        <v>43</v>
      </c>
      <c r="F1779" t="s">
        <v>44</v>
      </c>
      <c r="G1779" t="s">
        <v>45</v>
      </c>
      <c r="AH1779" t="s">
        <v>42</v>
      </c>
      <c r="AI1779" t="str">
        <f>"66298849458330"</f>
        <v>66298849458330</v>
      </c>
      <c r="AJ1779" t="str">
        <f>"400716"</f>
        <v>400716</v>
      </c>
      <c r="AK1779" t="s">
        <v>46</v>
      </c>
      <c r="AL1779" s="1">
        <v>44816.55201388889</v>
      </c>
      <c r="AM1779" t="s">
        <v>44</v>
      </c>
    </row>
    <row r="1780" spans="1:39" x14ac:dyDescent="0.2">
      <c r="A1780" t="s">
        <v>1758</v>
      </c>
      <c r="B1780" t="s">
        <v>40</v>
      </c>
      <c r="C1780" t="s">
        <v>1318</v>
      </c>
      <c r="D1780" t="s">
        <v>42</v>
      </c>
      <c r="E1780" t="s">
        <v>43</v>
      </c>
      <c r="F1780" t="s">
        <v>44</v>
      </c>
      <c r="G1780" t="s">
        <v>45</v>
      </c>
      <c r="AH1780" t="s">
        <v>42</v>
      </c>
      <c r="AI1780" t="str">
        <f>"66298849496895"</f>
        <v>66298849496895</v>
      </c>
      <c r="AJ1780" t="str">
        <f>"C202"</f>
        <v>C202</v>
      </c>
      <c r="AK1780" t="s">
        <v>46</v>
      </c>
      <c r="AL1780" s="1">
        <v>44816.55201388889</v>
      </c>
      <c r="AM1780" t="s">
        <v>44</v>
      </c>
    </row>
    <row r="1781" spans="1:39" x14ac:dyDescent="0.2">
      <c r="A1781" t="s">
        <v>1759</v>
      </c>
      <c r="B1781" t="s">
        <v>40</v>
      </c>
      <c r="C1781" t="s">
        <v>1318</v>
      </c>
      <c r="D1781" t="s">
        <v>42</v>
      </c>
      <c r="E1781" t="s">
        <v>43</v>
      </c>
      <c r="F1781" t="s">
        <v>44</v>
      </c>
      <c r="G1781" t="s">
        <v>45</v>
      </c>
      <c r="AH1781" t="s">
        <v>42</v>
      </c>
      <c r="AI1781" t="str">
        <f>"66298849542073"</f>
        <v>66298849542073</v>
      </c>
      <c r="AJ1781" t="str">
        <f>"CA003"</f>
        <v>CA003</v>
      </c>
      <c r="AK1781" t="s">
        <v>46</v>
      </c>
      <c r="AL1781" s="1">
        <v>44816.552025462966</v>
      </c>
      <c r="AM1781" t="s">
        <v>44</v>
      </c>
    </row>
    <row r="1782" spans="1:39" x14ac:dyDescent="0.2">
      <c r="A1782" t="s">
        <v>1759</v>
      </c>
      <c r="B1782" t="s">
        <v>40</v>
      </c>
      <c r="C1782" t="s">
        <v>1318</v>
      </c>
      <c r="D1782" t="s">
        <v>42</v>
      </c>
      <c r="E1782" t="s">
        <v>43</v>
      </c>
      <c r="F1782" t="s">
        <v>44</v>
      </c>
      <c r="G1782" t="s">
        <v>45</v>
      </c>
      <c r="AH1782" t="s">
        <v>42</v>
      </c>
      <c r="AI1782" t="str">
        <f>"66298849548648"</f>
        <v>66298849548648</v>
      </c>
      <c r="AJ1782" t="str">
        <f>"CA003-A"</f>
        <v>CA003-A</v>
      </c>
      <c r="AK1782" t="s">
        <v>46</v>
      </c>
      <c r="AL1782" s="1">
        <v>44816.552025462966</v>
      </c>
      <c r="AM1782" t="s">
        <v>44</v>
      </c>
    </row>
    <row r="1783" spans="1:39" x14ac:dyDescent="0.2">
      <c r="A1783" t="s">
        <v>1760</v>
      </c>
      <c r="B1783" t="s">
        <v>40</v>
      </c>
      <c r="C1783" t="s">
        <v>1318</v>
      </c>
      <c r="D1783" t="s">
        <v>42</v>
      </c>
      <c r="E1783" t="s">
        <v>43</v>
      </c>
      <c r="F1783" t="s">
        <v>44</v>
      </c>
      <c r="G1783" t="s">
        <v>45</v>
      </c>
      <c r="AH1783" t="s">
        <v>42</v>
      </c>
      <c r="AI1783" t="str">
        <f>"66298849607619"</f>
        <v>66298849607619</v>
      </c>
      <c r="AJ1783" t="str">
        <f>"C212"</f>
        <v>C212</v>
      </c>
      <c r="AK1783" t="s">
        <v>46</v>
      </c>
      <c r="AL1783" s="1">
        <v>44816.552037037036</v>
      </c>
      <c r="AM1783" t="s">
        <v>44</v>
      </c>
    </row>
    <row r="1784" spans="1:39" x14ac:dyDescent="0.2">
      <c r="A1784" t="s">
        <v>1761</v>
      </c>
      <c r="B1784" t="s">
        <v>40</v>
      </c>
      <c r="C1784" t="s">
        <v>1318</v>
      </c>
      <c r="D1784" t="s">
        <v>42</v>
      </c>
      <c r="E1784" t="s">
        <v>43</v>
      </c>
      <c r="F1784" t="s">
        <v>44</v>
      </c>
      <c r="G1784" t="s">
        <v>45</v>
      </c>
      <c r="AH1784" t="s">
        <v>42</v>
      </c>
      <c r="AI1784" t="str">
        <f>"49CC91"</f>
        <v>49CC91</v>
      </c>
      <c r="AJ1784" t="str">
        <f>"49CC91"</f>
        <v>49CC91</v>
      </c>
      <c r="AK1784" t="s">
        <v>46</v>
      </c>
      <c r="AL1784" s="1">
        <v>45091.90896990741</v>
      </c>
      <c r="AM1784" t="s">
        <v>44</v>
      </c>
    </row>
    <row r="1785" spans="1:39" x14ac:dyDescent="0.2">
      <c r="A1785" t="s">
        <v>1762</v>
      </c>
      <c r="B1785" t="s">
        <v>40</v>
      </c>
      <c r="C1785" t="s">
        <v>1318</v>
      </c>
      <c r="D1785" t="s">
        <v>42</v>
      </c>
      <c r="E1785" t="s">
        <v>43</v>
      </c>
      <c r="F1785" t="s">
        <v>44</v>
      </c>
      <c r="G1785" t="s">
        <v>45</v>
      </c>
      <c r="AH1785" t="s">
        <v>42</v>
      </c>
      <c r="AI1785" t="str">
        <f>"11484"</f>
        <v>11484</v>
      </c>
      <c r="AJ1785" t="str">
        <f>"11484"</f>
        <v>11484</v>
      </c>
      <c r="AK1785" t="s">
        <v>46</v>
      </c>
      <c r="AL1785" s="1">
        <v>45112.750625000001</v>
      </c>
      <c r="AM1785" t="s">
        <v>44</v>
      </c>
    </row>
    <row r="1786" spans="1:39" x14ac:dyDescent="0.2">
      <c r="A1786" t="s">
        <v>1763</v>
      </c>
      <c r="B1786" t="s">
        <v>40</v>
      </c>
      <c r="C1786" t="s">
        <v>1318</v>
      </c>
      <c r="D1786" t="s">
        <v>42</v>
      </c>
      <c r="E1786" t="s">
        <v>43</v>
      </c>
      <c r="F1786" t="s">
        <v>44</v>
      </c>
      <c r="G1786" t="s">
        <v>45</v>
      </c>
      <c r="AH1786" t="s">
        <v>42</v>
      </c>
      <c r="AI1786" t="str">
        <f>"66298849657839"</f>
        <v>66298849657839</v>
      </c>
      <c r="AJ1786" t="str">
        <f>"22120-KWS-901-K"</f>
        <v>22120-KWS-901-K</v>
      </c>
      <c r="AK1786" t="s">
        <v>46</v>
      </c>
      <c r="AL1786" s="1">
        <v>44816.552037037036</v>
      </c>
      <c r="AM1786" t="s">
        <v>44</v>
      </c>
    </row>
    <row r="1787" spans="1:39" x14ac:dyDescent="0.2">
      <c r="A1787" t="s">
        <v>1763</v>
      </c>
      <c r="B1787" t="s">
        <v>40</v>
      </c>
      <c r="C1787" t="s">
        <v>1318</v>
      </c>
      <c r="D1787" t="s">
        <v>42</v>
      </c>
      <c r="E1787" t="s">
        <v>43</v>
      </c>
      <c r="F1787" t="s">
        <v>44</v>
      </c>
      <c r="G1787" t="s">
        <v>45</v>
      </c>
      <c r="AH1787" t="s">
        <v>42</v>
      </c>
      <c r="AI1787" t="str">
        <f>"66298849664651"</f>
        <v>66298849664651</v>
      </c>
      <c r="AJ1787" t="str">
        <f>"C210"</f>
        <v>C210</v>
      </c>
      <c r="AK1787" t="s">
        <v>46</v>
      </c>
      <c r="AL1787" s="1">
        <v>44816.552037037036</v>
      </c>
      <c r="AM1787" t="s">
        <v>44</v>
      </c>
    </row>
    <row r="1788" spans="1:39" x14ac:dyDescent="0.2">
      <c r="A1788" t="s">
        <v>1764</v>
      </c>
      <c r="B1788" t="s">
        <v>40</v>
      </c>
      <c r="C1788" t="s">
        <v>1318</v>
      </c>
      <c r="D1788" t="s">
        <v>42</v>
      </c>
      <c r="E1788" t="s">
        <v>43</v>
      </c>
      <c r="F1788" t="s">
        <v>44</v>
      </c>
      <c r="G1788" t="s">
        <v>45</v>
      </c>
      <c r="AH1788" t="s">
        <v>42</v>
      </c>
      <c r="AI1788" t="str">
        <f>"66298849720603"</f>
        <v>66298849720603</v>
      </c>
      <c r="AJ1788" t="str">
        <f>"400729"</f>
        <v>400729</v>
      </c>
      <c r="AK1788" t="s">
        <v>46</v>
      </c>
      <c r="AL1788" s="1">
        <v>44816.552048611113</v>
      </c>
      <c r="AM1788" t="s">
        <v>44</v>
      </c>
    </row>
    <row r="1789" spans="1:39" x14ac:dyDescent="0.2">
      <c r="A1789" t="s">
        <v>1765</v>
      </c>
      <c r="B1789" t="s">
        <v>40</v>
      </c>
      <c r="C1789" t="s">
        <v>1318</v>
      </c>
      <c r="D1789" t="s">
        <v>42</v>
      </c>
      <c r="E1789" t="s">
        <v>43</v>
      </c>
      <c r="F1789" t="s">
        <v>44</v>
      </c>
      <c r="G1789" t="s">
        <v>45</v>
      </c>
      <c r="AH1789" t="s">
        <v>42</v>
      </c>
      <c r="AI1789" t="str">
        <f>"66298849761333"</f>
        <v>66298849761333</v>
      </c>
      <c r="AJ1789" t="str">
        <f>"22120-KTE-901-K"</f>
        <v>22120-KTE-901-K</v>
      </c>
      <c r="AK1789" t="s">
        <v>46</v>
      </c>
      <c r="AL1789" s="1">
        <v>44816.552048611113</v>
      </c>
      <c r="AM1789" t="s">
        <v>44</v>
      </c>
    </row>
    <row r="1790" spans="1:39" x14ac:dyDescent="0.2">
      <c r="A1790" t="s">
        <v>1766</v>
      </c>
      <c r="B1790" t="s">
        <v>40</v>
      </c>
      <c r="C1790" t="s">
        <v>1318</v>
      </c>
      <c r="D1790" t="s">
        <v>42</v>
      </c>
      <c r="E1790" t="s">
        <v>43</v>
      </c>
      <c r="F1790" t="s">
        <v>44</v>
      </c>
      <c r="G1790" t="s">
        <v>45</v>
      </c>
      <c r="AH1790" t="s">
        <v>42</v>
      </c>
      <c r="AI1790" t="str">
        <f>"66298849801400"</f>
        <v>66298849801400</v>
      </c>
      <c r="AJ1790" t="str">
        <f>"400727"</f>
        <v>400727</v>
      </c>
      <c r="AK1790" t="s">
        <v>46</v>
      </c>
      <c r="AL1790" s="1">
        <v>44816.552060185182</v>
      </c>
      <c r="AM1790" t="s">
        <v>44</v>
      </c>
    </row>
    <row r="1791" spans="1:39" x14ac:dyDescent="0.2">
      <c r="A1791" t="s">
        <v>1767</v>
      </c>
      <c r="B1791" t="s">
        <v>40</v>
      </c>
      <c r="C1791" t="s">
        <v>1318</v>
      </c>
      <c r="D1791" t="s">
        <v>42</v>
      </c>
      <c r="E1791" t="s">
        <v>43</v>
      </c>
      <c r="F1791" t="s">
        <v>44</v>
      </c>
      <c r="G1791" t="s">
        <v>45</v>
      </c>
      <c r="AH1791" t="s">
        <v>42</v>
      </c>
      <c r="AI1791" t="str">
        <f>"66298849924730"</f>
        <v>66298849924730</v>
      </c>
      <c r="AJ1791" t="str">
        <f>"400730"</f>
        <v>400730</v>
      </c>
      <c r="AK1791" t="s">
        <v>46</v>
      </c>
      <c r="AL1791" s="1">
        <v>44816.552071759259</v>
      </c>
      <c r="AM1791" t="s">
        <v>44</v>
      </c>
    </row>
    <row r="1792" spans="1:39" x14ac:dyDescent="0.2">
      <c r="A1792" t="s">
        <v>1768</v>
      </c>
      <c r="B1792" t="s">
        <v>40</v>
      </c>
      <c r="C1792" t="s">
        <v>1318</v>
      </c>
      <c r="D1792" t="s">
        <v>42</v>
      </c>
      <c r="E1792" t="s">
        <v>43</v>
      </c>
      <c r="F1792" t="s">
        <v>44</v>
      </c>
      <c r="G1792" t="s">
        <v>45</v>
      </c>
      <c r="AH1792" t="s">
        <v>42</v>
      </c>
      <c r="AI1792" t="str">
        <f>"66298849839322"</f>
        <v>66298849839322</v>
      </c>
      <c r="AJ1792" t="str">
        <f>"21C-E6371-00-K"</f>
        <v>21C-E6371-00-K</v>
      </c>
      <c r="AK1792" t="s">
        <v>46</v>
      </c>
      <c r="AL1792" s="1">
        <v>44816.552060185182</v>
      </c>
      <c r="AM1792" t="s">
        <v>44</v>
      </c>
    </row>
    <row r="1793" spans="1:39" x14ac:dyDescent="0.2">
      <c r="A1793" t="s">
        <v>1768</v>
      </c>
      <c r="B1793" t="s">
        <v>40</v>
      </c>
      <c r="C1793" t="s">
        <v>1318</v>
      </c>
      <c r="D1793" t="s">
        <v>42</v>
      </c>
      <c r="E1793" t="s">
        <v>43</v>
      </c>
      <c r="F1793" t="s">
        <v>44</v>
      </c>
      <c r="G1793" t="s">
        <v>45</v>
      </c>
      <c r="AH1793" t="s">
        <v>42</v>
      </c>
      <c r="AI1793" t="str">
        <f>"66298849879548"</f>
        <v>66298849879548</v>
      </c>
      <c r="AJ1793" t="str">
        <f>"C209"</f>
        <v>C209</v>
      </c>
      <c r="AK1793" t="s">
        <v>46</v>
      </c>
      <c r="AL1793" s="1">
        <v>44816.552060185182</v>
      </c>
      <c r="AM1793" t="s">
        <v>44</v>
      </c>
    </row>
    <row r="1794" spans="1:39" x14ac:dyDescent="0.2">
      <c r="A1794" t="s">
        <v>1769</v>
      </c>
      <c r="B1794" t="s">
        <v>40</v>
      </c>
      <c r="C1794" t="s">
        <v>1318</v>
      </c>
      <c r="D1794" t="s">
        <v>42</v>
      </c>
      <c r="E1794" t="s">
        <v>43</v>
      </c>
      <c r="F1794" t="s">
        <v>44</v>
      </c>
      <c r="G1794" t="s">
        <v>45</v>
      </c>
      <c r="AH1794" t="s">
        <v>42</v>
      </c>
      <c r="AI1794" t="str">
        <f>"66298849966815"</f>
        <v>66298849966815</v>
      </c>
      <c r="AJ1794" t="str">
        <f>"400731"</f>
        <v>400731</v>
      </c>
      <c r="AK1794" t="s">
        <v>46</v>
      </c>
      <c r="AL1794" s="1">
        <v>44816.552071759259</v>
      </c>
      <c r="AM1794" t="s">
        <v>44</v>
      </c>
    </row>
    <row r="1795" spans="1:39" x14ac:dyDescent="0.2">
      <c r="A1795" t="s">
        <v>1770</v>
      </c>
      <c r="B1795" t="s">
        <v>40</v>
      </c>
      <c r="C1795" t="s">
        <v>1318</v>
      </c>
      <c r="D1795" t="s">
        <v>42</v>
      </c>
      <c r="E1795" t="s">
        <v>43</v>
      </c>
      <c r="F1795" t="s">
        <v>44</v>
      </c>
      <c r="G1795" t="s">
        <v>45</v>
      </c>
      <c r="AH1795" t="s">
        <v>42</v>
      </c>
      <c r="AI1795" t="str">
        <f>"66298850017182"</f>
        <v>66298850017182</v>
      </c>
      <c r="AJ1795" t="str">
        <f>"JE-5514-00"</f>
        <v>JE-5514-00</v>
      </c>
      <c r="AK1795" t="s">
        <v>46</v>
      </c>
      <c r="AL1795" s="1">
        <v>44816.552083333336</v>
      </c>
      <c r="AM1795" t="s">
        <v>44</v>
      </c>
    </row>
    <row r="1796" spans="1:39" x14ac:dyDescent="0.2">
      <c r="A1796" t="s">
        <v>1771</v>
      </c>
      <c r="B1796" t="s">
        <v>40</v>
      </c>
      <c r="C1796" t="s">
        <v>1318</v>
      </c>
      <c r="D1796" t="s">
        <v>42</v>
      </c>
      <c r="E1796" t="s">
        <v>43</v>
      </c>
      <c r="F1796" t="s">
        <v>44</v>
      </c>
      <c r="G1796" t="s">
        <v>45</v>
      </c>
      <c r="AH1796" t="s">
        <v>42</v>
      </c>
      <c r="AI1796" t="str">
        <f>"DK-1015-63"</f>
        <v>DK-1015-63</v>
      </c>
      <c r="AJ1796" t="str">
        <f>"DK-1015-63"</f>
        <v>DK-1015-63</v>
      </c>
      <c r="AK1796" t="s">
        <v>46</v>
      </c>
      <c r="AL1796" s="1">
        <v>44816.552083333336</v>
      </c>
      <c r="AM1796" t="s">
        <v>44</v>
      </c>
    </row>
    <row r="1797" spans="1:39" x14ac:dyDescent="0.2">
      <c r="A1797" t="s">
        <v>1772</v>
      </c>
      <c r="B1797" t="s">
        <v>40</v>
      </c>
      <c r="C1797" t="s">
        <v>1318</v>
      </c>
      <c r="D1797" t="s">
        <v>42</v>
      </c>
      <c r="E1797" t="s">
        <v>43</v>
      </c>
      <c r="F1797" t="s">
        <v>44</v>
      </c>
      <c r="G1797" t="s">
        <v>45</v>
      </c>
      <c r="AH1797" t="s">
        <v>42</v>
      </c>
      <c r="AI1797" t="str">
        <f>"66298850115445"</f>
        <v>66298850115445</v>
      </c>
      <c r="AJ1797" t="str">
        <f>"400725"</f>
        <v>400725</v>
      </c>
      <c r="AK1797" t="s">
        <v>46</v>
      </c>
      <c r="AL1797" s="1">
        <v>44816.552094907405</v>
      </c>
      <c r="AM1797" t="s">
        <v>44</v>
      </c>
    </row>
    <row r="1798" spans="1:39" x14ac:dyDescent="0.2">
      <c r="A1798" t="s">
        <v>1773</v>
      </c>
      <c r="B1798" t="s">
        <v>40</v>
      </c>
      <c r="C1798" t="s">
        <v>1318</v>
      </c>
      <c r="D1798" t="s">
        <v>42</v>
      </c>
      <c r="E1798" t="s">
        <v>43</v>
      </c>
      <c r="F1798" t="s">
        <v>44</v>
      </c>
      <c r="G1798" t="s">
        <v>45</v>
      </c>
      <c r="AH1798" t="s">
        <v>42</v>
      </c>
      <c r="AI1798" t="str">
        <f>"C217"</f>
        <v>C217</v>
      </c>
      <c r="AJ1798" t="str">
        <f>"C217"</f>
        <v>C217</v>
      </c>
      <c r="AK1798" t="s">
        <v>46</v>
      </c>
      <c r="AL1798" s="1">
        <v>44980.841585648152</v>
      </c>
      <c r="AM1798" t="s">
        <v>44</v>
      </c>
    </row>
    <row r="1799" spans="1:39" x14ac:dyDescent="0.2">
      <c r="A1799" t="s">
        <v>1774</v>
      </c>
      <c r="B1799" t="s">
        <v>40</v>
      </c>
      <c r="C1799" t="s">
        <v>1318</v>
      </c>
      <c r="D1799" t="s">
        <v>42</v>
      </c>
      <c r="E1799" t="s">
        <v>43</v>
      </c>
      <c r="F1799" t="s">
        <v>44</v>
      </c>
      <c r="G1799" t="s">
        <v>45</v>
      </c>
      <c r="AH1799" t="s">
        <v>42</v>
      </c>
      <c r="AI1799" t="str">
        <f>"66298850195872"</f>
        <v>66298850195872</v>
      </c>
      <c r="AJ1799" t="str">
        <f>"400726"</f>
        <v>400726</v>
      </c>
      <c r="AK1799" t="s">
        <v>46</v>
      </c>
      <c r="AL1799" s="1">
        <v>44816.552094907405</v>
      </c>
      <c r="AM1799" t="s">
        <v>44</v>
      </c>
    </row>
    <row r="1800" spans="1:39" x14ac:dyDescent="0.2">
      <c r="A1800" t="s">
        <v>1775</v>
      </c>
      <c r="B1800" t="s">
        <v>40</v>
      </c>
      <c r="C1800" t="s">
        <v>1318</v>
      </c>
      <c r="D1800" t="s">
        <v>42</v>
      </c>
      <c r="E1800" t="s">
        <v>43</v>
      </c>
      <c r="F1800" t="s">
        <v>44</v>
      </c>
      <c r="G1800" t="s">
        <v>45</v>
      </c>
      <c r="AH1800" t="s">
        <v>42</v>
      </c>
      <c r="AI1800" t="str">
        <f>"66298850347445"</f>
        <v>66298850347445</v>
      </c>
      <c r="AJ1800" t="str">
        <f>"400733"</f>
        <v>400733</v>
      </c>
      <c r="AK1800" t="s">
        <v>46</v>
      </c>
      <c r="AL1800" s="1">
        <v>44816.552118055559</v>
      </c>
      <c r="AM1800" t="s">
        <v>44</v>
      </c>
    </row>
    <row r="1801" spans="1:39" x14ac:dyDescent="0.2">
      <c r="A1801" t="s">
        <v>1776</v>
      </c>
      <c r="B1801" t="s">
        <v>40</v>
      </c>
      <c r="C1801" t="s">
        <v>1318</v>
      </c>
      <c r="D1801" t="s">
        <v>42</v>
      </c>
      <c r="E1801" t="s">
        <v>43</v>
      </c>
      <c r="F1801" t="s">
        <v>44</v>
      </c>
      <c r="G1801" t="s">
        <v>45</v>
      </c>
      <c r="AH1801" t="s">
        <v>42</v>
      </c>
      <c r="AI1801" t="str">
        <f>"66298850257140"</f>
        <v>66298850257140</v>
      </c>
      <c r="AJ1801" t="str">
        <f>"5RE-E6371-00-K"</f>
        <v>5RE-E6371-00-K</v>
      </c>
      <c r="AK1801" t="s">
        <v>46</v>
      </c>
      <c r="AL1801" s="1">
        <v>44816.552106481482</v>
      </c>
      <c r="AM1801" t="s">
        <v>44</v>
      </c>
    </row>
    <row r="1802" spans="1:39" x14ac:dyDescent="0.2">
      <c r="A1802" t="s">
        <v>1777</v>
      </c>
      <c r="B1802" t="s">
        <v>40</v>
      </c>
      <c r="C1802" t="s">
        <v>1318</v>
      </c>
      <c r="D1802" t="s">
        <v>42</v>
      </c>
      <c r="E1802" t="s">
        <v>43</v>
      </c>
      <c r="F1802" t="s">
        <v>44</v>
      </c>
      <c r="G1802" t="s">
        <v>45</v>
      </c>
      <c r="AH1802" t="s">
        <v>42</v>
      </c>
      <c r="AI1802" t="str">
        <f>"66298850301405"</f>
        <v>66298850301405</v>
      </c>
      <c r="AJ1802" t="str">
        <f>"400734"</f>
        <v>400734</v>
      </c>
      <c r="AK1802" t="s">
        <v>46</v>
      </c>
      <c r="AL1802" s="1">
        <v>44816.552118055559</v>
      </c>
      <c r="AM1802" t="s">
        <v>44</v>
      </c>
    </row>
    <row r="1803" spans="1:39" x14ac:dyDescent="0.2">
      <c r="A1803" t="s">
        <v>1778</v>
      </c>
      <c r="B1803" t="s">
        <v>40</v>
      </c>
      <c r="C1803" t="s">
        <v>1318</v>
      </c>
      <c r="D1803" t="s">
        <v>42</v>
      </c>
      <c r="E1803" t="s">
        <v>43</v>
      </c>
      <c r="F1803" t="s">
        <v>44</v>
      </c>
      <c r="G1803" t="s">
        <v>45</v>
      </c>
      <c r="AH1803" t="s">
        <v>42</v>
      </c>
      <c r="AI1803" t="str">
        <f>"C205"</f>
        <v>C205</v>
      </c>
      <c r="AJ1803" t="str">
        <f>"C205"</f>
        <v>C205</v>
      </c>
      <c r="AK1803" t="s">
        <v>46</v>
      </c>
      <c r="AL1803" s="1">
        <v>45092.706678240742</v>
      </c>
      <c r="AM1803" t="s">
        <v>44</v>
      </c>
    </row>
    <row r="1804" spans="1:39" x14ac:dyDescent="0.2">
      <c r="A1804" t="s">
        <v>1779</v>
      </c>
      <c r="B1804" t="s">
        <v>40</v>
      </c>
      <c r="C1804" t="s">
        <v>1780</v>
      </c>
      <c r="D1804" t="s">
        <v>42</v>
      </c>
      <c r="E1804" t="s">
        <v>43</v>
      </c>
      <c r="F1804" t="s">
        <v>44</v>
      </c>
      <c r="G1804" t="s">
        <v>45</v>
      </c>
      <c r="AH1804" t="s">
        <v>42</v>
      </c>
      <c r="AI1804" t="str">
        <f>"3MTB101303"</f>
        <v>3MTB101303</v>
      </c>
      <c r="AJ1804" t="str">
        <f>"3MTB101303"</f>
        <v>3MTB101303</v>
      </c>
      <c r="AK1804" t="s">
        <v>46</v>
      </c>
      <c r="AL1804" s="1">
        <v>45113.71947916667</v>
      </c>
      <c r="AM1804" t="s">
        <v>44</v>
      </c>
    </row>
    <row r="1805" spans="1:39" x14ac:dyDescent="0.2">
      <c r="A1805" t="s">
        <v>1781</v>
      </c>
      <c r="B1805" t="s">
        <v>40</v>
      </c>
      <c r="C1805" t="s">
        <v>1318</v>
      </c>
      <c r="D1805" t="s">
        <v>42</v>
      </c>
      <c r="E1805" t="s">
        <v>43</v>
      </c>
      <c r="F1805" t="s">
        <v>44</v>
      </c>
      <c r="G1805" t="s">
        <v>45</v>
      </c>
      <c r="AH1805" t="s">
        <v>42</v>
      </c>
      <c r="AI1805" t="str">
        <f>"66298850521522"</f>
        <v>66298850521522</v>
      </c>
      <c r="AJ1805" t="str">
        <f>"400907"</f>
        <v>400907</v>
      </c>
      <c r="AK1805" t="s">
        <v>46</v>
      </c>
      <c r="AL1805" s="1">
        <v>44816.552141203705</v>
      </c>
      <c r="AM1805" t="s">
        <v>44</v>
      </c>
    </row>
    <row r="1806" spans="1:39" x14ac:dyDescent="0.2">
      <c r="A1806" t="s">
        <v>1782</v>
      </c>
      <c r="B1806" t="s">
        <v>40</v>
      </c>
      <c r="C1806" t="s">
        <v>1318</v>
      </c>
      <c r="D1806" t="s">
        <v>42</v>
      </c>
      <c r="E1806" t="s">
        <v>43</v>
      </c>
      <c r="F1806" t="s">
        <v>44</v>
      </c>
      <c r="G1806" t="s">
        <v>45</v>
      </c>
      <c r="AH1806" t="s">
        <v>42</v>
      </c>
      <c r="AI1806" t="str">
        <f>"66298850478250"</f>
        <v>66298850478250</v>
      </c>
      <c r="AJ1806" t="str">
        <f>"CB008"</f>
        <v>CB008</v>
      </c>
      <c r="AK1806" t="s">
        <v>46</v>
      </c>
      <c r="AL1806" s="1">
        <v>44816.552129629628</v>
      </c>
      <c r="AM1806" t="s">
        <v>44</v>
      </c>
    </row>
    <row r="1807" spans="1:39" x14ac:dyDescent="0.2">
      <c r="A1807" t="s">
        <v>1783</v>
      </c>
      <c r="B1807" t="s">
        <v>40</v>
      </c>
      <c r="C1807" t="s">
        <v>1318</v>
      </c>
      <c r="D1807" t="s">
        <v>42</v>
      </c>
      <c r="E1807" t="s">
        <v>43</v>
      </c>
      <c r="F1807" t="s">
        <v>44</v>
      </c>
      <c r="G1807" t="s">
        <v>45</v>
      </c>
      <c r="AH1807" t="s">
        <v>42</v>
      </c>
      <c r="AI1807" t="str">
        <f>"66298850561804"</f>
        <v>66298850561804</v>
      </c>
      <c r="AJ1807" t="str">
        <f>"28125-KW3-006"</f>
        <v>28125-KW3-006</v>
      </c>
      <c r="AK1807" t="s">
        <v>46</v>
      </c>
      <c r="AL1807" s="1">
        <v>44816.552141203705</v>
      </c>
      <c r="AM1807" t="s">
        <v>44</v>
      </c>
    </row>
    <row r="1808" spans="1:39" x14ac:dyDescent="0.2">
      <c r="A1808" t="s">
        <v>1784</v>
      </c>
      <c r="B1808" t="s">
        <v>40</v>
      </c>
      <c r="C1808" t="s">
        <v>1318</v>
      </c>
      <c r="D1808" t="s">
        <v>42</v>
      </c>
      <c r="E1808" t="s">
        <v>43</v>
      </c>
      <c r="F1808" t="s">
        <v>44</v>
      </c>
      <c r="G1808" t="s">
        <v>45</v>
      </c>
      <c r="AH1808" t="s">
        <v>42</v>
      </c>
      <c r="AI1808" t="str">
        <f>"66298850603420"</f>
        <v>66298850603420</v>
      </c>
      <c r="AJ1808" t="str">
        <f>"28120-KWA-941JP"</f>
        <v>28120-KWA-941JP</v>
      </c>
      <c r="AK1808" t="s">
        <v>46</v>
      </c>
      <c r="AL1808" s="1">
        <v>44816.552152777775</v>
      </c>
      <c r="AM1808" t="s">
        <v>44</v>
      </c>
    </row>
    <row r="1809" spans="1:39" x14ac:dyDescent="0.2">
      <c r="A1809" t="s">
        <v>1785</v>
      </c>
      <c r="B1809" t="s">
        <v>40</v>
      </c>
      <c r="C1809" t="s">
        <v>1318</v>
      </c>
      <c r="D1809" t="s">
        <v>42</v>
      </c>
      <c r="E1809" t="s">
        <v>43</v>
      </c>
      <c r="F1809" t="s">
        <v>44</v>
      </c>
      <c r="G1809" t="s">
        <v>45</v>
      </c>
      <c r="AH1809" t="s">
        <v>42</v>
      </c>
      <c r="AI1809" t="str">
        <f>"66298850425402"</f>
        <v>66298850425402</v>
      </c>
      <c r="AJ1809" t="str">
        <f>"400685"</f>
        <v>400685</v>
      </c>
      <c r="AK1809" t="s">
        <v>46</v>
      </c>
      <c r="AL1809" s="1">
        <v>44816.552129629628</v>
      </c>
      <c r="AM1809" t="s">
        <v>44</v>
      </c>
    </row>
    <row r="1810" spans="1:39" x14ac:dyDescent="0.2">
      <c r="A1810" t="s">
        <v>1786</v>
      </c>
      <c r="B1810" t="s">
        <v>40</v>
      </c>
      <c r="C1810" t="s">
        <v>1318</v>
      </c>
      <c r="D1810" t="s">
        <v>42</v>
      </c>
      <c r="E1810" t="s">
        <v>43</v>
      </c>
      <c r="F1810" t="s">
        <v>44</v>
      </c>
      <c r="G1810" t="s">
        <v>45</v>
      </c>
      <c r="AH1810" t="s">
        <v>42</v>
      </c>
      <c r="AI1810" t="str">
        <f>"CB007"</f>
        <v>CB007</v>
      </c>
      <c r="AJ1810" t="str">
        <f>"CB007"</f>
        <v>CB007</v>
      </c>
      <c r="AK1810" t="s">
        <v>46</v>
      </c>
      <c r="AL1810" s="1">
        <v>44980.861307870371</v>
      </c>
      <c r="AM1810" t="s">
        <v>44</v>
      </c>
    </row>
    <row r="1811" spans="1:39" x14ac:dyDescent="0.2">
      <c r="A1811" t="s">
        <v>1787</v>
      </c>
      <c r="B1811" t="s">
        <v>40</v>
      </c>
      <c r="C1811" t="s">
        <v>1318</v>
      </c>
      <c r="D1811" t="s">
        <v>42</v>
      </c>
      <c r="E1811" t="s">
        <v>43</v>
      </c>
      <c r="F1811" t="s">
        <v>44</v>
      </c>
      <c r="G1811" t="s">
        <v>45</v>
      </c>
      <c r="AH1811" t="s">
        <v>42</v>
      </c>
      <c r="AI1811" t="str">
        <f>"66298850697260"</f>
        <v>66298850697260</v>
      </c>
      <c r="AJ1811" t="str">
        <f>"400693"</f>
        <v>400693</v>
      </c>
      <c r="AK1811" t="s">
        <v>46</v>
      </c>
      <c r="AL1811" s="1">
        <v>44816.552152777775</v>
      </c>
      <c r="AM1811" t="s">
        <v>44</v>
      </c>
    </row>
    <row r="1812" spans="1:39" x14ac:dyDescent="0.2">
      <c r="A1812" t="s">
        <v>1788</v>
      </c>
      <c r="B1812" t="s">
        <v>40</v>
      </c>
      <c r="C1812" t="s">
        <v>1318</v>
      </c>
      <c r="D1812" t="s">
        <v>42</v>
      </c>
      <c r="E1812" t="s">
        <v>43</v>
      </c>
      <c r="F1812" t="s">
        <v>44</v>
      </c>
      <c r="G1812" t="s">
        <v>45</v>
      </c>
      <c r="AH1812" t="s">
        <v>42</v>
      </c>
      <c r="AI1812" t="str">
        <f>"66298850649342"</f>
        <v>66298850649342</v>
      </c>
      <c r="AJ1812" t="str">
        <f>"21C-E5580-10JP"</f>
        <v>21C-E5580-10JP</v>
      </c>
      <c r="AK1812" t="s">
        <v>46</v>
      </c>
      <c r="AL1812" s="1">
        <v>44816.552152777775</v>
      </c>
      <c r="AM1812" t="s">
        <v>44</v>
      </c>
    </row>
    <row r="1813" spans="1:39" x14ac:dyDescent="0.2">
      <c r="A1813" t="s">
        <v>1789</v>
      </c>
      <c r="B1813" t="s">
        <v>40</v>
      </c>
      <c r="C1813" t="s">
        <v>1318</v>
      </c>
      <c r="D1813" t="s">
        <v>42</v>
      </c>
      <c r="E1813" t="s">
        <v>43</v>
      </c>
      <c r="F1813" t="s">
        <v>44</v>
      </c>
      <c r="G1813" t="s">
        <v>45</v>
      </c>
      <c r="AH1813" t="s">
        <v>42</v>
      </c>
      <c r="AI1813" t="str">
        <f>"66298850735679"</f>
        <v>66298850735679</v>
      </c>
      <c r="AJ1813" t="str">
        <f>"400688"</f>
        <v>400688</v>
      </c>
      <c r="AK1813" t="s">
        <v>46</v>
      </c>
      <c r="AL1813" s="1">
        <v>44816.552164351851</v>
      </c>
      <c r="AM1813" t="s">
        <v>44</v>
      </c>
    </row>
    <row r="1814" spans="1:39" x14ac:dyDescent="0.2">
      <c r="A1814" t="s">
        <v>1790</v>
      </c>
      <c r="B1814" t="s">
        <v>40</v>
      </c>
      <c r="C1814" t="s">
        <v>1318</v>
      </c>
      <c r="D1814" t="s">
        <v>42</v>
      </c>
      <c r="E1814" t="s">
        <v>43</v>
      </c>
      <c r="F1814" t="s">
        <v>44</v>
      </c>
      <c r="G1814" t="s">
        <v>45</v>
      </c>
      <c r="AH1814" t="s">
        <v>42</v>
      </c>
      <c r="AI1814" t="str">
        <f>"400687"</f>
        <v>400687</v>
      </c>
      <c r="AJ1814" t="str">
        <f>"400687"</f>
        <v>400687</v>
      </c>
      <c r="AK1814" t="s">
        <v>46</v>
      </c>
      <c r="AL1814" s="1">
        <v>44816.552164351851</v>
      </c>
      <c r="AM1814" t="s">
        <v>44</v>
      </c>
    </row>
    <row r="1815" spans="1:39" x14ac:dyDescent="0.2">
      <c r="A1815" t="s">
        <v>1791</v>
      </c>
      <c r="B1815" t="s">
        <v>40</v>
      </c>
      <c r="C1815" t="s">
        <v>1318</v>
      </c>
      <c r="D1815" t="s">
        <v>42</v>
      </c>
      <c r="E1815" t="s">
        <v>43</v>
      </c>
      <c r="F1815" t="s">
        <v>44</v>
      </c>
      <c r="G1815" t="s">
        <v>45</v>
      </c>
      <c r="AH1815" t="s">
        <v>42</v>
      </c>
      <c r="AI1815" t="str">
        <f>"66298850824682"</f>
        <v>66298850824682</v>
      </c>
      <c r="AJ1815" t="str">
        <f>"28125-KFC-791JP"</f>
        <v>28125-KFC-791JP</v>
      </c>
      <c r="AK1815" t="s">
        <v>46</v>
      </c>
      <c r="AL1815" s="1">
        <v>44816.552175925928</v>
      </c>
      <c r="AM1815" t="s">
        <v>44</v>
      </c>
    </row>
    <row r="1816" spans="1:39" x14ac:dyDescent="0.2">
      <c r="A1816" t="s">
        <v>1792</v>
      </c>
      <c r="B1816" t="s">
        <v>40</v>
      </c>
      <c r="C1816" t="s">
        <v>1318</v>
      </c>
      <c r="D1816" t="s">
        <v>42</v>
      </c>
      <c r="E1816" t="s">
        <v>43</v>
      </c>
      <c r="F1816" t="s">
        <v>44</v>
      </c>
      <c r="G1816" t="s">
        <v>45</v>
      </c>
      <c r="AH1816" t="s">
        <v>42</v>
      </c>
      <c r="AI1816" t="str">
        <f>"66298850865518"</f>
        <v>66298850865518</v>
      </c>
      <c r="AJ1816" t="str">
        <f>"JA-6214-14"</f>
        <v>JA-6214-14</v>
      </c>
      <c r="AK1816" t="s">
        <v>46</v>
      </c>
      <c r="AL1816" s="1">
        <v>44816.552175925928</v>
      </c>
      <c r="AM1816" t="s">
        <v>44</v>
      </c>
    </row>
    <row r="1817" spans="1:39" x14ac:dyDescent="0.2">
      <c r="A1817" t="s">
        <v>1793</v>
      </c>
      <c r="B1817" t="s">
        <v>40</v>
      </c>
      <c r="C1817" t="s">
        <v>1318</v>
      </c>
      <c r="D1817" t="s">
        <v>42</v>
      </c>
      <c r="E1817" t="s">
        <v>43</v>
      </c>
      <c r="F1817" t="s">
        <v>44</v>
      </c>
      <c r="G1817" t="s">
        <v>45</v>
      </c>
      <c r="AH1817" t="s">
        <v>42</v>
      </c>
      <c r="AI1817" t="str">
        <f>"66298850903182"</f>
        <v>66298850903182</v>
      </c>
      <c r="AJ1817" t="str">
        <f>"36-DH40-08JP"</f>
        <v>36-DH40-08JP</v>
      </c>
      <c r="AK1817" t="s">
        <v>46</v>
      </c>
      <c r="AL1817" s="1">
        <v>44816.552187499998</v>
      </c>
      <c r="AM1817" t="s">
        <v>44</v>
      </c>
    </row>
    <row r="1818" spans="1:39" x14ac:dyDescent="0.2">
      <c r="A1818" t="s">
        <v>1794</v>
      </c>
      <c r="B1818" t="s">
        <v>40</v>
      </c>
      <c r="C1818" t="s">
        <v>1318</v>
      </c>
      <c r="D1818" t="s">
        <v>42</v>
      </c>
      <c r="E1818" t="s">
        <v>43</v>
      </c>
      <c r="F1818" t="s">
        <v>44</v>
      </c>
      <c r="G1818" t="s">
        <v>45</v>
      </c>
      <c r="AH1818" t="s">
        <v>42</v>
      </c>
      <c r="AI1818" t="str">
        <f>"66298850943601"</f>
        <v>66298850943601</v>
      </c>
      <c r="AJ1818" t="str">
        <f>"400689"</f>
        <v>400689</v>
      </c>
      <c r="AK1818" t="s">
        <v>46</v>
      </c>
      <c r="AL1818" s="1">
        <v>44816.552187499998</v>
      </c>
      <c r="AM1818" t="s">
        <v>44</v>
      </c>
    </row>
    <row r="1819" spans="1:39" x14ac:dyDescent="0.2">
      <c r="A1819" t="s">
        <v>1795</v>
      </c>
      <c r="B1819" t="s">
        <v>40</v>
      </c>
      <c r="C1819" t="s">
        <v>1318</v>
      </c>
      <c r="D1819" t="s">
        <v>42</v>
      </c>
      <c r="E1819" t="s">
        <v>43</v>
      </c>
      <c r="F1819" t="s">
        <v>44</v>
      </c>
      <c r="G1819" t="s">
        <v>45</v>
      </c>
      <c r="AH1819" t="s">
        <v>42</v>
      </c>
      <c r="AI1819" t="str">
        <f>"66298850985832"</f>
        <v>66298850985832</v>
      </c>
      <c r="AJ1819" t="str">
        <f>"U008"</f>
        <v>U008</v>
      </c>
      <c r="AK1819" t="s">
        <v>46</v>
      </c>
      <c r="AL1819" s="1">
        <v>44816.552187499998</v>
      </c>
      <c r="AM1819" t="s">
        <v>44</v>
      </c>
    </row>
    <row r="1820" spans="1:39" x14ac:dyDescent="0.2">
      <c r="A1820" t="s">
        <v>1796</v>
      </c>
      <c r="B1820" t="s">
        <v>40</v>
      </c>
      <c r="C1820" t="s">
        <v>1318</v>
      </c>
      <c r="D1820" t="s">
        <v>42</v>
      </c>
      <c r="E1820" t="s">
        <v>43</v>
      </c>
      <c r="F1820" t="s">
        <v>44</v>
      </c>
      <c r="G1820" t="s">
        <v>45</v>
      </c>
      <c r="AH1820" t="s">
        <v>42</v>
      </c>
      <c r="AI1820" t="str">
        <f>"66298850386378"</f>
        <v>66298850386378</v>
      </c>
      <c r="AJ1820" t="str">
        <f>"400686"</f>
        <v>400686</v>
      </c>
      <c r="AK1820" t="s">
        <v>46</v>
      </c>
      <c r="AL1820" s="1">
        <v>44816.552118055559</v>
      </c>
      <c r="AM1820" t="s">
        <v>44</v>
      </c>
    </row>
    <row r="1821" spans="1:39" x14ac:dyDescent="0.2">
      <c r="A1821" t="s">
        <v>1797</v>
      </c>
      <c r="B1821" t="s">
        <v>40</v>
      </c>
      <c r="C1821" t="s">
        <v>1318</v>
      </c>
      <c r="D1821" t="s">
        <v>42</v>
      </c>
      <c r="E1821" t="s">
        <v>43</v>
      </c>
      <c r="F1821" t="s">
        <v>44</v>
      </c>
      <c r="G1821" t="s">
        <v>45</v>
      </c>
      <c r="AH1821" t="s">
        <v>42</v>
      </c>
      <c r="AI1821" t="str">
        <f>"66298851030229"</f>
        <v>66298851030229</v>
      </c>
      <c r="AJ1821" t="str">
        <f>"28120-GFY6-C10JP"</f>
        <v>28120-GFY6-C10JP</v>
      </c>
      <c r="AK1821" t="s">
        <v>46</v>
      </c>
      <c r="AL1821" s="1">
        <v>44816.552199074074</v>
      </c>
      <c r="AM1821" t="s">
        <v>44</v>
      </c>
    </row>
    <row r="1822" spans="1:39" x14ac:dyDescent="0.2">
      <c r="A1822" t="s">
        <v>1798</v>
      </c>
      <c r="B1822" t="s">
        <v>40</v>
      </c>
      <c r="C1822" t="s">
        <v>1318</v>
      </c>
      <c r="D1822" t="s">
        <v>42</v>
      </c>
      <c r="E1822" t="s">
        <v>43</v>
      </c>
      <c r="F1822" t="s">
        <v>44</v>
      </c>
      <c r="G1822" t="s">
        <v>45</v>
      </c>
      <c r="AH1822" t="s">
        <v>42</v>
      </c>
      <c r="AI1822" t="str">
        <f>"66298851070515"</f>
        <v>66298851070515</v>
      </c>
      <c r="AJ1822" t="str">
        <f>"400683"</f>
        <v>400683</v>
      </c>
      <c r="AK1822" t="s">
        <v>46</v>
      </c>
      <c r="AL1822" s="1">
        <v>44816.552199074074</v>
      </c>
      <c r="AM1822" t="s">
        <v>44</v>
      </c>
    </row>
    <row r="1823" spans="1:39" x14ac:dyDescent="0.2">
      <c r="A1823" t="s">
        <v>1799</v>
      </c>
      <c r="B1823" t="s">
        <v>40</v>
      </c>
      <c r="C1823" t="s">
        <v>1318</v>
      </c>
      <c r="D1823" t="s">
        <v>42</v>
      </c>
      <c r="E1823" t="s">
        <v>43</v>
      </c>
      <c r="F1823" t="s">
        <v>44</v>
      </c>
      <c r="G1823" t="s">
        <v>45</v>
      </c>
      <c r="AH1823" t="s">
        <v>42</v>
      </c>
      <c r="AI1823" t="str">
        <f>"66298851116894"</f>
        <v>66298851116894</v>
      </c>
      <c r="AJ1823" t="str">
        <f>"400684"</f>
        <v>400684</v>
      </c>
      <c r="AK1823" t="s">
        <v>46</v>
      </c>
      <c r="AL1823" s="1">
        <v>44816.552210648151</v>
      </c>
      <c r="AM1823" t="s">
        <v>44</v>
      </c>
    </row>
    <row r="1824" spans="1:39" x14ac:dyDescent="0.2">
      <c r="A1824" t="s">
        <v>1800</v>
      </c>
      <c r="B1824" t="s">
        <v>40</v>
      </c>
      <c r="C1824" t="s">
        <v>1318</v>
      </c>
      <c r="D1824" t="s">
        <v>42</v>
      </c>
      <c r="E1824" t="s">
        <v>43</v>
      </c>
      <c r="F1824" t="s">
        <v>44</v>
      </c>
      <c r="G1824" t="s">
        <v>45</v>
      </c>
      <c r="AH1824" t="s">
        <v>42</v>
      </c>
      <c r="AI1824" t="str">
        <f>"66298851159887"</f>
        <v>66298851159887</v>
      </c>
      <c r="AJ1824" t="str">
        <f>"400691"</f>
        <v>400691</v>
      </c>
      <c r="AK1824" t="s">
        <v>46</v>
      </c>
      <c r="AL1824" s="1">
        <v>44816.552210648151</v>
      </c>
      <c r="AM1824" t="s">
        <v>44</v>
      </c>
    </row>
    <row r="1825" spans="1:39" x14ac:dyDescent="0.2">
      <c r="A1825" t="s">
        <v>1801</v>
      </c>
      <c r="B1825" t="s">
        <v>40</v>
      </c>
      <c r="C1825" t="s">
        <v>1318</v>
      </c>
      <c r="D1825" t="s">
        <v>42</v>
      </c>
      <c r="E1825" t="s">
        <v>43</v>
      </c>
      <c r="F1825" t="s">
        <v>44</v>
      </c>
      <c r="G1825" t="s">
        <v>45</v>
      </c>
      <c r="AH1825" t="s">
        <v>42</v>
      </c>
      <c r="AI1825" t="str">
        <f>"66298851197731"</f>
        <v>66298851197731</v>
      </c>
      <c r="AJ1825" t="str">
        <f>"5US-E5590-00JP"</f>
        <v>5US-E5590-00JP</v>
      </c>
      <c r="AK1825" t="s">
        <v>46</v>
      </c>
      <c r="AL1825" s="1">
        <v>44816.552210648151</v>
      </c>
      <c r="AM1825" t="s">
        <v>44</v>
      </c>
    </row>
    <row r="1826" spans="1:39" x14ac:dyDescent="0.2">
      <c r="A1826" t="s">
        <v>1802</v>
      </c>
      <c r="B1826" t="s">
        <v>40</v>
      </c>
      <c r="C1826" t="s">
        <v>1318</v>
      </c>
      <c r="D1826" t="s">
        <v>42</v>
      </c>
      <c r="E1826" t="s">
        <v>43</v>
      </c>
      <c r="F1826" t="s">
        <v>44</v>
      </c>
      <c r="G1826" t="s">
        <v>45</v>
      </c>
      <c r="AH1826" t="s">
        <v>42</v>
      </c>
      <c r="AI1826" t="str">
        <f>"66298851312763"</f>
        <v>66298851312763</v>
      </c>
      <c r="AJ1826" t="str">
        <f>"400690"</f>
        <v>400690</v>
      </c>
      <c r="AK1826" t="s">
        <v>46</v>
      </c>
      <c r="AL1826" s="1">
        <v>44816.552233796298</v>
      </c>
      <c r="AM1826" t="s">
        <v>44</v>
      </c>
    </row>
    <row r="1827" spans="1:39" x14ac:dyDescent="0.2">
      <c r="A1827" t="s">
        <v>1803</v>
      </c>
      <c r="B1827" t="s">
        <v>40</v>
      </c>
      <c r="C1827" t="s">
        <v>1318</v>
      </c>
      <c r="D1827" t="s">
        <v>42</v>
      </c>
      <c r="E1827" t="s">
        <v>43</v>
      </c>
      <c r="F1827" t="s">
        <v>44</v>
      </c>
      <c r="G1827" t="s">
        <v>45</v>
      </c>
      <c r="AH1827" t="s">
        <v>42</v>
      </c>
      <c r="AI1827" t="str">
        <f>"66298851245011"</f>
        <v>66298851245011</v>
      </c>
      <c r="AJ1827" t="str">
        <f>"1BK-E5580-00"</f>
        <v>1BK-E5580-00</v>
      </c>
      <c r="AK1827" t="s">
        <v>46</v>
      </c>
      <c r="AL1827" s="1">
        <v>44816.552222222221</v>
      </c>
      <c r="AM1827" t="s">
        <v>44</v>
      </c>
    </row>
    <row r="1828" spans="1:39" x14ac:dyDescent="0.2">
      <c r="A1828" t="s">
        <v>1803</v>
      </c>
      <c r="B1828" t="s">
        <v>40</v>
      </c>
      <c r="C1828" t="s">
        <v>1318</v>
      </c>
      <c r="D1828" t="s">
        <v>42</v>
      </c>
      <c r="E1828" t="s">
        <v>43</v>
      </c>
      <c r="F1828" t="s">
        <v>44</v>
      </c>
      <c r="G1828" t="s">
        <v>45</v>
      </c>
      <c r="AH1828" t="s">
        <v>42</v>
      </c>
      <c r="AI1828" t="str">
        <f>"66298851254701"</f>
        <v>66298851254701</v>
      </c>
      <c r="AJ1828" t="str">
        <f>"CB002"</f>
        <v>CB002</v>
      </c>
      <c r="AK1828" t="s">
        <v>46</v>
      </c>
      <c r="AL1828" s="1">
        <v>44816.552222222221</v>
      </c>
      <c r="AM1828" t="s">
        <v>44</v>
      </c>
    </row>
    <row r="1829" spans="1:39" x14ac:dyDescent="0.2">
      <c r="A1829" t="s">
        <v>1804</v>
      </c>
      <c r="B1829" t="s">
        <v>40</v>
      </c>
      <c r="C1829" t="s">
        <v>1318</v>
      </c>
      <c r="D1829" t="s">
        <v>42</v>
      </c>
      <c r="E1829" t="s">
        <v>43</v>
      </c>
      <c r="F1829" t="s">
        <v>44</v>
      </c>
      <c r="G1829" t="s">
        <v>45</v>
      </c>
      <c r="AH1829" t="s">
        <v>42</v>
      </c>
      <c r="AI1829" t="str">
        <f>"66298851357650"</f>
        <v>66298851357650</v>
      </c>
      <c r="AJ1829" t="str">
        <f>"5TY-E5570-01JP"</f>
        <v>5TY-E5570-01JP</v>
      </c>
      <c r="AK1829" t="s">
        <v>46</v>
      </c>
      <c r="AL1829" s="1">
        <v>44816.552233796298</v>
      </c>
      <c r="AM1829" t="s">
        <v>44</v>
      </c>
    </row>
    <row r="1830" spans="1:39" x14ac:dyDescent="0.2">
      <c r="A1830" t="s">
        <v>1805</v>
      </c>
      <c r="B1830" t="s">
        <v>40</v>
      </c>
      <c r="C1830" t="s">
        <v>1318</v>
      </c>
      <c r="D1830" t="s">
        <v>42</v>
      </c>
      <c r="E1830" t="s">
        <v>43</v>
      </c>
      <c r="F1830" t="s">
        <v>44</v>
      </c>
      <c r="G1830" t="s">
        <v>45</v>
      </c>
      <c r="AH1830" t="s">
        <v>42</v>
      </c>
      <c r="AI1830" t="str">
        <f>"66298851407886"</f>
        <v>66298851407886</v>
      </c>
      <c r="AJ1830" t="str">
        <f>"257"</f>
        <v>257</v>
      </c>
      <c r="AK1830" t="s">
        <v>46</v>
      </c>
      <c r="AL1830" s="1">
        <v>44816.552245370367</v>
      </c>
      <c r="AM1830" t="s">
        <v>44</v>
      </c>
    </row>
    <row r="1831" spans="1:39" x14ac:dyDescent="0.2">
      <c r="A1831" t="s">
        <v>1805</v>
      </c>
      <c r="B1831" t="s">
        <v>40</v>
      </c>
      <c r="C1831" t="s">
        <v>1318</v>
      </c>
      <c r="D1831" t="s">
        <v>42</v>
      </c>
      <c r="E1831" t="s">
        <v>43</v>
      </c>
      <c r="F1831" t="s">
        <v>44</v>
      </c>
      <c r="G1831" t="s">
        <v>45</v>
      </c>
      <c r="AH1831" t="s">
        <v>42</v>
      </c>
      <c r="AI1831" t="str">
        <f>"66298851413715"</f>
        <v>66298851413715</v>
      </c>
      <c r="AJ1831" t="str">
        <f>"54B-E5580-00"</f>
        <v>54B-E5580-00</v>
      </c>
      <c r="AK1831" t="s">
        <v>46</v>
      </c>
      <c r="AL1831" s="1">
        <v>44816.552245370367</v>
      </c>
      <c r="AM1831" t="s">
        <v>44</v>
      </c>
    </row>
    <row r="1832" spans="1:39" x14ac:dyDescent="0.2">
      <c r="A1832" t="s">
        <v>1806</v>
      </c>
      <c r="B1832" t="s">
        <v>40</v>
      </c>
      <c r="C1832" t="s">
        <v>1807</v>
      </c>
      <c r="D1832" t="s">
        <v>42</v>
      </c>
      <c r="E1832" t="s">
        <v>43</v>
      </c>
      <c r="F1832" t="s">
        <v>44</v>
      </c>
      <c r="G1832" t="s">
        <v>45</v>
      </c>
      <c r="AH1832" t="s">
        <v>42</v>
      </c>
      <c r="AI1832" t="str">
        <f>"66298851470524"</f>
        <v>66298851470524</v>
      </c>
      <c r="AJ1832" t="str">
        <f>"02K274"</f>
        <v>02K274</v>
      </c>
      <c r="AK1832" t="s">
        <v>46</v>
      </c>
      <c r="AL1832" s="1">
        <v>44816.552245370367</v>
      </c>
      <c r="AM1832" t="s">
        <v>44</v>
      </c>
    </row>
    <row r="1833" spans="1:39" x14ac:dyDescent="0.2">
      <c r="A1833" t="s">
        <v>1808</v>
      </c>
      <c r="B1833" t="s">
        <v>40</v>
      </c>
      <c r="C1833" t="s">
        <v>1807</v>
      </c>
      <c r="D1833" t="s">
        <v>42</v>
      </c>
      <c r="E1833" t="s">
        <v>43</v>
      </c>
      <c r="F1833" t="s">
        <v>44</v>
      </c>
      <c r="G1833" t="s">
        <v>45</v>
      </c>
      <c r="AH1833" t="s">
        <v>42</v>
      </c>
      <c r="AI1833" t="str">
        <f>"66298851512658"</f>
        <v>66298851512658</v>
      </c>
      <c r="AJ1833" t="str">
        <f>"E06020023"</f>
        <v>E06020023</v>
      </c>
      <c r="AK1833" t="s">
        <v>46</v>
      </c>
      <c r="AL1833" s="1">
        <v>44816.552256944444</v>
      </c>
      <c r="AM1833" t="s">
        <v>44</v>
      </c>
    </row>
    <row r="1834" spans="1:39" x14ac:dyDescent="0.2">
      <c r="A1834" t="s">
        <v>1809</v>
      </c>
      <c r="B1834" t="s">
        <v>40</v>
      </c>
      <c r="C1834" t="s">
        <v>1807</v>
      </c>
      <c r="D1834" t="s">
        <v>42</v>
      </c>
      <c r="E1834" t="s">
        <v>43</v>
      </c>
      <c r="F1834" t="s">
        <v>44</v>
      </c>
      <c r="G1834" t="s">
        <v>45</v>
      </c>
      <c r="AH1834" t="s">
        <v>42</v>
      </c>
      <c r="AI1834" t="str">
        <f>"66298851555050"</f>
        <v>66298851555050</v>
      </c>
      <c r="AJ1834" t="str">
        <f>"02K318"</f>
        <v>02K318</v>
      </c>
      <c r="AK1834" t="s">
        <v>46</v>
      </c>
      <c r="AL1834" s="1">
        <v>44816.552256944444</v>
      </c>
      <c r="AM1834" t="s">
        <v>44</v>
      </c>
    </row>
    <row r="1835" spans="1:39" x14ac:dyDescent="0.2">
      <c r="A1835" t="s">
        <v>1810</v>
      </c>
      <c r="B1835" t="s">
        <v>40</v>
      </c>
      <c r="C1835" t="s">
        <v>1807</v>
      </c>
      <c r="D1835" t="s">
        <v>42</v>
      </c>
      <c r="E1835" t="s">
        <v>43</v>
      </c>
      <c r="F1835" t="s">
        <v>44</v>
      </c>
      <c r="G1835" t="s">
        <v>45</v>
      </c>
      <c r="AH1835" t="s">
        <v>42</v>
      </c>
      <c r="AI1835" t="str">
        <f>"66298851596782"</f>
        <v>66298851596782</v>
      </c>
      <c r="AJ1835" t="str">
        <f>"11241-34J00"</f>
        <v>11241-34J00</v>
      </c>
      <c r="AK1835" t="s">
        <v>46</v>
      </c>
      <c r="AL1835" s="1">
        <v>44816.552256944444</v>
      </c>
      <c r="AM1835" t="s">
        <v>44</v>
      </c>
    </row>
    <row r="1836" spans="1:39" x14ac:dyDescent="0.2">
      <c r="A1836" t="s">
        <v>1810</v>
      </c>
      <c r="B1836" t="s">
        <v>40</v>
      </c>
      <c r="C1836" t="s">
        <v>1807</v>
      </c>
      <c r="D1836" t="s">
        <v>42</v>
      </c>
      <c r="E1836" t="s">
        <v>43</v>
      </c>
      <c r="F1836" t="s">
        <v>44</v>
      </c>
      <c r="G1836" t="s">
        <v>45</v>
      </c>
      <c r="AH1836" t="s">
        <v>42</v>
      </c>
      <c r="AI1836" t="str">
        <f>"66298851639571"</f>
        <v>66298851639571</v>
      </c>
      <c r="AJ1836" t="str">
        <f>"02K340"</f>
        <v>02K340</v>
      </c>
      <c r="AK1836" t="s">
        <v>46</v>
      </c>
      <c r="AL1836" s="1">
        <v>44816.552268518521</v>
      </c>
      <c r="AM1836" t="s">
        <v>44</v>
      </c>
    </row>
    <row r="1837" spans="1:39" x14ac:dyDescent="0.2">
      <c r="A1837" t="s">
        <v>1811</v>
      </c>
      <c r="B1837" t="s">
        <v>40</v>
      </c>
      <c r="C1837" t="s">
        <v>1807</v>
      </c>
      <c r="D1837" t="s">
        <v>42</v>
      </c>
      <c r="E1837" t="s">
        <v>43</v>
      </c>
      <c r="F1837" t="s">
        <v>44</v>
      </c>
      <c r="G1837" t="s">
        <v>45</v>
      </c>
      <c r="AH1837" t="s">
        <v>42</v>
      </c>
      <c r="AI1837" t="str">
        <f>"66298851680701"</f>
        <v>66298851680701</v>
      </c>
      <c r="AJ1837" t="str">
        <f>"12191-KPF-900BR"</f>
        <v>12191-KPF-900BR</v>
      </c>
      <c r="AK1837" t="s">
        <v>46</v>
      </c>
      <c r="AL1837" s="1">
        <v>44816.552268518521</v>
      </c>
      <c r="AM1837" t="s">
        <v>44</v>
      </c>
    </row>
    <row r="1838" spans="1:39" x14ac:dyDescent="0.2">
      <c r="A1838" t="s">
        <v>1811</v>
      </c>
      <c r="B1838" t="s">
        <v>40</v>
      </c>
      <c r="C1838" t="s">
        <v>1807</v>
      </c>
      <c r="D1838" t="s">
        <v>42</v>
      </c>
      <c r="E1838" t="s">
        <v>43</v>
      </c>
      <c r="F1838" t="s">
        <v>44</v>
      </c>
      <c r="G1838" t="s">
        <v>45</v>
      </c>
      <c r="AH1838" t="s">
        <v>42</v>
      </c>
      <c r="AI1838" t="str">
        <f>"66298851721867"</f>
        <v>66298851721867</v>
      </c>
      <c r="AJ1838" t="str">
        <f>"02K278"</f>
        <v>02K278</v>
      </c>
      <c r="AK1838" t="s">
        <v>46</v>
      </c>
      <c r="AL1838" s="1">
        <v>44816.55228009259</v>
      </c>
      <c r="AM1838" t="s">
        <v>44</v>
      </c>
    </row>
    <row r="1839" spans="1:39" x14ac:dyDescent="0.2">
      <c r="A1839" t="s">
        <v>1812</v>
      </c>
      <c r="B1839" t="s">
        <v>40</v>
      </c>
      <c r="C1839" t="s">
        <v>1807</v>
      </c>
      <c r="D1839" t="s">
        <v>42</v>
      </c>
      <c r="E1839" t="s">
        <v>43</v>
      </c>
      <c r="F1839" t="s">
        <v>44</v>
      </c>
      <c r="G1839" t="s">
        <v>45</v>
      </c>
      <c r="AH1839" t="s">
        <v>42</v>
      </c>
      <c r="AI1839" t="str">
        <f>"66298851762316"</f>
        <v>66298851762316</v>
      </c>
      <c r="AJ1839" t="str">
        <f>"12191-KZ1-920BR"</f>
        <v>12191-KZ1-920BR</v>
      </c>
      <c r="AK1839" t="s">
        <v>46</v>
      </c>
      <c r="AL1839" s="1">
        <v>44816.55228009259</v>
      </c>
      <c r="AM1839" t="s">
        <v>44</v>
      </c>
    </row>
    <row r="1840" spans="1:39" x14ac:dyDescent="0.2">
      <c r="A1840" t="s">
        <v>1813</v>
      </c>
      <c r="B1840" t="s">
        <v>40</v>
      </c>
      <c r="C1840" t="s">
        <v>1807</v>
      </c>
      <c r="D1840" t="s">
        <v>42</v>
      </c>
      <c r="E1840" t="s">
        <v>43</v>
      </c>
      <c r="F1840" t="s">
        <v>44</v>
      </c>
      <c r="G1840" t="s">
        <v>45</v>
      </c>
      <c r="AH1840" t="s">
        <v>42</v>
      </c>
      <c r="AI1840" t="str">
        <f>"66298851802276"</f>
        <v>66298851802276</v>
      </c>
      <c r="AJ1840" t="str">
        <f>"02K200"</f>
        <v>02K200</v>
      </c>
      <c r="AK1840" t="s">
        <v>46</v>
      </c>
      <c r="AL1840" s="1">
        <v>44816.552291666667</v>
      </c>
      <c r="AM1840" t="s">
        <v>44</v>
      </c>
    </row>
    <row r="1841" spans="1:39" x14ac:dyDescent="0.2">
      <c r="A1841" t="s">
        <v>1814</v>
      </c>
      <c r="B1841" t="s">
        <v>40</v>
      </c>
      <c r="C1841" t="s">
        <v>1807</v>
      </c>
      <c r="D1841" t="s">
        <v>42</v>
      </c>
      <c r="E1841" t="s">
        <v>43</v>
      </c>
      <c r="F1841" t="s">
        <v>44</v>
      </c>
      <c r="G1841" t="s">
        <v>45</v>
      </c>
      <c r="AH1841" t="s">
        <v>42</v>
      </c>
      <c r="AI1841" t="str">
        <f>"66298851842980"</f>
        <v>66298851842980</v>
      </c>
      <c r="AJ1841" t="str">
        <f>"02K219"</f>
        <v>02K219</v>
      </c>
      <c r="AK1841" t="s">
        <v>46</v>
      </c>
      <c r="AL1841" s="1">
        <v>44816.552291666667</v>
      </c>
      <c r="AM1841" t="s">
        <v>44</v>
      </c>
    </row>
    <row r="1842" spans="1:39" x14ac:dyDescent="0.2">
      <c r="A1842" t="s">
        <v>1815</v>
      </c>
      <c r="B1842" t="s">
        <v>40</v>
      </c>
      <c r="C1842" t="s">
        <v>1807</v>
      </c>
      <c r="D1842" t="s">
        <v>42</v>
      </c>
      <c r="E1842" t="s">
        <v>43</v>
      </c>
      <c r="F1842" t="s">
        <v>44</v>
      </c>
      <c r="G1842" t="s">
        <v>45</v>
      </c>
      <c r="AH1842" t="s">
        <v>42</v>
      </c>
      <c r="AI1842" t="str">
        <f>"66298851883661"</f>
        <v>66298851883661</v>
      </c>
      <c r="AJ1842" t="str">
        <f>"02K290"</f>
        <v>02K290</v>
      </c>
      <c r="AK1842" t="s">
        <v>46</v>
      </c>
      <c r="AL1842" s="1">
        <v>44816.552291666667</v>
      </c>
      <c r="AM1842" t="s">
        <v>44</v>
      </c>
    </row>
    <row r="1843" spans="1:39" x14ac:dyDescent="0.2">
      <c r="A1843" t="s">
        <v>1816</v>
      </c>
      <c r="B1843" t="s">
        <v>40</v>
      </c>
      <c r="C1843" t="s">
        <v>1807</v>
      </c>
      <c r="D1843" t="s">
        <v>42</v>
      </c>
      <c r="E1843" t="s">
        <v>43</v>
      </c>
      <c r="F1843" t="s">
        <v>44</v>
      </c>
      <c r="G1843" t="s">
        <v>45</v>
      </c>
      <c r="AH1843" t="s">
        <v>42</v>
      </c>
      <c r="AI1843" t="str">
        <f>"03M520LA"</f>
        <v>03M520LA</v>
      </c>
      <c r="AJ1843" t="str">
        <f>"03M520LA"</f>
        <v>03M520LA</v>
      </c>
      <c r="AK1843" t="s">
        <v>46</v>
      </c>
      <c r="AL1843" s="1">
        <v>45085.800532407404</v>
      </c>
      <c r="AM1843" t="s">
        <v>44</v>
      </c>
    </row>
    <row r="1844" spans="1:39" x14ac:dyDescent="0.2">
      <c r="A1844" t="s">
        <v>1817</v>
      </c>
      <c r="B1844" t="s">
        <v>40</v>
      </c>
      <c r="C1844" t="s">
        <v>1807</v>
      </c>
      <c r="D1844" t="s">
        <v>42</v>
      </c>
      <c r="E1844" t="s">
        <v>43</v>
      </c>
      <c r="F1844" t="s">
        <v>44</v>
      </c>
      <c r="G1844" t="s">
        <v>45</v>
      </c>
      <c r="AH1844" t="s">
        <v>42</v>
      </c>
      <c r="AI1844" t="str">
        <f>"U004"</f>
        <v>U004</v>
      </c>
      <c r="AJ1844" t="str">
        <f>"U004"</f>
        <v>U004</v>
      </c>
      <c r="AK1844" t="s">
        <v>46</v>
      </c>
      <c r="AL1844" s="1">
        <v>44816.552303240744</v>
      </c>
      <c r="AM1844" t="s">
        <v>44</v>
      </c>
    </row>
    <row r="1845" spans="1:39" x14ac:dyDescent="0.2">
      <c r="A1845" t="s">
        <v>1818</v>
      </c>
      <c r="B1845" t="s">
        <v>40</v>
      </c>
      <c r="C1845" t="s">
        <v>1807</v>
      </c>
      <c r="D1845" t="s">
        <v>42</v>
      </c>
      <c r="E1845" t="s">
        <v>43</v>
      </c>
      <c r="F1845" t="s">
        <v>44</v>
      </c>
      <c r="G1845" t="s">
        <v>45</v>
      </c>
      <c r="AH1845" t="s">
        <v>42</v>
      </c>
      <c r="AI1845" t="str">
        <f>"66298851984807"</f>
        <v>66298851984807</v>
      </c>
      <c r="AJ1845" t="str">
        <f>"12251-KPF-900BR"</f>
        <v>12251-KPF-900BR</v>
      </c>
      <c r="AK1845" t="s">
        <v>46</v>
      </c>
      <c r="AL1845" s="1">
        <v>44816.552303240744</v>
      </c>
      <c r="AM1845" t="s">
        <v>44</v>
      </c>
    </row>
    <row r="1846" spans="1:39" x14ac:dyDescent="0.2">
      <c r="A1846" t="s">
        <v>1819</v>
      </c>
      <c r="B1846" t="s">
        <v>40</v>
      </c>
      <c r="C1846" t="s">
        <v>1807</v>
      </c>
      <c r="D1846" t="s">
        <v>42</v>
      </c>
      <c r="E1846" t="s">
        <v>43</v>
      </c>
      <c r="F1846" t="s">
        <v>44</v>
      </c>
      <c r="G1846" t="s">
        <v>45</v>
      </c>
      <c r="AH1846" t="s">
        <v>42</v>
      </c>
      <c r="AI1846" t="str">
        <f>"66298852029668"</f>
        <v>66298852029668</v>
      </c>
      <c r="AJ1846" t="str">
        <f>"03M326LA"</f>
        <v>03M326LA</v>
      </c>
      <c r="AK1846" t="s">
        <v>46</v>
      </c>
      <c r="AL1846" s="1">
        <v>44816.552314814813</v>
      </c>
      <c r="AM1846" t="s">
        <v>44</v>
      </c>
    </row>
    <row r="1847" spans="1:39" x14ac:dyDescent="0.2">
      <c r="A1847" t="s">
        <v>1820</v>
      </c>
      <c r="B1847" t="s">
        <v>40</v>
      </c>
      <c r="C1847" t="s">
        <v>1807</v>
      </c>
      <c r="D1847" t="s">
        <v>42</v>
      </c>
      <c r="E1847" t="s">
        <v>43</v>
      </c>
      <c r="F1847" t="s">
        <v>44</v>
      </c>
      <c r="G1847" t="s">
        <v>45</v>
      </c>
      <c r="AH1847" t="s">
        <v>42</v>
      </c>
      <c r="AI1847" t="str">
        <f>"66298852067227"</f>
        <v>66298852067227</v>
      </c>
      <c r="AJ1847" t="str">
        <f>"03M408LA"</f>
        <v>03M408LA</v>
      </c>
      <c r="AK1847" t="s">
        <v>46</v>
      </c>
      <c r="AL1847" s="1">
        <v>44816.552314814813</v>
      </c>
      <c r="AM1847" t="s">
        <v>44</v>
      </c>
    </row>
    <row r="1848" spans="1:39" x14ac:dyDescent="0.2">
      <c r="A1848" t="s">
        <v>1821</v>
      </c>
      <c r="B1848" t="s">
        <v>40</v>
      </c>
      <c r="C1848" t="s">
        <v>1807</v>
      </c>
      <c r="D1848" t="s">
        <v>42</v>
      </c>
      <c r="E1848" t="s">
        <v>43</v>
      </c>
      <c r="F1848" t="s">
        <v>44</v>
      </c>
      <c r="G1848" t="s">
        <v>45</v>
      </c>
      <c r="AH1848" t="s">
        <v>42</v>
      </c>
      <c r="AI1848" t="str">
        <f>"EM-ES-CB1"</f>
        <v>EM-ES-CB1</v>
      </c>
      <c r="AJ1848" t="str">
        <f>"EM-ES-CB1"</f>
        <v>EM-ES-CB1</v>
      </c>
      <c r="AK1848" t="s">
        <v>46</v>
      </c>
      <c r="AL1848" s="1">
        <v>44999.870428240742</v>
      </c>
      <c r="AM1848" t="s">
        <v>44</v>
      </c>
    </row>
    <row r="1849" spans="1:39" x14ac:dyDescent="0.2">
      <c r="A1849" t="s">
        <v>1822</v>
      </c>
      <c r="B1849" t="s">
        <v>40</v>
      </c>
      <c r="C1849" t="s">
        <v>1807</v>
      </c>
      <c r="D1849" t="s">
        <v>42</v>
      </c>
      <c r="E1849" t="s">
        <v>43</v>
      </c>
      <c r="F1849" t="s">
        <v>44</v>
      </c>
      <c r="G1849" t="s">
        <v>45</v>
      </c>
      <c r="AH1849" t="s">
        <v>42</v>
      </c>
      <c r="AI1849" t="str">
        <f>"66298852115506"</f>
        <v>66298852115506</v>
      </c>
      <c r="AJ1849" t="str">
        <f>"DM-E-00023"</f>
        <v>DM-E-00023</v>
      </c>
      <c r="AK1849" t="s">
        <v>46</v>
      </c>
      <c r="AL1849" s="1">
        <v>44816.55232638889</v>
      </c>
      <c r="AM1849" t="s">
        <v>44</v>
      </c>
    </row>
    <row r="1850" spans="1:39" x14ac:dyDescent="0.2">
      <c r="A1850" t="s">
        <v>1822</v>
      </c>
      <c r="B1850" t="s">
        <v>40</v>
      </c>
      <c r="C1850" t="s">
        <v>1807</v>
      </c>
      <c r="D1850" t="s">
        <v>42</v>
      </c>
      <c r="E1850" t="s">
        <v>43</v>
      </c>
      <c r="F1850" t="s">
        <v>44</v>
      </c>
      <c r="G1850" t="s">
        <v>45</v>
      </c>
      <c r="AH1850" t="s">
        <v>42</v>
      </c>
      <c r="AI1850" t="str">
        <f>"66298852122804"</f>
        <v>66298852122804</v>
      </c>
      <c r="AJ1850" t="str">
        <f>"C022"</f>
        <v>C022</v>
      </c>
      <c r="AK1850" t="s">
        <v>46</v>
      </c>
      <c r="AL1850" s="1">
        <v>44816.55232638889</v>
      </c>
      <c r="AM1850" t="s">
        <v>44</v>
      </c>
    </row>
    <row r="1851" spans="1:39" x14ac:dyDescent="0.2">
      <c r="A1851" t="s">
        <v>1822</v>
      </c>
      <c r="B1851" t="s">
        <v>40</v>
      </c>
      <c r="C1851" t="s">
        <v>1807</v>
      </c>
      <c r="D1851" t="s">
        <v>42</v>
      </c>
      <c r="E1851" t="s">
        <v>43</v>
      </c>
      <c r="F1851" t="s">
        <v>44</v>
      </c>
      <c r="G1851" t="s">
        <v>45</v>
      </c>
      <c r="AH1851" t="s">
        <v>42</v>
      </c>
      <c r="AI1851" t="str">
        <f>"66298852132980"</f>
        <v>66298852132980</v>
      </c>
      <c r="AJ1851" t="str">
        <f>"TK006"</f>
        <v>TK006</v>
      </c>
      <c r="AK1851" t="s">
        <v>46</v>
      </c>
      <c r="AL1851" s="1">
        <v>44816.55232638889</v>
      </c>
      <c r="AM1851" t="s">
        <v>44</v>
      </c>
    </row>
    <row r="1852" spans="1:39" x14ac:dyDescent="0.2">
      <c r="A1852" t="s">
        <v>1823</v>
      </c>
      <c r="B1852" t="s">
        <v>40</v>
      </c>
      <c r="C1852" t="s">
        <v>1807</v>
      </c>
      <c r="D1852" t="s">
        <v>42</v>
      </c>
      <c r="E1852" t="s">
        <v>43</v>
      </c>
      <c r="F1852" t="s">
        <v>44</v>
      </c>
      <c r="G1852" t="s">
        <v>45</v>
      </c>
      <c r="AH1852" t="s">
        <v>42</v>
      </c>
      <c r="AI1852" t="str">
        <f>"66298852198415"</f>
        <v>66298852198415</v>
      </c>
      <c r="AJ1852" t="str">
        <f>"11191-383-000"</f>
        <v>11191-383-000</v>
      </c>
      <c r="AK1852" t="s">
        <v>46</v>
      </c>
      <c r="AL1852" s="1">
        <v>44816.55232638889</v>
      </c>
      <c r="AM1852" t="s">
        <v>44</v>
      </c>
    </row>
    <row r="1853" spans="1:39" x14ac:dyDescent="0.2">
      <c r="A1853" t="s">
        <v>1824</v>
      </c>
      <c r="B1853" t="s">
        <v>40</v>
      </c>
      <c r="C1853" t="s">
        <v>1807</v>
      </c>
      <c r="D1853" t="s">
        <v>42</v>
      </c>
      <c r="E1853" t="s">
        <v>43</v>
      </c>
      <c r="F1853" t="s">
        <v>44</v>
      </c>
      <c r="G1853" t="s">
        <v>45</v>
      </c>
      <c r="AH1853" t="s">
        <v>42</v>
      </c>
      <c r="AI1853" t="str">
        <f>"S4VS270008044"</f>
        <v>S4VS270008044</v>
      </c>
      <c r="AJ1853" t="str">
        <f>"S4VS270008044"</f>
        <v>S4VS270008044</v>
      </c>
      <c r="AK1853" t="s">
        <v>46</v>
      </c>
      <c r="AL1853" s="1">
        <v>44905.567557870374</v>
      </c>
      <c r="AM1853" t="s">
        <v>44</v>
      </c>
    </row>
    <row r="1854" spans="1:39" x14ac:dyDescent="0.2">
      <c r="A1854" t="s">
        <v>1825</v>
      </c>
      <c r="B1854" t="s">
        <v>40</v>
      </c>
      <c r="C1854" t="s">
        <v>1807</v>
      </c>
      <c r="D1854" t="s">
        <v>42</v>
      </c>
      <c r="E1854" t="s">
        <v>43</v>
      </c>
      <c r="F1854" t="s">
        <v>44</v>
      </c>
      <c r="G1854" t="s">
        <v>45</v>
      </c>
      <c r="AH1854" t="s">
        <v>42</v>
      </c>
      <c r="AI1854" t="str">
        <f>"VS10003090183"</f>
        <v>VS10003090183</v>
      </c>
      <c r="AJ1854" t="str">
        <f>"VS10003090183"</f>
        <v>VS10003090183</v>
      </c>
      <c r="AK1854" t="s">
        <v>46</v>
      </c>
      <c r="AL1854" s="1">
        <v>44905.571238425924</v>
      </c>
      <c r="AM1854" t="s">
        <v>44</v>
      </c>
    </row>
    <row r="1855" spans="1:39" x14ac:dyDescent="0.2">
      <c r="A1855" t="s">
        <v>1826</v>
      </c>
      <c r="B1855" t="s">
        <v>40</v>
      </c>
      <c r="C1855" t="s">
        <v>1807</v>
      </c>
      <c r="D1855" t="s">
        <v>42</v>
      </c>
      <c r="E1855" t="s">
        <v>43</v>
      </c>
      <c r="F1855" t="s">
        <v>44</v>
      </c>
      <c r="G1855" t="s">
        <v>45</v>
      </c>
      <c r="AH1855" t="s">
        <v>42</v>
      </c>
      <c r="AI1855" t="str">
        <f>"66298852235840"</f>
        <v>66298852235840</v>
      </c>
      <c r="AJ1855" t="str">
        <f>"01P104"</f>
        <v>01P104</v>
      </c>
      <c r="AK1855" t="s">
        <v>46</v>
      </c>
      <c r="AL1855" s="1">
        <v>44816.552337962959</v>
      </c>
      <c r="AM1855" t="s">
        <v>44</v>
      </c>
    </row>
    <row r="1856" spans="1:39" x14ac:dyDescent="0.2">
      <c r="A1856" t="s">
        <v>1827</v>
      </c>
      <c r="B1856" t="s">
        <v>40</v>
      </c>
      <c r="C1856" t="s">
        <v>1807</v>
      </c>
      <c r="D1856" t="s">
        <v>42</v>
      </c>
      <c r="E1856" t="s">
        <v>43</v>
      </c>
      <c r="F1856" t="s">
        <v>44</v>
      </c>
      <c r="G1856" t="s">
        <v>45</v>
      </c>
      <c r="AH1856" t="s">
        <v>42</v>
      </c>
      <c r="AI1856" t="str">
        <f>"VS05003000263U"</f>
        <v>VS05003000263U</v>
      </c>
      <c r="AJ1856" t="str">
        <f>"VS05003000263U"</f>
        <v>VS05003000263U</v>
      </c>
      <c r="AK1856" t="s">
        <v>46</v>
      </c>
      <c r="AL1856" s="1">
        <v>44900.864699074074</v>
      </c>
      <c r="AM1856" t="s">
        <v>44</v>
      </c>
    </row>
    <row r="1857" spans="1:39" x14ac:dyDescent="0.2">
      <c r="A1857" t="s">
        <v>1828</v>
      </c>
      <c r="B1857" t="s">
        <v>40</v>
      </c>
      <c r="C1857" t="s">
        <v>1807</v>
      </c>
      <c r="D1857" t="s">
        <v>42</v>
      </c>
      <c r="E1857" t="s">
        <v>43</v>
      </c>
      <c r="F1857" t="s">
        <v>44</v>
      </c>
      <c r="G1857" t="s">
        <v>45</v>
      </c>
      <c r="AH1857" t="s">
        <v>42</v>
      </c>
      <c r="AI1857" t="str">
        <f>"VS05003000195U"</f>
        <v>VS05003000195U</v>
      </c>
      <c r="AJ1857" t="str">
        <f>"VS05003000195U"</f>
        <v>VS05003000195U</v>
      </c>
      <c r="AK1857" t="s">
        <v>46</v>
      </c>
      <c r="AL1857" s="1">
        <v>44904.854259259257</v>
      </c>
      <c r="AM1857" t="s">
        <v>44</v>
      </c>
    </row>
    <row r="1858" spans="1:39" x14ac:dyDescent="0.2">
      <c r="A1858" t="s">
        <v>1829</v>
      </c>
      <c r="B1858" t="s">
        <v>40</v>
      </c>
      <c r="C1858" t="s">
        <v>1807</v>
      </c>
      <c r="D1858" t="s">
        <v>42</v>
      </c>
      <c r="E1858" t="s">
        <v>43</v>
      </c>
      <c r="F1858" t="s">
        <v>44</v>
      </c>
      <c r="G1858" t="s">
        <v>45</v>
      </c>
      <c r="AH1858" t="s">
        <v>42</v>
      </c>
      <c r="AI1858" t="str">
        <f>"66298852274483"</f>
        <v>66298852274483</v>
      </c>
      <c r="AJ1858" t="str">
        <f>"11394-KCY-671"</f>
        <v>11394-KCY-671</v>
      </c>
      <c r="AK1858" t="s">
        <v>46</v>
      </c>
      <c r="AL1858" s="1">
        <v>44816.552337962959</v>
      </c>
      <c r="AM1858" t="s">
        <v>44</v>
      </c>
    </row>
    <row r="1859" spans="1:39" x14ac:dyDescent="0.2">
      <c r="A1859" t="s">
        <v>1830</v>
      </c>
      <c r="B1859" t="s">
        <v>40</v>
      </c>
      <c r="C1859" t="s">
        <v>1807</v>
      </c>
      <c r="D1859" t="s">
        <v>42</v>
      </c>
      <c r="E1859" t="s">
        <v>43</v>
      </c>
      <c r="F1859" t="s">
        <v>44</v>
      </c>
      <c r="G1859" t="s">
        <v>45</v>
      </c>
      <c r="AH1859" t="s">
        <v>42</v>
      </c>
      <c r="AI1859" t="str">
        <f>"66298852320486"</f>
        <v>66298852320486</v>
      </c>
      <c r="AJ1859" t="str">
        <f>"01P174"</f>
        <v>01P174</v>
      </c>
      <c r="AK1859" t="s">
        <v>46</v>
      </c>
      <c r="AL1859" s="1">
        <v>44816.552349537036</v>
      </c>
      <c r="AM1859" t="s">
        <v>44</v>
      </c>
    </row>
    <row r="1860" spans="1:39" x14ac:dyDescent="0.2">
      <c r="A1860" t="s">
        <v>1831</v>
      </c>
      <c r="B1860" t="s">
        <v>40</v>
      </c>
      <c r="C1860" t="s">
        <v>1807</v>
      </c>
      <c r="D1860" t="s">
        <v>42</v>
      </c>
      <c r="E1860" t="s">
        <v>43</v>
      </c>
      <c r="F1860" t="s">
        <v>44</v>
      </c>
      <c r="G1860" t="s">
        <v>45</v>
      </c>
      <c r="AH1860" t="s">
        <v>42</v>
      </c>
      <c r="AI1860" t="str">
        <f>"66298852362247"</f>
        <v>66298852362247</v>
      </c>
      <c r="AJ1860" t="str">
        <f>"01P177"</f>
        <v>01P177</v>
      </c>
      <c r="AK1860" t="s">
        <v>46</v>
      </c>
      <c r="AL1860" s="1">
        <v>44816.552349537036</v>
      </c>
      <c r="AM1860" t="s">
        <v>44</v>
      </c>
    </row>
    <row r="1861" spans="1:39" x14ac:dyDescent="0.2">
      <c r="A1861" t="s">
        <v>1832</v>
      </c>
      <c r="B1861" t="s">
        <v>40</v>
      </c>
      <c r="C1861" t="s">
        <v>1807</v>
      </c>
      <c r="D1861" t="s">
        <v>42</v>
      </c>
      <c r="E1861" t="s">
        <v>43</v>
      </c>
      <c r="F1861" t="s">
        <v>44</v>
      </c>
      <c r="G1861" t="s">
        <v>45</v>
      </c>
      <c r="AH1861" t="s">
        <v>42</v>
      </c>
      <c r="AI1861" t="str">
        <f>"66298852402498"</f>
        <v>66298852402498</v>
      </c>
      <c r="AJ1861" t="str">
        <f>"05X179"</f>
        <v>05X179</v>
      </c>
      <c r="AK1861" t="s">
        <v>46</v>
      </c>
      <c r="AL1861" s="1">
        <v>44816.552361111113</v>
      </c>
      <c r="AM1861" t="s">
        <v>44</v>
      </c>
    </row>
    <row r="1862" spans="1:39" x14ac:dyDescent="0.2">
      <c r="A1862" t="s">
        <v>1833</v>
      </c>
      <c r="B1862" t="s">
        <v>40</v>
      </c>
      <c r="C1862" t="s">
        <v>1807</v>
      </c>
      <c r="D1862" t="s">
        <v>42</v>
      </c>
      <c r="E1862" t="s">
        <v>43</v>
      </c>
      <c r="F1862" t="s">
        <v>44</v>
      </c>
      <c r="G1862" t="s">
        <v>45</v>
      </c>
      <c r="AH1862" t="s">
        <v>42</v>
      </c>
      <c r="AI1862" t="str">
        <f>"VS05004000015U"</f>
        <v>VS05004000015U</v>
      </c>
      <c r="AJ1862" t="str">
        <f>"VS05004000015U"</f>
        <v>VS05004000015U</v>
      </c>
      <c r="AK1862" t="s">
        <v>46</v>
      </c>
      <c r="AL1862" s="1">
        <v>44904.836585648147</v>
      </c>
      <c r="AM1862" t="s">
        <v>44</v>
      </c>
    </row>
    <row r="1863" spans="1:39" x14ac:dyDescent="0.2">
      <c r="A1863" t="s">
        <v>1834</v>
      </c>
      <c r="B1863" t="s">
        <v>40</v>
      </c>
      <c r="C1863" t="s">
        <v>1807</v>
      </c>
      <c r="D1863" t="s">
        <v>42</v>
      </c>
      <c r="E1863" t="s">
        <v>43</v>
      </c>
      <c r="F1863" t="s">
        <v>44</v>
      </c>
      <c r="G1863" t="s">
        <v>45</v>
      </c>
      <c r="AH1863" t="s">
        <v>42</v>
      </c>
      <c r="AI1863" t="str">
        <f>"S4VS270017003"</f>
        <v>S4VS270017003</v>
      </c>
      <c r="AJ1863" t="str">
        <f>"S4VS270017003"</f>
        <v>S4VS270017003</v>
      </c>
      <c r="AK1863" t="s">
        <v>46</v>
      </c>
      <c r="AL1863" s="1">
        <v>44904.840891203705</v>
      </c>
      <c r="AM1863" t="s">
        <v>44</v>
      </c>
    </row>
    <row r="1864" spans="1:39" x14ac:dyDescent="0.2">
      <c r="A1864" t="s">
        <v>1835</v>
      </c>
      <c r="B1864" t="s">
        <v>40</v>
      </c>
      <c r="C1864" t="s">
        <v>1807</v>
      </c>
      <c r="D1864" t="s">
        <v>42</v>
      </c>
      <c r="E1864" t="s">
        <v>43</v>
      </c>
      <c r="F1864" t="s">
        <v>44</v>
      </c>
      <c r="G1864" t="s">
        <v>45</v>
      </c>
      <c r="AH1864" t="s">
        <v>42</v>
      </c>
      <c r="AI1864" t="str">
        <f>"66298852442709"</f>
        <v>66298852442709</v>
      </c>
      <c r="AJ1864" t="str">
        <f>"05X177"</f>
        <v>05X177</v>
      </c>
      <c r="AK1864" t="s">
        <v>46</v>
      </c>
      <c r="AL1864" s="1">
        <v>44816.552361111113</v>
      </c>
      <c r="AM1864" t="s">
        <v>44</v>
      </c>
    </row>
    <row r="1865" spans="1:39" x14ac:dyDescent="0.2">
      <c r="A1865" t="s">
        <v>1836</v>
      </c>
      <c r="B1865" t="s">
        <v>40</v>
      </c>
      <c r="C1865" t="s">
        <v>1807</v>
      </c>
      <c r="D1865" t="s">
        <v>42</v>
      </c>
      <c r="E1865" t="s">
        <v>43</v>
      </c>
      <c r="F1865" t="s">
        <v>44</v>
      </c>
      <c r="G1865" t="s">
        <v>45</v>
      </c>
      <c r="AH1865" t="s">
        <v>42</v>
      </c>
      <c r="AI1865" t="str">
        <f>"66298852486114"</f>
        <v>66298852486114</v>
      </c>
      <c r="AJ1865" t="str">
        <f>"05X180"</f>
        <v>05X180</v>
      </c>
      <c r="AK1865" t="s">
        <v>46</v>
      </c>
      <c r="AL1865" s="1">
        <v>44816.552361111113</v>
      </c>
      <c r="AM1865" t="s">
        <v>44</v>
      </c>
    </row>
    <row r="1866" spans="1:39" x14ac:dyDescent="0.2">
      <c r="A1866" t="s">
        <v>1837</v>
      </c>
      <c r="B1866" t="s">
        <v>40</v>
      </c>
      <c r="C1866" t="s">
        <v>1807</v>
      </c>
      <c r="D1866" t="s">
        <v>42</v>
      </c>
      <c r="E1866" t="s">
        <v>43</v>
      </c>
      <c r="F1866" t="s">
        <v>44</v>
      </c>
      <c r="G1866" t="s">
        <v>45</v>
      </c>
      <c r="AH1866" t="s">
        <v>42</v>
      </c>
      <c r="AI1866" t="str">
        <f>"VS05004000264U"</f>
        <v>VS05004000264U</v>
      </c>
      <c r="AJ1866" t="str">
        <f>"VS05004000264U"</f>
        <v>VS05004000264U</v>
      </c>
      <c r="AK1866" t="s">
        <v>46</v>
      </c>
      <c r="AL1866" s="1">
        <v>44900.857129629629</v>
      </c>
      <c r="AM1866" t="s">
        <v>44</v>
      </c>
    </row>
    <row r="1867" spans="1:39" x14ac:dyDescent="0.2">
      <c r="A1867" t="s">
        <v>1838</v>
      </c>
      <c r="B1867" t="s">
        <v>40</v>
      </c>
      <c r="C1867" t="s">
        <v>1807</v>
      </c>
      <c r="D1867" t="s">
        <v>42</v>
      </c>
      <c r="E1867" t="s">
        <v>43</v>
      </c>
      <c r="F1867" t="s">
        <v>44</v>
      </c>
      <c r="G1867" t="s">
        <v>45</v>
      </c>
      <c r="AH1867" t="s">
        <v>42</v>
      </c>
      <c r="AI1867" t="str">
        <f>"66298852527321"</f>
        <v>66298852527321</v>
      </c>
      <c r="AJ1867" t="str">
        <f>"05X076"</f>
        <v>05X076</v>
      </c>
      <c r="AK1867" t="s">
        <v>46</v>
      </c>
      <c r="AL1867" s="1">
        <v>44816.552372685182</v>
      </c>
      <c r="AM1867" t="s">
        <v>44</v>
      </c>
    </row>
    <row r="1868" spans="1:39" x14ac:dyDescent="0.2">
      <c r="A1868" t="s">
        <v>1839</v>
      </c>
      <c r="B1868" t="s">
        <v>40</v>
      </c>
      <c r="C1868" t="s">
        <v>1807</v>
      </c>
      <c r="D1868" t="s">
        <v>42</v>
      </c>
      <c r="E1868" t="s">
        <v>43</v>
      </c>
      <c r="F1868" t="s">
        <v>44</v>
      </c>
      <c r="G1868" t="s">
        <v>45</v>
      </c>
      <c r="AH1868" t="s">
        <v>42</v>
      </c>
      <c r="AI1868" t="str">
        <f>"VS05004000193U"</f>
        <v>VS05004000193U</v>
      </c>
      <c r="AJ1868" t="str">
        <f>"VS05004000193U"</f>
        <v>VS05004000193U</v>
      </c>
      <c r="AK1868" t="s">
        <v>46</v>
      </c>
      <c r="AL1868" s="1">
        <v>44900.840451388889</v>
      </c>
      <c r="AM1868" t="s">
        <v>44</v>
      </c>
    </row>
    <row r="1869" spans="1:39" x14ac:dyDescent="0.2">
      <c r="A1869" t="s">
        <v>1840</v>
      </c>
      <c r="B1869" t="s">
        <v>40</v>
      </c>
      <c r="C1869" t="s">
        <v>1807</v>
      </c>
      <c r="D1869" t="s">
        <v>42</v>
      </c>
      <c r="E1869" t="s">
        <v>43</v>
      </c>
      <c r="F1869" t="s">
        <v>44</v>
      </c>
      <c r="G1869" t="s">
        <v>45</v>
      </c>
      <c r="AH1869" t="s">
        <v>42</v>
      </c>
      <c r="AI1869" t="str">
        <f>"VS05004000004U"</f>
        <v>VS05004000004U</v>
      </c>
      <c r="AJ1869" t="str">
        <f>"VS05004000004U"</f>
        <v>VS05004000004U</v>
      </c>
      <c r="AK1869" t="s">
        <v>46</v>
      </c>
      <c r="AL1869" s="1">
        <v>44905.568807870368</v>
      </c>
      <c r="AM1869" t="s">
        <v>44</v>
      </c>
    </row>
    <row r="1870" spans="1:39" x14ac:dyDescent="0.2">
      <c r="A1870" t="s">
        <v>1841</v>
      </c>
      <c r="B1870" t="s">
        <v>40</v>
      </c>
      <c r="C1870" t="s">
        <v>1807</v>
      </c>
      <c r="D1870" t="s">
        <v>42</v>
      </c>
      <c r="E1870" t="s">
        <v>43</v>
      </c>
      <c r="F1870" t="s">
        <v>44</v>
      </c>
      <c r="G1870" t="s">
        <v>45</v>
      </c>
      <c r="AH1870" t="s">
        <v>42</v>
      </c>
      <c r="AI1870" t="str">
        <f>"66298852567142"</f>
        <v>66298852567142</v>
      </c>
      <c r="AJ1870" t="str">
        <f>"DF053"</f>
        <v>DF053</v>
      </c>
      <c r="AK1870" t="s">
        <v>46</v>
      </c>
      <c r="AL1870" s="1">
        <v>44816.552372685182</v>
      </c>
      <c r="AM1870" t="s">
        <v>44</v>
      </c>
    </row>
    <row r="1871" spans="1:39" x14ac:dyDescent="0.2">
      <c r="A1871" t="s">
        <v>1842</v>
      </c>
      <c r="B1871" t="s">
        <v>40</v>
      </c>
      <c r="C1871" t="s">
        <v>1807</v>
      </c>
      <c r="D1871" t="s">
        <v>42</v>
      </c>
      <c r="E1871" t="s">
        <v>43</v>
      </c>
      <c r="F1871" t="s">
        <v>44</v>
      </c>
      <c r="G1871" t="s">
        <v>45</v>
      </c>
      <c r="AH1871" t="s">
        <v>42</v>
      </c>
      <c r="AI1871" t="str">
        <f>"VE05016001045"</f>
        <v>VE05016001045</v>
      </c>
      <c r="AJ1871" t="str">
        <f>"VE05016001045"</f>
        <v>VE05016001045</v>
      </c>
      <c r="AK1871" t="s">
        <v>46</v>
      </c>
      <c r="AL1871" s="1">
        <v>45006.884884259256</v>
      </c>
      <c r="AM1871" t="s">
        <v>44</v>
      </c>
    </row>
    <row r="1872" spans="1:39" x14ac:dyDescent="0.2">
      <c r="A1872" t="s">
        <v>1843</v>
      </c>
      <c r="B1872" t="s">
        <v>40</v>
      </c>
      <c r="C1872" t="s">
        <v>1807</v>
      </c>
      <c r="D1872" t="s">
        <v>42</v>
      </c>
      <c r="E1872" t="s">
        <v>43</v>
      </c>
      <c r="F1872" t="s">
        <v>44</v>
      </c>
      <c r="G1872" t="s">
        <v>45</v>
      </c>
      <c r="AH1872" t="s">
        <v>42</v>
      </c>
      <c r="AI1872" t="str">
        <f>"66298852605286"</f>
        <v>66298852605286</v>
      </c>
      <c r="AJ1872" t="str">
        <f>"DF017"</f>
        <v>DF017</v>
      </c>
      <c r="AK1872" t="s">
        <v>46</v>
      </c>
      <c r="AL1872" s="1">
        <v>44816.552384259259</v>
      </c>
      <c r="AM1872" t="s">
        <v>44</v>
      </c>
    </row>
    <row r="1873" spans="1:39" x14ac:dyDescent="0.2">
      <c r="A1873" t="s">
        <v>1844</v>
      </c>
      <c r="B1873" t="s">
        <v>40</v>
      </c>
      <c r="C1873" t="s">
        <v>1807</v>
      </c>
      <c r="D1873" t="s">
        <v>42</v>
      </c>
      <c r="E1873" t="s">
        <v>43</v>
      </c>
      <c r="F1873" t="s">
        <v>44</v>
      </c>
      <c r="G1873" t="s">
        <v>45</v>
      </c>
      <c r="AH1873" t="s">
        <v>42</v>
      </c>
      <c r="AI1873" t="str">
        <f>"VS53016511046"</f>
        <v>VS53016511046</v>
      </c>
      <c r="AJ1873" t="str">
        <f>"VS53016511046"</f>
        <v>VS53016511046</v>
      </c>
      <c r="AK1873" t="s">
        <v>46</v>
      </c>
      <c r="AL1873" s="1">
        <v>44902.769178240742</v>
      </c>
      <c r="AM1873" t="s">
        <v>44</v>
      </c>
    </row>
    <row r="1874" spans="1:39" x14ac:dyDescent="0.2">
      <c r="A1874" t="s">
        <v>1845</v>
      </c>
      <c r="B1874" t="s">
        <v>40</v>
      </c>
      <c r="C1874" t="s">
        <v>1807</v>
      </c>
      <c r="D1874" t="s">
        <v>42</v>
      </c>
      <c r="E1874" t="s">
        <v>43</v>
      </c>
      <c r="F1874" t="s">
        <v>44</v>
      </c>
      <c r="G1874" t="s">
        <v>45</v>
      </c>
      <c r="AH1874" t="s">
        <v>42</v>
      </c>
      <c r="AI1874" t="str">
        <f>"VE15016000150"</f>
        <v>VE15016000150</v>
      </c>
      <c r="AJ1874" t="str">
        <f>"VE15016000150"</f>
        <v>VE15016000150</v>
      </c>
      <c r="AK1874" t="s">
        <v>46</v>
      </c>
      <c r="AL1874" s="1">
        <v>44904.847488425927</v>
      </c>
      <c r="AM1874" t="s">
        <v>44</v>
      </c>
    </row>
    <row r="1875" spans="1:39" x14ac:dyDescent="0.2">
      <c r="A1875" t="s">
        <v>1845</v>
      </c>
      <c r="B1875" t="s">
        <v>40</v>
      </c>
      <c r="C1875" t="s">
        <v>1807</v>
      </c>
      <c r="D1875" t="s">
        <v>42</v>
      </c>
      <c r="E1875" t="s">
        <v>43</v>
      </c>
      <c r="F1875" t="s">
        <v>44</v>
      </c>
      <c r="G1875" t="s">
        <v>45</v>
      </c>
      <c r="AH1875" t="s">
        <v>42</v>
      </c>
      <c r="AI1875" t="str">
        <f>"17H328"</f>
        <v>17H328</v>
      </c>
      <c r="AJ1875" t="str">
        <f>"17H328"</f>
        <v>17H328</v>
      </c>
      <c r="AK1875" t="s">
        <v>46</v>
      </c>
      <c r="AL1875" s="1">
        <v>45072.700636574074</v>
      </c>
      <c r="AM1875" t="s">
        <v>44</v>
      </c>
    </row>
    <row r="1876" spans="1:39" x14ac:dyDescent="0.2">
      <c r="A1876" t="s">
        <v>1846</v>
      </c>
      <c r="B1876" t="s">
        <v>40</v>
      </c>
      <c r="C1876" t="s">
        <v>1807</v>
      </c>
      <c r="D1876" t="s">
        <v>42</v>
      </c>
      <c r="E1876" t="s">
        <v>43</v>
      </c>
      <c r="F1876" t="s">
        <v>44</v>
      </c>
      <c r="G1876" t="s">
        <v>45</v>
      </c>
      <c r="AH1876" t="s">
        <v>42</v>
      </c>
      <c r="AI1876" t="str">
        <f>"66298852649192"</f>
        <v>66298852649192</v>
      </c>
      <c r="AJ1876" t="str">
        <f>"17H115"</f>
        <v>17H115</v>
      </c>
      <c r="AK1876" t="s">
        <v>46</v>
      </c>
      <c r="AL1876" s="1">
        <v>44816.552384259259</v>
      </c>
      <c r="AM1876" t="s">
        <v>44</v>
      </c>
    </row>
    <row r="1877" spans="1:39" x14ac:dyDescent="0.2">
      <c r="A1877" t="s">
        <v>1847</v>
      </c>
      <c r="B1877" t="s">
        <v>40</v>
      </c>
      <c r="C1877" t="s">
        <v>1807</v>
      </c>
      <c r="D1877" t="s">
        <v>42</v>
      </c>
      <c r="E1877" t="s">
        <v>43</v>
      </c>
      <c r="F1877" t="s">
        <v>44</v>
      </c>
      <c r="G1877" t="s">
        <v>45</v>
      </c>
      <c r="AH1877" t="s">
        <v>42</v>
      </c>
      <c r="AI1877" t="str">
        <f>"66298852690812"</f>
        <v>66298852690812</v>
      </c>
      <c r="AJ1877" t="str">
        <f>"12391-MF5-750JP"</f>
        <v>12391-MF5-750JP</v>
      </c>
      <c r="AK1877" t="s">
        <v>46</v>
      </c>
      <c r="AL1877" s="1">
        <v>44816.552384259259</v>
      </c>
      <c r="AM1877" t="s">
        <v>44</v>
      </c>
    </row>
    <row r="1878" spans="1:39" x14ac:dyDescent="0.2">
      <c r="A1878" t="s">
        <v>1848</v>
      </c>
      <c r="B1878" t="s">
        <v>40</v>
      </c>
      <c r="C1878" t="s">
        <v>1807</v>
      </c>
      <c r="D1878" t="s">
        <v>42</v>
      </c>
      <c r="E1878" t="s">
        <v>43</v>
      </c>
      <c r="F1878" t="s">
        <v>44</v>
      </c>
      <c r="G1878" t="s">
        <v>45</v>
      </c>
      <c r="AH1878" t="s">
        <v>42</v>
      </c>
      <c r="AI1878" t="str">
        <f>"VE99016001091"</f>
        <v>VE99016001091</v>
      </c>
      <c r="AJ1878" t="str">
        <f>"VE99016001091"</f>
        <v>VE99016001091</v>
      </c>
      <c r="AK1878" t="s">
        <v>46</v>
      </c>
      <c r="AL1878" s="1">
        <v>44904.846192129633</v>
      </c>
      <c r="AM1878" t="s">
        <v>44</v>
      </c>
    </row>
    <row r="1879" spans="1:39" x14ac:dyDescent="0.2">
      <c r="A1879" t="s">
        <v>1849</v>
      </c>
      <c r="B1879" t="s">
        <v>40</v>
      </c>
      <c r="C1879" t="s">
        <v>1807</v>
      </c>
      <c r="D1879" t="s">
        <v>42</v>
      </c>
      <c r="E1879" t="s">
        <v>43</v>
      </c>
      <c r="F1879" t="s">
        <v>44</v>
      </c>
      <c r="G1879" t="s">
        <v>45</v>
      </c>
      <c r="AH1879" t="s">
        <v>42</v>
      </c>
      <c r="AI1879" t="str">
        <f>"VE05084000002"</f>
        <v>VE05084000002</v>
      </c>
      <c r="AJ1879" t="str">
        <f>"VE05084000002"</f>
        <v>VE05084000002</v>
      </c>
      <c r="AK1879" t="s">
        <v>46</v>
      </c>
      <c r="AL1879" s="1">
        <v>44905.569328703707</v>
      </c>
      <c r="AM1879" t="s">
        <v>44</v>
      </c>
    </row>
    <row r="1880" spans="1:39" x14ac:dyDescent="0.2">
      <c r="A1880" t="s">
        <v>1850</v>
      </c>
      <c r="B1880" t="s">
        <v>40</v>
      </c>
      <c r="C1880" t="s">
        <v>1807</v>
      </c>
      <c r="D1880" t="s">
        <v>42</v>
      </c>
      <c r="E1880" t="s">
        <v>43</v>
      </c>
      <c r="F1880" t="s">
        <v>44</v>
      </c>
      <c r="G1880" t="s">
        <v>45</v>
      </c>
      <c r="AH1880" t="s">
        <v>42</v>
      </c>
      <c r="AI1880" t="str">
        <f>"VE05084000003"</f>
        <v>VE05084000003</v>
      </c>
      <c r="AJ1880" t="str">
        <f>"VE05084000003"</f>
        <v>VE05084000003</v>
      </c>
      <c r="AK1880" t="s">
        <v>46</v>
      </c>
      <c r="AL1880" s="1">
        <v>44900.841967592591</v>
      </c>
      <c r="AM1880" t="s">
        <v>44</v>
      </c>
    </row>
    <row r="1881" spans="1:39" x14ac:dyDescent="0.2">
      <c r="A1881" t="s">
        <v>1851</v>
      </c>
      <c r="B1881" t="s">
        <v>40</v>
      </c>
      <c r="C1881" t="s">
        <v>1807</v>
      </c>
      <c r="D1881" t="s">
        <v>42</v>
      </c>
      <c r="E1881" t="s">
        <v>43</v>
      </c>
      <c r="F1881" t="s">
        <v>44</v>
      </c>
      <c r="G1881" t="s">
        <v>45</v>
      </c>
      <c r="AH1881" t="s">
        <v>42</v>
      </c>
      <c r="AI1881" t="str">
        <f>"VE05016000001"</f>
        <v>VE05016000001</v>
      </c>
      <c r="AJ1881" t="str">
        <f>"VE05016000001"</f>
        <v>VE05016000001</v>
      </c>
      <c r="AK1881" t="s">
        <v>46</v>
      </c>
      <c r="AL1881" s="1">
        <v>44900.856168981481</v>
      </c>
      <c r="AM1881" t="s">
        <v>44</v>
      </c>
    </row>
    <row r="1882" spans="1:39" x14ac:dyDescent="0.2">
      <c r="A1882" t="s">
        <v>1852</v>
      </c>
      <c r="B1882" t="s">
        <v>40</v>
      </c>
      <c r="C1882" t="s">
        <v>1807</v>
      </c>
      <c r="D1882" t="s">
        <v>42</v>
      </c>
      <c r="E1882" t="s">
        <v>43</v>
      </c>
      <c r="F1882" t="s">
        <v>44</v>
      </c>
      <c r="G1882" t="s">
        <v>45</v>
      </c>
      <c r="AH1882" t="s">
        <v>42</v>
      </c>
      <c r="AI1882" t="str">
        <f>"66298852730180"</f>
        <v>66298852730180</v>
      </c>
      <c r="AJ1882" t="str">
        <f>"755"</f>
        <v>755</v>
      </c>
      <c r="AK1882" t="s">
        <v>46</v>
      </c>
      <c r="AL1882" s="1">
        <v>44816.552395833336</v>
      </c>
      <c r="AM1882" t="s">
        <v>44</v>
      </c>
    </row>
    <row r="1883" spans="1:39" x14ac:dyDescent="0.2">
      <c r="A1883" t="s">
        <v>1853</v>
      </c>
      <c r="B1883" t="s">
        <v>40</v>
      </c>
      <c r="C1883" t="s">
        <v>1807</v>
      </c>
      <c r="D1883" t="s">
        <v>42</v>
      </c>
      <c r="E1883" t="s">
        <v>43</v>
      </c>
      <c r="F1883" t="s">
        <v>44</v>
      </c>
      <c r="G1883" t="s">
        <v>45</v>
      </c>
      <c r="AH1883" t="s">
        <v>42</v>
      </c>
      <c r="AI1883" t="str">
        <f>"66298852770230"</f>
        <v>66298852770230</v>
      </c>
      <c r="AJ1883" t="str">
        <f>"26T34SEV"</f>
        <v>26T34SEV</v>
      </c>
      <c r="AK1883" t="s">
        <v>46</v>
      </c>
      <c r="AL1883" s="1">
        <v>44816.552395833336</v>
      </c>
      <c r="AM1883" t="s">
        <v>44</v>
      </c>
    </row>
    <row r="1884" spans="1:39" x14ac:dyDescent="0.2">
      <c r="A1884" t="s">
        <v>1854</v>
      </c>
      <c r="B1884" t="s">
        <v>40</v>
      </c>
      <c r="C1884" t="s">
        <v>1807</v>
      </c>
      <c r="D1884" t="s">
        <v>42</v>
      </c>
      <c r="E1884" t="s">
        <v>43</v>
      </c>
      <c r="F1884" t="s">
        <v>44</v>
      </c>
      <c r="G1884" t="s">
        <v>45</v>
      </c>
      <c r="AH1884" t="s">
        <v>42</v>
      </c>
      <c r="AI1884" t="str">
        <f>"66298852812368"</f>
        <v>66298852812368</v>
      </c>
      <c r="AJ1884" t="str">
        <f>"20L35CSV"</f>
        <v>20L35CSV</v>
      </c>
      <c r="AK1884" t="s">
        <v>46</v>
      </c>
      <c r="AL1884" s="1">
        <v>44816.552407407406</v>
      </c>
      <c r="AM1884" t="s">
        <v>44</v>
      </c>
    </row>
    <row r="1885" spans="1:39" x14ac:dyDescent="0.2">
      <c r="A1885" t="s">
        <v>1855</v>
      </c>
      <c r="B1885" t="s">
        <v>40</v>
      </c>
      <c r="C1885" t="s">
        <v>1807</v>
      </c>
      <c r="D1885" t="s">
        <v>42</v>
      </c>
      <c r="E1885" t="s">
        <v>43</v>
      </c>
      <c r="F1885" t="s">
        <v>44</v>
      </c>
      <c r="G1885" t="s">
        <v>45</v>
      </c>
      <c r="AH1885" t="s">
        <v>42</v>
      </c>
      <c r="AI1885" t="str">
        <f>"66298852891526"</f>
        <v>66298852891526</v>
      </c>
      <c r="AJ1885" t="str">
        <f>"21L64SEV"</f>
        <v>21L64SEV</v>
      </c>
      <c r="AK1885" t="s">
        <v>46</v>
      </c>
      <c r="AL1885" s="1">
        <v>44816.552407407406</v>
      </c>
      <c r="AM1885" t="s">
        <v>44</v>
      </c>
    </row>
    <row r="1886" spans="1:39" x14ac:dyDescent="0.2">
      <c r="A1886" t="s">
        <v>1856</v>
      </c>
      <c r="B1886" t="s">
        <v>40</v>
      </c>
      <c r="C1886" t="s">
        <v>1807</v>
      </c>
      <c r="D1886" t="s">
        <v>42</v>
      </c>
      <c r="E1886" t="s">
        <v>43</v>
      </c>
      <c r="F1886" t="s">
        <v>44</v>
      </c>
      <c r="G1886" t="s">
        <v>45</v>
      </c>
      <c r="AH1886" t="s">
        <v>42</v>
      </c>
      <c r="AI1886" t="str">
        <f>"66298852855118"</f>
        <v>66298852855118</v>
      </c>
      <c r="AJ1886" t="str">
        <f>"21L57SEV"</f>
        <v>21L57SEV</v>
      </c>
      <c r="AK1886" t="s">
        <v>46</v>
      </c>
      <c r="AL1886" s="1">
        <v>44816.552407407406</v>
      </c>
      <c r="AM1886" t="s">
        <v>44</v>
      </c>
    </row>
    <row r="1887" spans="1:39" x14ac:dyDescent="0.2">
      <c r="A1887" t="s">
        <v>1857</v>
      </c>
      <c r="B1887" t="s">
        <v>40</v>
      </c>
      <c r="C1887" t="s">
        <v>1807</v>
      </c>
      <c r="D1887" t="s">
        <v>42</v>
      </c>
      <c r="E1887" t="s">
        <v>43</v>
      </c>
      <c r="F1887" t="s">
        <v>44</v>
      </c>
      <c r="G1887" t="s">
        <v>45</v>
      </c>
      <c r="AH1887" t="s">
        <v>42</v>
      </c>
      <c r="AI1887" t="str">
        <f>"66298852931614"</f>
        <v>66298852931614</v>
      </c>
      <c r="AJ1887" t="str">
        <f>"21L43SEV"</f>
        <v>21L43SEV</v>
      </c>
      <c r="AK1887" t="s">
        <v>46</v>
      </c>
      <c r="AL1887" s="1">
        <v>44816.552418981482</v>
      </c>
      <c r="AM1887" t="s">
        <v>44</v>
      </c>
    </row>
    <row r="1888" spans="1:39" x14ac:dyDescent="0.2">
      <c r="A1888" t="s">
        <v>1858</v>
      </c>
      <c r="B1888" t="s">
        <v>40</v>
      </c>
      <c r="C1888" t="s">
        <v>1807</v>
      </c>
      <c r="D1888" t="s">
        <v>42</v>
      </c>
      <c r="E1888" t="s">
        <v>43</v>
      </c>
      <c r="F1888" t="s">
        <v>44</v>
      </c>
      <c r="G1888" t="s">
        <v>45</v>
      </c>
      <c r="AH1888" t="s">
        <v>42</v>
      </c>
      <c r="AI1888" t="str">
        <f>"66298852973557"</f>
        <v>66298852973557</v>
      </c>
      <c r="AJ1888" t="str">
        <f>"21L43CSV"</f>
        <v>21L43CSV</v>
      </c>
      <c r="AK1888" t="s">
        <v>46</v>
      </c>
      <c r="AL1888" s="1">
        <v>44816.552418981482</v>
      </c>
      <c r="AM1888" t="s">
        <v>44</v>
      </c>
    </row>
    <row r="1889" spans="1:39" x14ac:dyDescent="0.2">
      <c r="A1889" t="s">
        <v>1859</v>
      </c>
      <c r="B1889" t="s">
        <v>40</v>
      </c>
      <c r="C1889" t="s">
        <v>1807</v>
      </c>
      <c r="D1889" t="s">
        <v>42</v>
      </c>
      <c r="E1889" t="s">
        <v>43</v>
      </c>
      <c r="F1889" t="s">
        <v>44</v>
      </c>
      <c r="G1889" t="s">
        <v>45</v>
      </c>
      <c r="AH1889" t="s">
        <v>42</v>
      </c>
      <c r="AI1889" t="str">
        <f>"66298853015299"</f>
        <v>66298853015299</v>
      </c>
      <c r="AJ1889" t="str">
        <f>"21L39SEV-1"</f>
        <v>21L39SEV-1</v>
      </c>
      <c r="AK1889" t="s">
        <v>46</v>
      </c>
      <c r="AL1889" s="1">
        <v>44816.552430555559</v>
      </c>
      <c r="AM1889" t="s">
        <v>44</v>
      </c>
    </row>
    <row r="1890" spans="1:39" x14ac:dyDescent="0.2">
      <c r="A1890" t="s">
        <v>1860</v>
      </c>
      <c r="B1890" t="s">
        <v>40</v>
      </c>
      <c r="C1890" t="s">
        <v>1807</v>
      </c>
      <c r="D1890" t="s">
        <v>42</v>
      </c>
      <c r="E1890" t="s">
        <v>43</v>
      </c>
      <c r="F1890" t="s">
        <v>44</v>
      </c>
      <c r="G1890" t="s">
        <v>45</v>
      </c>
      <c r="AH1890" t="s">
        <v>42</v>
      </c>
      <c r="AI1890" t="str">
        <f>"66298853053455"</f>
        <v>66298853053455</v>
      </c>
      <c r="AJ1890" t="str">
        <f>"21L51CSV"</f>
        <v>21L51CSV</v>
      </c>
      <c r="AK1890" t="s">
        <v>46</v>
      </c>
      <c r="AL1890" s="1">
        <v>44816.552430555559</v>
      </c>
      <c r="AM1890" t="s">
        <v>44</v>
      </c>
    </row>
    <row r="1891" spans="1:39" x14ac:dyDescent="0.2">
      <c r="A1891" t="s">
        <v>1861</v>
      </c>
      <c r="B1891" t="s">
        <v>40</v>
      </c>
      <c r="C1891" t="s">
        <v>1807</v>
      </c>
      <c r="D1891" t="s">
        <v>42</v>
      </c>
      <c r="E1891" t="s">
        <v>43</v>
      </c>
      <c r="F1891" t="s">
        <v>44</v>
      </c>
      <c r="G1891" t="s">
        <v>45</v>
      </c>
      <c r="AH1891" t="s">
        <v>42</v>
      </c>
      <c r="AI1891" t="str">
        <f>"B077"</f>
        <v>B077</v>
      </c>
      <c r="AJ1891" t="str">
        <f>"B077"</f>
        <v>B077</v>
      </c>
      <c r="AK1891" t="s">
        <v>46</v>
      </c>
      <c r="AL1891" s="1">
        <v>45092.714456018519</v>
      </c>
      <c r="AM1891" t="s">
        <v>44</v>
      </c>
    </row>
    <row r="1892" spans="1:39" x14ac:dyDescent="0.2">
      <c r="A1892" t="s">
        <v>1862</v>
      </c>
      <c r="B1892" t="s">
        <v>40</v>
      </c>
      <c r="C1892" t="s">
        <v>1807</v>
      </c>
      <c r="D1892" t="s">
        <v>42</v>
      </c>
      <c r="E1892" t="s">
        <v>43</v>
      </c>
      <c r="F1892" t="s">
        <v>44</v>
      </c>
      <c r="G1892" t="s">
        <v>45</v>
      </c>
      <c r="AH1892" t="s">
        <v>42</v>
      </c>
      <c r="AI1892" t="str">
        <f>"66298853095534"</f>
        <v>66298853095534</v>
      </c>
      <c r="AJ1892" t="str">
        <f>"21L28SEV"</f>
        <v>21L28SEV</v>
      </c>
      <c r="AK1892" t="s">
        <v>46</v>
      </c>
      <c r="AL1892" s="1">
        <v>44816.552430555559</v>
      </c>
      <c r="AM1892" t="s">
        <v>44</v>
      </c>
    </row>
    <row r="1893" spans="1:39" x14ac:dyDescent="0.2">
      <c r="A1893" t="s">
        <v>1863</v>
      </c>
      <c r="B1893" t="s">
        <v>40</v>
      </c>
      <c r="C1893" t="s">
        <v>1807</v>
      </c>
      <c r="D1893" t="s">
        <v>42</v>
      </c>
      <c r="E1893" t="s">
        <v>43</v>
      </c>
      <c r="F1893" t="s">
        <v>44</v>
      </c>
      <c r="G1893" t="s">
        <v>45</v>
      </c>
      <c r="AH1893" t="s">
        <v>42</v>
      </c>
      <c r="AI1893" t="str">
        <f>"DF002"</f>
        <v>DF002</v>
      </c>
      <c r="AJ1893" t="str">
        <f>"DF002"</f>
        <v>DF002</v>
      </c>
      <c r="AK1893" t="s">
        <v>46</v>
      </c>
      <c r="AL1893" s="1">
        <v>45092.825798611113</v>
      </c>
      <c r="AM1893" t="s">
        <v>44</v>
      </c>
    </row>
    <row r="1894" spans="1:39" x14ac:dyDescent="0.2">
      <c r="A1894" t="s">
        <v>1864</v>
      </c>
      <c r="B1894" t="s">
        <v>40</v>
      </c>
      <c r="C1894" t="s">
        <v>1807</v>
      </c>
      <c r="D1894" t="s">
        <v>42</v>
      </c>
      <c r="E1894" t="s">
        <v>43</v>
      </c>
      <c r="F1894" t="s">
        <v>44</v>
      </c>
      <c r="G1894" t="s">
        <v>45</v>
      </c>
      <c r="AH1894" t="s">
        <v>42</v>
      </c>
      <c r="AI1894" t="str">
        <f>"66298853138973"</f>
        <v>66298853138973</v>
      </c>
      <c r="AJ1894" t="str">
        <f>"21L36SEV-1"</f>
        <v>21L36SEV-1</v>
      </c>
      <c r="AK1894" t="s">
        <v>46</v>
      </c>
      <c r="AL1894" s="1">
        <v>44816.552442129629</v>
      </c>
      <c r="AM1894" t="s">
        <v>44</v>
      </c>
    </row>
    <row r="1895" spans="1:39" x14ac:dyDescent="0.2">
      <c r="A1895" t="s">
        <v>1864</v>
      </c>
      <c r="B1895" t="s">
        <v>40</v>
      </c>
      <c r="C1895" t="s">
        <v>1807</v>
      </c>
      <c r="D1895" t="s">
        <v>42</v>
      </c>
      <c r="E1895" t="s">
        <v>43</v>
      </c>
      <c r="F1895" t="s">
        <v>44</v>
      </c>
      <c r="G1895" t="s">
        <v>45</v>
      </c>
      <c r="AH1895" t="s">
        <v>42</v>
      </c>
      <c r="AI1895" t="str">
        <f>"66298853181488"</f>
        <v>66298853181488</v>
      </c>
      <c r="AJ1895" t="str">
        <f>"21L36CSV-1"</f>
        <v>21L36CSV-1</v>
      </c>
      <c r="AK1895" t="s">
        <v>46</v>
      </c>
      <c r="AL1895" s="1">
        <v>44816.552442129629</v>
      </c>
      <c r="AM1895" t="s">
        <v>44</v>
      </c>
    </row>
    <row r="1896" spans="1:39" x14ac:dyDescent="0.2">
      <c r="A1896" t="s">
        <v>1865</v>
      </c>
      <c r="B1896" t="s">
        <v>40</v>
      </c>
      <c r="C1896" t="s">
        <v>1807</v>
      </c>
      <c r="D1896" t="s">
        <v>42</v>
      </c>
      <c r="E1896" t="s">
        <v>43</v>
      </c>
      <c r="F1896" t="s">
        <v>44</v>
      </c>
      <c r="G1896" t="s">
        <v>45</v>
      </c>
      <c r="AH1896" t="s">
        <v>42</v>
      </c>
      <c r="AI1896" t="str">
        <f>"VS05610000950"</f>
        <v>VS05610000950</v>
      </c>
      <c r="AJ1896" t="str">
        <f>"VS05610000950"</f>
        <v>VS05610000950</v>
      </c>
      <c r="AK1896" t="s">
        <v>46</v>
      </c>
      <c r="AL1896" s="1">
        <v>44904.837754629632</v>
      </c>
      <c r="AM1896" t="s">
        <v>44</v>
      </c>
    </row>
    <row r="1897" spans="1:39" x14ac:dyDescent="0.2">
      <c r="A1897" t="s">
        <v>1866</v>
      </c>
      <c r="B1897" t="s">
        <v>40</v>
      </c>
      <c r="C1897" t="s">
        <v>1807</v>
      </c>
      <c r="D1897" t="s">
        <v>42</v>
      </c>
      <c r="E1897" t="s">
        <v>43</v>
      </c>
      <c r="F1897" t="s">
        <v>44</v>
      </c>
      <c r="G1897" t="s">
        <v>45</v>
      </c>
      <c r="AH1897" t="s">
        <v>42</v>
      </c>
      <c r="AI1897" t="str">
        <f>"66298853221345"</f>
        <v>66298853221345</v>
      </c>
      <c r="AJ1897" t="str">
        <f>"21L56SEV"</f>
        <v>21L56SEV</v>
      </c>
      <c r="AK1897" t="s">
        <v>46</v>
      </c>
      <c r="AL1897" s="1">
        <v>44816.552453703705</v>
      </c>
      <c r="AM1897" t="s">
        <v>44</v>
      </c>
    </row>
    <row r="1898" spans="1:39" x14ac:dyDescent="0.2">
      <c r="A1898" t="s">
        <v>1867</v>
      </c>
      <c r="B1898" t="s">
        <v>40</v>
      </c>
      <c r="C1898" t="s">
        <v>1807</v>
      </c>
      <c r="D1898" t="s">
        <v>42</v>
      </c>
      <c r="E1898" t="s">
        <v>43</v>
      </c>
      <c r="F1898" t="s">
        <v>44</v>
      </c>
      <c r="G1898" t="s">
        <v>45</v>
      </c>
      <c r="AH1898" t="s">
        <v>42</v>
      </c>
      <c r="AI1898" t="str">
        <f>"66298853260797"</f>
        <v>66298853260797</v>
      </c>
      <c r="AJ1898" t="str">
        <f>"21L50SEV"</f>
        <v>21L50SEV</v>
      </c>
      <c r="AK1898" t="s">
        <v>46</v>
      </c>
      <c r="AL1898" s="1">
        <v>44816.552453703705</v>
      </c>
      <c r="AM1898" t="s">
        <v>44</v>
      </c>
    </row>
    <row r="1899" spans="1:39" x14ac:dyDescent="0.2">
      <c r="A1899" t="s">
        <v>1868</v>
      </c>
      <c r="B1899" t="s">
        <v>40</v>
      </c>
      <c r="C1899" t="s">
        <v>1807</v>
      </c>
      <c r="D1899" t="s">
        <v>42</v>
      </c>
      <c r="E1899" t="s">
        <v>43</v>
      </c>
      <c r="F1899" t="s">
        <v>44</v>
      </c>
      <c r="G1899" t="s">
        <v>45</v>
      </c>
      <c r="AH1899" t="s">
        <v>42</v>
      </c>
      <c r="AI1899" t="str">
        <f>"66298853300926"</f>
        <v>66298853300926</v>
      </c>
      <c r="AJ1899" t="str">
        <f>"VS15610000015"</f>
        <v>VS15610000015</v>
      </c>
      <c r="AK1899" t="s">
        <v>46</v>
      </c>
      <c r="AL1899" s="1">
        <v>44816.552465277775</v>
      </c>
      <c r="AM1899" t="s">
        <v>44</v>
      </c>
    </row>
    <row r="1900" spans="1:39" x14ac:dyDescent="0.2">
      <c r="A1900" t="s">
        <v>1869</v>
      </c>
      <c r="B1900" t="s">
        <v>40</v>
      </c>
      <c r="C1900" t="s">
        <v>1807</v>
      </c>
      <c r="D1900" t="s">
        <v>42</v>
      </c>
      <c r="E1900" t="s">
        <v>43</v>
      </c>
      <c r="F1900" t="s">
        <v>44</v>
      </c>
      <c r="G1900" t="s">
        <v>45</v>
      </c>
      <c r="AH1900" t="s">
        <v>42</v>
      </c>
      <c r="AI1900" t="str">
        <f>"66298853342718"</f>
        <v>66298853342718</v>
      </c>
      <c r="AJ1900" t="str">
        <f>"19L53CSV"</f>
        <v>19L53CSV</v>
      </c>
      <c r="AK1900" t="s">
        <v>46</v>
      </c>
      <c r="AL1900" s="1">
        <v>44816.552465277775</v>
      </c>
      <c r="AM1900" t="s">
        <v>44</v>
      </c>
    </row>
    <row r="1901" spans="1:39" x14ac:dyDescent="0.2">
      <c r="A1901" t="s">
        <v>1870</v>
      </c>
      <c r="B1901" t="s">
        <v>40</v>
      </c>
      <c r="C1901" t="s">
        <v>1807</v>
      </c>
      <c r="D1901" t="s">
        <v>42</v>
      </c>
      <c r="E1901" t="s">
        <v>43</v>
      </c>
      <c r="F1901" t="s">
        <v>44</v>
      </c>
      <c r="G1901" t="s">
        <v>45</v>
      </c>
      <c r="AH1901" t="s">
        <v>42</v>
      </c>
      <c r="AI1901" t="str">
        <f>"66298853383612"</f>
        <v>66298853383612</v>
      </c>
      <c r="AJ1901" t="str">
        <f>"20L40SEV"</f>
        <v>20L40SEV</v>
      </c>
      <c r="AK1901" t="s">
        <v>46</v>
      </c>
      <c r="AL1901" s="1">
        <v>44816.552465277775</v>
      </c>
      <c r="AM1901" t="s">
        <v>44</v>
      </c>
    </row>
    <row r="1902" spans="1:39" x14ac:dyDescent="0.2">
      <c r="A1902" t="s">
        <v>1871</v>
      </c>
      <c r="B1902" t="s">
        <v>40</v>
      </c>
      <c r="C1902" t="s">
        <v>1807</v>
      </c>
      <c r="D1902" t="s">
        <v>42</v>
      </c>
      <c r="E1902" t="s">
        <v>43</v>
      </c>
      <c r="F1902" t="s">
        <v>44</v>
      </c>
      <c r="G1902" t="s">
        <v>45</v>
      </c>
      <c r="AH1902" t="s">
        <v>42</v>
      </c>
      <c r="AI1902" t="str">
        <f>"66298853425126"</f>
        <v>66298853425126</v>
      </c>
      <c r="AJ1902" t="str">
        <f>"20L39SEV"</f>
        <v>20L39SEV</v>
      </c>
      <c r="AK1902" t="s">
        <v>46</v>
      </c>
      <c r="AL1902" s="1">
        <v>44816.552476851852</v>
      </c>
      <c r="AM1902" t="s">
        <v>44</v>
      </c>
    </row>
    <row r="1903" spans="1:39" x14ac:dyDescent="0.2">
      <c r="A1903" t="s">
        <v>1872</v>
      </c>
      <c r="B1903" t="s">
        <v>40</v>
      </c>
      <c r="C1903" t="s">
        <v>1807</v>
      </c>
      <c r="D1903" t="s">
        <v>42</v>
      </c>
      <c r="E1903" t="s">
        <v>43</v>
      </c>
      <c r="F1903" t="s">
        <v>44</v>
      </c>
      <c r="G1903" t="s">
        <v>45</v>
      </c>
      <c r="AH1903" t="s">
        <v>42</v>
      </c>
      <c r="AI1903" t="str">
        <f>"66298853464854"</f>
        <v>66298853464854</v>
      </c>
      <c r="AJ1903" t="str">
        <f>"20L38SEV"</f>
        <v>20L38SEV</v>
      </c>
      <c r="AK1903" t="s">
        <v>46</v>
      </c>
      <c r="AL1903" s="1">
        <v>44816.552476851852</v>
      </c>
      <c r="AM1903" t="s">
        <v>44</v>
      </c>
    </row>
    <row r="1904" spans="1:39" x14ac:dyDescent="0.2">
      <c r="A1904" t="s">
        <v>1873</v>
      </c>
      <c r="B1904" t="s">
        <v>40</v>
      </c>
      <c r="C1904" t="s">
        <v>1807</v>
      </c>
      <c r="D1904" t="s">
        <v>42</v>
      </c>
      <c r="E1904" t="s">
        <v>43</v>
      </c>
      <c r="F1904" t="s">
        <v>44</v>
      </c>
      <c r="G1904" t="s">
        <v>45</v>
      </c>
      <c r="AH1904" t="s">
        <v>42</v>
      </c>
      <c r="AI1904" t="str">
        <f>"66298853505580"</f>
        <v>66298853505580</v>
      </c>
      <c r="AJ1904" t="str">
        <f>"20L42SEV"</f>
        <v>20L42SEV</v>
      </c>
      <c r="AK1904" t="s">
        <v>46</v>
      </c>
      <c r="AL1904" s="1">
        <v>44816.552488425928</v>
      </c>
      <c r="AM1904" t="s">
        <v>44</v>
      </c>
    </row>
    <row r="1905" spans="1:39" x14ac:dyDescent="0.2">
      <c r="A1905" t="s">
        <v>1874</v>
      </c>
      <c r="B1905" t="s">
        <v>40</v>
      </c>
      <c r="C1905" t="s">
        <v>1807</v>
      </c>
      <c r="D1905" t="s">
        <v>42</v>
      </c>
      <c r="E1905" t="s">
        <v>43</v>
      </c>
      <c r="F1905" t="s">
        <v>44</v>
      </c>
      <c r="G1905" t="s">
        <v>45</v>
      </c>
      <c r="AH1905" t="s">
        <v>42</v>
      </c>
      <c r="AI1905" t="str">
        <f>"66298853543363"</f>
        <v>66298853543363</v>
      </c>
      <c r="AJ1905" t="str">
        <f>"18L22SEV"</f>
        <v>18L22SEV</v>
      </c>
      <c r="AK1905" t="s">
        <v>46</v>
      </c>
      <c r="AL1905" s="1">
        <v>44816.552488425928</v>
      </c>
      <c r="AM1905" t="s">
        <v>44</v>
      </c>
    </row>
    <row r="1906" spans="1:39" x14ac:dyDescent="0.2">
      <c r="A1906" t="s">
        <v>1875</v>
      </c>
      <c r="B1906" t="s">
        <v>40</v>
      </c>
      <c r="C1906" t="s">
        <v>1807</v>
      </c>
      <c r="D1906" t="s">
        <v>42</v>
      </c>
      <c r="E1906" t="s">
        <v>43</v>
      </c>
      <c r="F1906" t="s">
        <v>44</v>
      </c>
      <c r="G1906" t="s">
        <v>45</v>
      </c>
      <c r="AH1906" t="s">
        <v>42</v>
      </c>
      <c r="AI1906" t="str">
        <f>"66298853581784"</f>
        <v>66298853581784</v>
      </c>
      <c r="AJ1906" t="str">
        <f>"13L02SEV"</f>
        <v>13L02SEV</v>
      </c>
      <c r="AK1906" t="s">
        <v>46</v>
      </c>
      <c r="AL1906" s="1">
        <v>44816.552488425928</v>
      </c>
      <c r="AM1906" t="s">
        <v>44</v>
      </c>
    </row>
    <row r="1907" spans="1:39" x14ac:dyDescent="0.2">
      <c r="A1907" t="s">
        <v>1876</v>
      </c>
      <c r="B1907" t="s">
        <v>40</v>
      </c>
      <c r="C1907" t="s">
        <v>1807</v>
      </c>
      <c r="D1907" t="s">
        <v>42</v>
      </c>
      <c r="E1907" t="s">
        <v>43</v>
      </c>
      <c r="F1907" t="s">
        <v>44</v>
      </c>
      <c r="G1907" t="s">
        <v>45</v>
      </c>
      <c r="AH1907" t="s">
        <v>42</v>
      </c>
      <c r="AI1907" t="str">
        <f>"66298853624534"</f>
        <v>66298853624534</v>
      </c>
      <c r="AJ1907" t="str">
        <f>"34L398SEV"</f>
        <v>34L398SEV</v>
      </c>
      <c r="AK1907" t="s">
        <v>46</v>
      </c>
      <c r="AL1907" s="1">
        <v>44816.552499999998</v>
      </c>
      <c r="AM1907" t="s">
        <v>44</v>
      </c>
    </row>
    <row r="1908" spans="1:39" x14ac:dyDescent="0.2">
      <c r="A1908" t="s">
        <v>1876</v>
      </c>
      <c r="B1908" t="s">
        <v>40</v>
      </c>
      <c r="C1908" t="s">
        <v>1807</v>
      </c>
      <c r="D1908" t="s">
        <v>42</v>
      </c>
      <c r="E1908" t="s">
        <v>43</v>
      </c>
      <c r="F1908" t="s">
        <v>44</v>
      </c>
      <c r="G1908" t="s">
        <v>45</v>
      </c>
      <c r="AH1908" t="s">
        <v>42</v>
      </c>
      <c r="AI1908" t="str">
        <f>"66298853667340"</f>
        <v>66298853667340</v>
      </c>
      <c r="AJ1908" t="str">
        <f>"34L98SEV"</f>
        <v>34L98SEV</v>
      </c>
      <c r="AK1908" t="s">
        <v>46</v>
      </c>
      <c r="AL1908" s="1">
        <v>44816.552499999998</v>
      </c>
      <c r="AM1908" t="s">
        <v>44</v>
      </c>
    </row>
    <row r="1909" spans="1:39" x14ac:dyDescent="0.2">
      <c r="A1909" t="s">
        <v>1877</v>
      </c>
      <c r="B1909" t="s">
        <v>40</v>
      </c>
      <c r="C1909" t="s">
        <v>1807</v>
      </c>
      <c r="D1909" t="s">
        <v>42</v>
      </c>
      <c r="E1909" t="s">
        <v>43</v>
      </c>
      <c r="F1909" t="s">
        <v>44</v>
      </c>
      <c r="G1909" t="s">
        <v>45</v>
      </c>
      <c r="AH1909" t="s">
        <v>42</v>
      </c>
      <c r="AI1909" t="str">
        <f>"66298853705704"</f>
        <v>66298853705704</v>
      </c>
      <c r="AJ1909" t="str">
        <f>"22L37SEV-1"</f>
        <v>22L37SEV-1</v>
      </c>
      <c r="AK1909" t="s">
        <v>46</v>
      </c>
      <c r="AL1909" s="1">
        <v>44816.552511574075</v>
      </c>
      <c r="AM1909" t="s">
        <v>44</v>
      </c>
    </row>
    <row r="1910" spans="1:39" x14ac:dyDescent="0.2">
      <c r="A1910" t="s">
        <v>1877</v>
      </c>
      <c r="B1910" t="s">
        <v>40</v>
      </c>
      <c r="C1910" t="s">
        <v>1807</v>
      </c>
      <c r="D1910" t="s">
        <v>42</v>
      </c>
      <c r="E1910" t="s">
        <v>43</v>
      </c>
      <c r="F1910" t="s">
        <v>44</v>
      </c>
      <c r="G1910" t="s">
        <v>45</v>
      </c>
      <c r="AH1910" t="s">
        <v>42</v>
      </c>
      <c r="AI1910" t="str">
        <f>"66298853742984"</f>
        <v>66298853742984</v>
      </c>
      <c r="AJ1910" t="str">
        <f>"22L37CSV-1"</f>
        <v>22L37CSV-1</v>
      </c>
      <c r="AK1910" t="s">
        <v>46</v>
      </c>
      <c r="AL1910" s="1">
        <v>44816.552511574075</v>
      </c>
      <c r="AM1910" t="s">
        <v>44</v>
      </c>
    </row>
    <row r="1911" spans="1:39" x14ac:dyDescent="0.2">
      <c r="A1911" t="s">
        <v>1878</v>
      </c>
      <c r="B1911" t="s">
        <v>40</v>
      </c>
      <c r="C1911" t="s">
        <v>1807</v>
      </c>
      <c r="D1911" t="s">
        <v>42</v>
      </c>
      <c r="E1911" t="s">
        <v>43</v>
      </c>
      <c r="F1911" t="s">
        <v>44</v>
      </c>
      <c r="G1911" t="s">
        <v>45</v>
      </c>
      <c r="AH1911" t="s">
        <v>42</v>
      </c>
      <c r="AI1911" t="str">
        <f>"66298853782931"</f>
        <v>66298853782931</v>
      </c>
      <c r="AJ1911" t="str">
        <f>"22L47SEV"</f>
        <v>22L47SEV</v>
      </c>
      <c r="AK1911" t="s">
        <v>46</v>
      </c>
      <c r="AL1911" s="1">
        <v>44816.552511574075</v>
      </c>
      <c r="AM1911" t="s">
        <v>44</v>
      </c>
    </row>
    <row r="1912" spans="1:39" x14ac:dyDescent="0.2">
      <c r="A1912" t="s">
        <v>1879</v>
      </c>
      <c r="B1912" t="s">
        <v>40</v>
      </c>
      <c r="C1912" t="s">
        <v>1807</v>
      </c>
      <c r="D1912" t="s">
        <v>42</v>
      </c>
      <c r="E1912" t="s">
        <v>43</v>
      </c>
      <c r="F1912" t="s">
        <v>44</v>
      </c>
      <c r="G1912" t="s">
        <v>45</v>
      </c>
      <c r="AH1912" t="s">
        <v>42</v>
      </c>
      <c r="AI1912" t="str">
        <f>"66298853828912"</f>
        <v>66298853828912</v>
      </c>
      <c r="AJ1912" t="str">
        <f>"22L46CSV"</f>
        <v>22L46CSV</v>
      </c>
      <c r="AK1912" t="s">
        <v>46</v>
      </c>
      <c r="AL1912" s="1">
        <v>44816.552523148152</v>
      </c>
      <c r="AM1912" t="s">
        <v>44</v>
      </c>
    </row>
    <row r="1913" spans="1:39" x14ac:dyDescent="0.2">
      <c r="A1913" t="s">
        <v>1879</v>
      </c>
      <c r="B1913" t="s">
        <v>40</v>
      </c>
      <c r="C1913" t="s">
        <v>1807</v>
      </c>
      <c r="D1913" t="s">
        <v>42</v>
      </c>
      <c r="E1913" t="s">
        <v>43</v>
      </c>
      <c r="F1913" t="s">
        <v>44</v>
      </c>
      <c r="G1913" t="s">
        <v>45</v>
      </c>
      <c r="AH1913" t="s">
        <v>42</v>
      </c>
      <c r="AI1913" t="str">
        <f>"22L46SE"</f>
        <v>22L46SE</v>
      </c>
      <c r="AJ1913" t="str">
        <f>"22L46SE"</f>
        <v>22L46SE</v>
      </c>
      <c r="AK1913" t="s">
        <v>46</v>
      </c>
      <c r="AL1913" s="1">
        <v>44981.62641203704</v>
      </c>
      <c r="AM1913" t="s">
        <v>44</v>
      </c>
    </row>
    <row r="1914" spans="1:39" x14ac:dyDescent="0.2">
      <c r="A1914" t="s">
        <v>1880</v>
      </c>
      <c r="B1914" t="s">
        <v>40</v>
      </c>
      <c r="C1914" t="s">
        <v>1807</v>
      </c>
      <c r="D1914" t="s">
        <v>42</v>
      </c>
      <c r="E1914" t="s">
        <v>43</v>
      </c>
      <c r="F1914" t="s">
        <v>44</v>
      </c>
      <c r="G1914" t="s">
        <v>45</v>
      </c>
      <c r="AH1914" t="s">
        <v>42</v>
      </c>
      <c r="AI1914" t="str">
        <f>"66298853869222"</f>
        <v>66298853869222</v>
      </c>
      <c r="AJ1914" t="str">
        <f>"13L10SEV"</f>
        <v>13L10SEV</v>
      </c>
      <c r="AK1914" t="s">
        <v>46</v>
      </c>
      <c r="AL1914" s="1">
        <v>44816.552523148152</v>
      </c>
      <c r="AM1914" t="s">
        <v>44</v>
      </c>
    </row>
    <row r="1915" spans="1:39" x14ac:dyDescent="0.2">
      <c r="A1915" t="s">
        <v>1881</v>
      </c>
      <c r="B1915" t="s">
        <v>40</v>
      </c>
      <c r="C1915" t="s">
        <v>1807</v>
      </c>
      <c r="D1915" t="s">
        <v>42</v>
      </c>
      <c r="E1915" t="s">
        <v>43</v>
      </c>
      <c r="F1915" t="s">
        <v>44</v>
      </c>
      <c r="G1915" t="s">
        <v>45</v>
      </c>
      <c r="AH1915" t="s">
        <v>42</v>
      </c>
      <c r="AI1915" t="str">
        <f>"66298853908053"</f>
        <v>66298853908053</v>
      </c>
      <c r="AJ1915" t="str">
        <f>"DF012"</f>
        <v>DF012</v>
      </c>
      <c r="AK1915" t="s">
        <v>46</v>
      </c>
      <c r="AL1915" s="1">
        <v>44816.552534722221</v>
      </c>
      <c r="AM1915" t="s">
        <v>44</v>
      </c>
    </row>
    <row r="1916" spans="1:39" x14ac:dyDescent="0.2">
      <c r="A1916" t="s">
        <v>1882</v>
      </c>
      <c r="B1916" t="s">
        <v>40</v>
      </c>
      <c r="C1916" t="s">
        <v>1807</v>
      </c>
      <c r="D1916" t="s">
        <v>42</v>
      </c>
      <c r="E1916" t="s">
        <v>43</v>
      </c>
      <c r="F1916" t="s">
        <v>44</v>
      </c>
      <c r="G1916" t="s">
        <v>45</v>
      </c>
      <c r="AH1916" t="s">
        <v>42</v>
      </c>
      <c r="AI1916" t="str">
        <f>"H1038"</f>
        <v>H1038</v>
      </c>
      <c r="AJ1916" t="str">
        <f>"H1038"</f>
        <v>H1038</v>
      </c>
      <c r="AK1916" t="s">
        <v>46</v>
      </c>
      <c r="AL1916" s="1">
        <v>45092.715428240743</v>
      </c>
      <c r="AM1916" t="s">
        <v>44</v>
      </c>
    </row>
    <row r="1917" spans="1:39" x14ac:dyDescent="0.2">
      <c r="A1917" t="s">
        <v>1883</v>
      </c>
      <c r="B1917" t="s">
        <v>40</v>
      </c>
      <c r="C1917" t="s">
        <v>1807</v>
      </c>
      <c r="D1917" t="s">
        <v>42</v>
      </c>
      <c r="E1917" t="s">
        <v>43</v>
      </c>
      <c r="F1917" t="s">
        <v>44</v>
      </c>
      <c r="G1917" t="s">
        <v>45</v>
      </c>
      <c r="AH1917" t="s">
        <v>42</v>
      </c>
      <c r="AI1917" t="str">
        <f>"66298853950956"</f>
        <v>66298853950956</v>
      </c>
      <c r="AJ1917" t="str">
        <f>"21L38CSV"</f>
        <v>21L38CSV</v>
      </c>
      <c r="AK1917" t="s">
        <v>46</v>
      </c>
      <c r="AL1917" s="1">
        <v>44816.552534722221</v>
      </c>
      <c r="AM1917" t="s">
        <v>44</v>
      </c>
    </row>
    <row r="1918" spans="1:39" x14ac:dyDescent="0.2">
      <c r="A1918" t="s">
        <v>1884</v>
      </c>
      <c r="B1918" t="s">
        <v>40</v>
      </c>
      <c r="C1918" t="s">
        <v>1807</v>
      </c>
      <c r="D1918" t="s">
        <v>42</v>
      </c>
      <c r="E1918" t="s">
        <v>43</v>
      </c>
      <c r="F1918" t="s">
        <v>44</v>
      </c>
      <c r="G1918" t="s">
        <v>45</v>
      </c>
      <c r="AH1918" t="s">
        <v>42</v>
      </c>
      <c r="AI1918" t="str">
        <f>"66298853995739"</f>
        <v>66298853995739</v>
      </c>
      <c r="AJ1918" t="str">
        <f>"21L31SEV"</f>
        <v>21L31SEV</v>
      </c>
      <c r="AK1918" t="s">
        <v>46</v>
      </c>
      <c r="AL1918" s="1">
        <v>44816.552534722221</v>
      </c>
      <c r="AM1918" t="s">
        <v>44</v>
      </c>
    </row>
    <row r="1919" spans="1:39" x14ac:dyDescent="0.2">
      <c r="A1919" t="s">
        <v>1885</v>
      </c>
      <c r="B1919" t="s">
        <v>40</v>
      </c>
      <c r="C1919" t="s">
        <v>1807</v>
      </c>
      <c r="D1919" t="s">
        <v>42</v>
      </c>
      <c r="E1919" t="s">
        <v>43</v>
      </c>
      <c r="F1919" t="s">
        <v>44</v>
      </c>
      <c r="G1919" t="s">
        <v>45</v>
      </c>
      <c r="AH1919" t="s">
        <v>42</v>
      </c>
      <c r="AI1919" t="str">
        <f>"66298854036302"</f>
        <v>66298854036302</v>
      </c>
      <c r="AJ1919" t="str">
        <f>"13L01SE"</f>
        <v>13L01SE</v>
      </c>
      <c r="AK1919" t="s">
        <v>46</v>
      </c>
      <c r="AL1919" s="1">
        <v>44816.552546296298</v>
      </c>
      <c r="AM1919" t="s">
        <v>44</v>
      </c>
    </row>
    <row r="1920" spans="1:39" x14ac:dyDescent="0.2">
      <c r="A1920" t="s">
        <v>1886</v>
      </c>
      <c r="B1920" t="s">
        <v>40</v>
      </c>
      <c r="C1920" t="s">
        <v>1807</v>
      </c>
      <c r="D1920" t="s">
        <v>42</v>
      </c>
      <c r="E1920" t="s">
        <v>43</v>
      </c>
      <c r="F1920" t="s">
        <v>44</v>
      </c>
      <c r="G1920" t="s">
        <v>45</v>
      </c>
      <c r="AH1920" t="s">
        <v>42</v>
      </c>
      <c r="AI1920" t="str">
        <f>"66298854075194"</f>
        <v>66298854075194</v>
      </c>
      <c r="AJ1920" t="str">
        <f>"21L24SEV"</f>
        <v>21L24SEV</v>
      </c>
      <c r="AK1920" t="s">
        <v>46</v>
      </c>
      <c r="AL1920" s="1">
        <v>44816.552546296298</v>
      </c>
      <c r="AM1920" t="s">
        <v>44</v>
      </c>
    </row>
    <row r="1921" spans="1:39" x14ac:dyDescent="0.2">
      <c r="A1921" t="s">
        <v>1887</v>
      </c>
      <c r="B1921" t="s">
        <v>40</v>
      </c>
      <c r="C1921" t="s">
        <v>1807</v>
      </c>
      <c r="D1921" t="s">
        <v>42</v>
      </c>
      <c r="E1921" t="s">
        <v>43</v>
      </c>
      <c r="F1921" t="s">
        <v>44</v>
      </c>
      <c r="G1921" t="s">
        <v>45</v>
      </c>
      <c r="AH1921" t="s">
        <v>42</v>
      </c>
      <c r="AI1921" t="str">
        <f>"66298854117958"</f>
        <v>66298854117958</v>
      </c>
      <c r="AJ1921" t="str">
        <f>"21L48CSV"</f>
        <v>21L48CSV</v>
      </c>
      <c r="AK1921" t="s">
        <v>46</v>
      </c>
      <c r="AL1921" s="1">
        <v>44816.552557870367</v>
      </c>
      <c r="AM1921" t="s">
        <v>44</v>
      </c>
    </row>
    <row r="1922" spans="1:39" x14ac:dyDescent="0.2">
      <c r="A1922" t="s">
        <v>1888</v>
      </c>
      <c r="B1922" t="s">
        <v>40</v>
      </c>
      <c r="C1922" t="s">
        <v>1807</v>
      </c>
      <c r="D1922" t="s">
        <v>42</v>
      </c>
      <c r="E1922" t="s">
        <v>43</v>
      </c>
      <c r="F1922" t="s">
        <v>44</v>
      </c>
      <c r="G1922" t="s">
        <v>45</v>
      </c>
      <c r="AH1922" t="s">
        <v>42</v>
      </c>
      <c r="AI1922" t="str">
        <f>"66298854158741"</f>
        <v>66298854158741</v>
      </c>
      <c r="AJ1922" t="str">
        <f>"21L58SEV"</f>
        <v>21L58SEV</v>
      </c>
      <c r="AK1922" t="s">
        <v>46</v>
      </c>
      <c r="AL1922" s="1">
        <v>44816.552557870367</v>
      </c>
      <c r="AM1922" t="s">
        <v>44</v>
      </c>
    </row>
    <row r="1923" spans="1:39" x14ac:dyDescent="0.2">
      <c r="A1923" t="s">
        <v>1888</v>
      </c>
      <c r="B1923" t="s">
        <v>40</v>
      </c>
      <c r="C1923" t="s">
        <v>1807</v>
      </c>
      <c r="D1923" t="s">
        <v>42</v>
      </c>
      <c r="E1923" t="s">
        <v>43</v>
      </c>
      <c r="F1923" t="s">
        <v>44</v>
      </c>
      <c r="G1923" t="s">
        <v>45</v>
      </c>
      <c r="AH1923" t="s">
        <v>42</v>
      </c>
      <c r="AI1923" t="str">
        <f>"66298854199566"</f>
        <v>66298854199566</v>
      </c>
      <c r="AJ1923" t="str">
        <f>"21L58CSV"</f>
        <v>21L58CSV</v>
      </c>
      <c r="AK1923" t="s">
        <v>46</v>
      </c>
      <c r="AL1923" s="1">
        <v>44816.552557870367</v>
      </c>
      <c r="AM1923" t="s">
        <v>44</v>
      </c>
    </row>
    <row r="1924" spans="1:39" x14ac:dyDescent="0.2">
      <c r="A1924" t="s">
        <v>1889</v>
      </c>
      <c r="B1924" t="s">
        <v>40</v>
      </c>
      <c r="C1924" t="s">
        <v>1807</v>
      </c>
      <c r="D1924" t="s">
        <v>42</v>
      </c>
      <c r="E1924" t="s">
        <v>43</v>
      </c>
      <c r="F1924" t="s">
        <v>44</v>
      </c>
      <c r="G1924" t="s">
        <v>45</v>
      </c>
      <c r="AH1924" t="s">
        <v>42</v>
      </c>
      <c r="AI1924" t="str">
        <f>"66298854241830"</f>
        <v>66298854241830</v>
      </c>
      <c r="AJ1924" t="str">
        <f>"21L66SEV"</f>
        <v>21L66SEV</v>
      </c>
      <c r="AK1924" t="s">
        <v>46</v>
      </c>
      <c r="AL1924" s="1">
        <v>44816.552569444444</v>
      </c>
      <c r="AM1924" t="s">
        <v>44</v>
      </c>
    </row>
    <row r="1925" spans="1:39" x14ac:dyDescent="0.2">
      <c r="A1925" t="s">
        <v>1890</v>
      </c>
      <c r="B1925" t="s">
        <v>40</v>
      </c>
      <c r="C1925" t="s">
        <v>1807</v>
      </c>
      <c r="D1925" t="s">
        <v>42</v>
      </c>
      <c r="E1925" t="s">
        <v>43</v>
      </c>
      <c r="F1925" t="s">
        <v>44</v>
      </c>
      <c r="G1925" t="s">
        <v>45</v>
      </c>
      <c r="AH1925" t="s">
        <v>42</v>
      </c>
      <c r="AI1925" t="str">
        <f>"66298854285685"</f>
        <v>66298854285685</v>
      </c>
      <c r="AJ1925" t="str">
        <f>"21L25SEV"</f>
        <v>21L25SEV</v>
      </c>
      <c r="AK1925" t="s">
        <v>46</v>
      </c>
      <c r="AL1925" s="1">
        <v>44816.552569444444</v>
      </c>
      <c r="AM1925" t="s">
        <v>44</v>
      </c>
    </row>
    <row r="1926" spans="1:39" x14ac:dyDescent="0.2">
      <c r="A1926" t="s">
        <v>1891</v>
      </c>
      <c r="B1926" t="s">
        <v>40</v>
      </c>
      <c r="C1926" t="s">
        <v>1807</v>
      </c>
      <c r="D1926" t="s">
        <v>42</v>
      </c>
      <c r="E1926" t="s">
        <v>43</v>
      </c>
      <c r="F1926" t="s">
        <v>44</v>
      </c>
      <c r="G1926" t="s">
        <v>45</v>
      </c>
      <c r="AH1926" t="s">
        <v>42</v>
      </c>
      <c r="AI1926" t="str">
        <f>"P4V0210600221"</f>
        <v>P4V0210600221</v>
      </c>
      <c r="AJ1926" t="str">
        <f>"P4V0210600221"</f>
        <v>P4V0210600221</v>
      </c>
      <c r="AK1926" t="s">
        <v>46</v>
      </c>
      <c r="AL1926" s="1">
        <v>45070.917002314818</v>
      </c>
      <c r="AM1926" t="s">
        <v>44</v>
      </c>
    </row>
    <row r="1927" spans="1:39" x14ac:dyDescent="0.2">
      <c r="A1927" t="s">
        <v>1892</v>
      </c>
      <c r="B1927" t="s">
        <v>40</v>
      </c>
      <c r="C1927" t="s">
        <v>1807</v>
      </c>
      <c r="D1927" t="s">
        <v>42</v>
      </c>
      <c r="E1927" t="s">
        <v>43</v>
      </c>
      <c r="F1927" t="s">
        <v>44</v>
      </c>
      <c r="G1927" t="s">
        <v>45</v>
      </c>
      <c r="AH1927" t="s">
        <v>42</v>
      </c>
      <c r="AI1927" t="str">
        <f>"66298854324198"</f>
        <v>66298854324198</v>
      </c>
      <c r="AJ1927" t="str">
        <f>"21L37SEV"</f>
        <v>21L37SEV</v>
      </c>
      <c r="AK1927" t="s">
        <v>46</v>
      </c>
      <c r="AL1927" s="1">
        <v>44816.552581018521</v>
      </c>
      <c r="AM1927" t="s">
        <v>44</v>
      </c>
    </row>
    <row r="1928" spans="1:39" x14ac:dyDescent="0.2">
      <c r="A1928" t="s">
        <v>1893</v>
      </c>
      <c r="B1928" t="s">
        <v>40</v>
      </c>
      <c r="C1928" t="s">
        <v>1807</v>
      </c>
      <c r="D1928" t="s">
        <v>42</v>
      </c>
      <c r="E1928" t="s">
        <v>43</v>
      </c>
      <c r="F1928" t="s">
        <v>44</v>
      </c>
      <c r="G1928" t="s">
        <v>45</v>
      </c>
      <c r="AH1928" t="s">
        <v>42</v>
      </c>
      <c r="AI1928" t="str">
        <f>"66298854367229"</f>
        <v>66298854367229</v>
      </c>
      <c r="AJ1928" t="str">
        <f>"21L19SEV"</f>
        <v>21L19SEV</v>
      </c>
      <c r="AK1928" t="s">
        <v>46</v>
      </c>
      <c r="AL1928" s="1">
        <v>44816.552581018521</v>
      </c>
      <c r="AM1928" t="s">
        <v>44</v>
      </c>
    </row>
    <row r="1929" spans="1:39" x14ac:dyDescent="0.2">
      <c r="A1929" t="s">
        <v>1894</v>
      </c>
      <c r="B1929" t="s">
        <v>40</v>
      </c>
      <c r="C1929" t="s">
        <v>1807</v>
      </c>
      <c r="D1929" t="s">
        <v>42</v>
      </c>
      <c r="E1929" t="s">
        <v>43</v>
      </c>
      <c r="F1929" t="s">
        <v>44</v>
      </c>
      <c r="G1929" t="s">
        <v>45</v>
      </c>
      <c r="AH1929" t="s">
        <v>42</v>
      </c>
      <c r="AI1929" t="str">
        <f>"66298854414993"</f>
        <v>66298854414993</v>
      </c>
      <c r="AJ1929" t="str">
        <f>"19L21SEV"</f>
        <v>19L21SEV</v>
      </c>
      <c r="AK1929" t="s">
        <v>46</v>
      </c>
      <c r="AL1929" s="1">
        <v>44816.55259259259</v>
      </c>
      <c r="AM1929" t="s">
        <v>44</v>
      </c>
    </row>
    <row r="1930" spans="1:39" x14ac:dyDescent="0.2">
      <c r="A1930" t="s">
        <v>1895</v>
      </c>
      <c r="B1930" t="s">
        <v>40</v>
      </c>
      <c r="C1930" t="s">
        <v>1807</v>
      </c>
      <c r="D1930" t="s">
        <v>42</v>
      </c>
      <c r="E1930" t="s">
        <v>43</v>
      </c>
      <c r="F1930" t="s">
        <v>44</v>
      </c>
      <c r="G1930" t="s">
        <v>45</v>
      </c>
      <c r="AH1930" t="s">
        <v>42</v>
      </c>
      <c r="AI1930" t="str">
        <f>"66298854459896"</f>
        <v>66298854459896</v>
      </c>
      <c r="AJ1930" t="str">
        <f>"13L20SEV"</f>
        <v>13L20SEV</v>
      </c>
      <c r="AK1930" t="s">
        <v>46</v>
      </c>
      <c r="AL1930" s="1">
        <v>44816.55259259259</v>
      </c>
      <c r="AM1930" t="s">
        <v>44</v>
      </c>
    </row>
    <row r="1931" spans="1:39" x14ac:dyDescent="0.2">
      <c r="A1931" t="s">
        <v>1896</v>
      </c>
      <c r="B1931" t="s">
        <v>40</v>
      </c>
      <c r="C1931" t="s">
        <v>1807</v>
      </c>
      <c r="D1931" t="s">
        <v>42</v>
      </c>
      <c r="E1931" t="s">
        <v>43</v>
      </c>
      <c r="F1931" t="s">
        <v>44</v>
      </c>
      <c r="G1931" t="s">
        <v>45</v>
      </c>
      <c r="AH1931" t="s">
        <v>42</v>
      </c>
      <c r="AI1931" t="str">
        <f>"66298854502900"</f>
        <v>66298854502900</v>
      </c>
      <c r="AJ1931" t="str">
        <f>"19L40SEV"</f>
        <v>19L40SEV</v>
      </c>
      <c r="AK1931" t="s">
        <v>46</v>
      </c>
      <c r="AL1931" s="1">
        <v>44816.552604166667</v>
      </c>
      <c r="AM1931" t="s">
        <v>44</v>
      </c>
    </row>
    <row r="1932" spans="1:39" x14ac:dyDescent="0.2">
      <c r="A1932" t="s">
        <v>1897</v>
      </c>
      <c r="B1932" t="s">
        <v>40</v>
      </c>
      <c r="C1932" t="s">
        <v>1807</v>
      </c>
      <c r="D1932" t="s">
        <v>42</v>
      </c>
      <c r="E1932" t="s">
        <v>43</v>
      </c>
      <c r="F1932" t="s">
        <v>44</v>
      </c>
      <c r="G1932" t="s">
        <v>45</v>
      </c>
      <c r="AH1932" t="s">
        <v>42</v>
      </c>
      <c r="AI1932" t="str">
        <f>"66298854544417"</f>
        <v>66298854544417</v>
      </c>
      <c r="AJ1932" t="str">
        <f>"19L49SEV"</f>
        <v>19L49SEV</v>
      </c>
      <c r="AK1932" t="s">
        <v>46</v>
      </c>
      <c r="AL1932" s="1">
        <v>44816.552604166667</v>
      </c>
      <c r="AM1932" t="s">
        <v>44</v>
      </c>
    </row>
    <row r="1933" spans="1:39" x14ac:dyDescent="0.2">
      <c r="A1933" t="s">
        <v>1898</v>
      </c>
      <c r="B1933" t="s">
        <v>40</v>
      </c>
      <c r="C1933" t="s">
        <v>1807</v>
      </c>
      <c r="D1933" t="s">
        <v>42</v>
      </c>
      <c r="E1933" t="s">
        <v>43</v>
      </c>
      <c r="F1933" t="s">
        <v>44</v>
      </c>
      <c r="G1933" t="s">
        <v>45</v>
      </c>
      <c r="AH1933" t="s">
        <v>42</v>
      </c>
      <c r="AI1933" t="str">
        <f>"66298854583630"</f>
        <v>66298854583630</v>
      </c>
      <c r="AJ1933" t="str">
        <f>"19L33SEV"</f>
        <v>19L33SEV</v>
      </c>
      <c r="AK1933" t="s">
        <v>46</v>
      </c>
      <c r="AL1933" s="1">
        <v>44816.552604166667</v>
      </c>
      <c r="AM1933" t="s">
        <v>44</v>
      </c>
    </row>
    <row r="1934" spans="1:39" x14ac:dyDescent="0.2">
      <c r="A1934" t="s">
        <v>1899</v>
      </c>
      <c r="B1934" t="s">
        <v>40</v>
      </c>
      <c r="C1934" t="s">
        <v>1807</v>
      </c>
      <c r="D1934" t="s">
        <v>42</v>
      </c>
      <c r="E1934" t="s">
        <v>43</v>
      </c>
      <c r="F1934" t="s">
        <v>44</v>
      </c>
      <c r="G1934" t="s">
        <v>45</v>
      </c>
      <c r="AH1934" t="s">
        <v>42</v>
      </c>
      <c r="AI1934" t="str">
        <f>"DF059"</f>
        <v>DF059</v>
      </c>
      <c r="AJ1934" t="str">
        <f>"DF059"</f>
        <v>DF059</v>
      </c>
      <c r="AK1934" t="s">
        <v>46</v>
      </c>
      <c r="AL1934" s="1">
        <v>44912.622569444444</v>
      </c>
      <c r="AM1934" t="s">
        <v>44</v>
      </c>
    </row>
    <row r="1935" spans="1:39" x14ac:dyDescent="0.2">
      <c r="A1935" t="s">
        <v>1900</v>
      </c>
      <c r="B1935" t="s">
        <v>40</v>
      </c>
      <c r="C1935" t="s">
        <v>1807</v>
      </c>
      <c r="D1935" t="s">
        <v>42</v>
      </c>
      <c r="E1935" t="s">
        <v>43</v>
      </c>
      <c r="F1935" t="s">
        <v>44</v>
      </c>
      <c r="G1935" t="s">
        <v>45</v>
      </c>
      <c r="AH1935" t="s">
        <v>42</v>
      </c>
      <c r="AI1935" t="str">
        <f>"66298854623047"</f>
        <v>66298854623047</v>
      </c>
      <c r="AJ1935" t="str">
        <f>"19L29CSV"</f>
        <v>19L29CSV</v>
      </c>
      <c r="AK1935" t="s">
        <v>46</v>
      </c>
      <c r="AL1935" s="1">
        <v>44816.552615740744</v>
      </c>
      <c r="AM1935" t="s">
        <v>44</v>
      </c>
    </row>
    <row r="1936" spans="1:39" x14ac:dyDescent="0.2">
      <c r="A1936" t="s">
        <v>1901</v>
      </c>
      <c r="B1936" t="s">
        <v>40</v>
      </c>
      <c r="C1936" t="s">
        <v>1807</v>
      </c>
      <c r="D1936" t="s">
        <v>42</v>
      </c>
      <c r="E1936" t="s">
        <v>43</v>
      </c>
      <c r="F1936" t="s">
        <v>44</v>
      </c>
      <c r="G1936" t="s">
        <v>45</v>
      </c>
      <c r="AH1936" t="s">
        <v>42</v>
      </c>
      <c r="AI1936" t="str">
        <f>"66298854663115"</f>
        <v>66298854663115</v>
      </c>
      <c r="AJ1936" t="str">
        <f>"19L19SEV"</f>
        <v>19L19SEV</v>
      </c>
      <c r="AK1936" t="s">
        <v>46</v>
      </c>
      <c r="AL1936" s="1">
        <v>44816.552615740744</v>
      </c>
      <c r="AM1936" t="s">
        <v>44</v>
      </c>
    </row>
    <row r="1937" spans="1:39" x14ac:dyDescent="0.2">
      <c r="A1937" t="s">
        <v>1902</v>
      </c>
      <c r="B1937" t="s">
        <v>40</v>
      </c>
      <c r="C1937" t="s">
        <v>1807</v>
      </c>
      <c r="D1937" t="s">
        <v>42</v>
      </c>
      <c r="E1937" t="s">
        <v>43</v>
      </c>
      <c r="F1937" t="s">
        <v>44</v>
      </c>
      <c r="G1937" t="s">
        <v>45</v>
      </c>
      <c r="AH1937" t="s">
        <v>42</v>
      </c>
      <c r="AI1937" t="str">
        <f>"66298854704527"</f>
        <v>66298854704527</v>
      </c>
      <c r="AJ1937" t="str">
        <f>"19L45SEV"</f>
        <v>19L45SEV</v>
      </c>
      <c r="AK1937" t="s">
        <v>46</v>
      </c>
      <c r="AL1937" s="1">
        <v>44816.552627314813</v>
      </c>
      <c r="AM1937" t="s">
        <v>44</v>
      </c>
    </row>
    <row r="1938" spans="1:39" x14ac:dyDescent="0.2">
      <c r="A1938" t="s">
        <v>1903</v>
      </c>
      <c r="B1938" t="s">
        <v>40</v>
      </c>
      <c r="C1938" t="s">
        <v>1807</v>
      </c>
      <c r="D1938" t="s">
        <v>42</v>
      </c>
      <c r="E1938" t="s">
        <v>43</v>
      </c>
      <c r="F1938" t="s">
        <v>44</v>
      </c>
      <c r="G1938" t="s">
        <v>45</v>
      </c>
      <c r="AH1938" t="s">
        <v>42</v>
      </c>
      <c r="AI1938" t="str">
        <f>"66298854742694"</f>
        <v>66298854742694</v>
      </c>
      <c r="AJ1938" t="str">
        <f>"19L51SEV"</f>
        <v>19L51SEV</v>
      </c>
      <c r="AK1938" t="s">
        <v>46</v>
      </c>
      <c r="AL1938" s="1">
        <v>44816.552627314813</v>
      </c>
      <c r="AM1938" t="s">
        <v>44</v>
      </c>
    </row>
    <row r="1939" spans="1:39" x14ac:dyDescent="0.2">
      <c r="A1939" t="s">
        <v>1904</v>
      </c>
      <c r="B1939" t="s">
        <v>40</v>
      </c>
      <c r="C1939" t="s">
        <v>1807</v>
      </c>
      <c r="D1939" t="s">
        <v>42</v>
      </c>
      <c r="E1939" t="s">
        <v>43</v>
      </c>
      <c r="F1939" t="s">
        <v>44</v>
      </c>
      <c r="G1939" t="s">
        <v>45</v>
      </c>
      <c r="AH1939" t="s">
        <v>42</v>
      </c>
      <c r="AI1939" t="str">
        <f>"66298854782657"</f>
        <v>66298854782657</v>
      </c>
      <c r="AJ1939" t="str">
        <f>"DF043"</f>
        <v>DF043</v>
      </c>
      <c r="AK1939" t="s">
        <v>46</v>
      </c>
      <c r="AL1939" s="1">
        <v>44816.552627314813</v>
      </c>
      <c r="AM1939" t="s">
        <v>44</v>
      </c>
    </row>
    <row r="1940" spans="1:39" x14ac:dyDescent="0.2">
      <c r="A1940" t="s">
        <v>1905</v>
      </c>
      <c r="B1940" t="s">
        <v>40</v>
      </c>
      <c r="C1940" t="s">
        <v>1807</v>
      </c>
      <c r="D1940" t="s">
        <v>42</v>
      </c>
      <c r="E1940" t="s">
        <v>43</v>
      </c>
      <c r="F1940" t="s">
        <v>44</v>
      </c>
      <c r="G1940" t="s">
        <v>45</v>
      </c>
      <c r="AH1940" t="s">
        <v>42</v>
      </c>
      <c r="AI1940" t="str">
        <f>"VS10700000006"</f>
        <v>VS10700000006</v>
      </c>
      <c r="AJ1940" t="str">
        <f>"VS10700000006"</f>
        <v>VS10700000006</v>
      </c>
      <c r="AK1940" t="s">
        <v>46</v>
      </c>
      <c r="AL1940" s="1">
        <v>45092.713171296295</v>
      </c>
      <c r="AM1940" t="s">
        <v>44</v>
      </c>
    </row>
    <row r="1941" spans="1:39" x14ac:dyDescent="0.2">
      <c r="A1941" t="s">
        <v>1906</v>
      </c>
      <c r="B1941" t="s">
        <v>40</v>
      </c>
      <c r="C1941" t="s">
        <v>1807</v>
      </c>
      <c r="D1941" t="s">
        <v>42</v>
      </c>
      <c r="E1941" t="s">
        <v>43</v>
      </c>
      <c r="F1941" t="s">
        <v>44</v>
      </c>
      <c r="G1941" t="s">
        <v>45</v>
      </c>
      <c r="AH1941" t="s">
        <v>42</v>
      </c>
      <c r="AI1941" t="str">
        <f>"66298854843025"</f>
        <v>66298854843025</v>
      </c>
      <c r="AJ1941" t="str">
        <f>"VS05700000260"</f>
        <v>VS05700000260</v>
      </c>
      <c r="AK1941" t="s">
        <v>46</v>
      </c>
      <c r="AL1941" s="1">
        <v>44816.55263888889</v>
      </c>
      <c r="AM1941" t="s">
        <v>44</v>
      </c>
    </row>
    <row r="1942" spans="1:39" x14ac:dyDescent="0.2">
      <c r="A1942" t="s">
        <v>1907</v>
      </c>
      <c r="B1942" t="s">
        <v>40</v>
      </c>
      <c r="C1942" t="s">
        <v>1807</v>
      </c>
      <c r="D1942" t="s">
        <v>42</v>
      </c>
      <c r="E1942" t="s">
        <v>43</v>
      </c>
      <c r="F1942" t="s">
        <v>44</v>
      </c>
      <c r="G1942" t="s">
        <v>45</v>
      </c>
      <c r="AH1942" t="s">
        <v>42</v>
      </c>
      <c r="AI1942" t="str">
        <f>"VS05700000330"</f>
        <v>VS05700000330</v>
      </c>
      <c r="AJ1942" t="str">
        <f>"VS05700000330"</f>
        <v>VS05700000330</v>
      </c>
      <c r="AK1942" t="s">
        <v>46</v>
      </c>
      <c r="AL1942" s="1">
        <v>44900.86378472222</v>
      </c>
      <c r="AM1942" t="s">
        <v>44</v>
      </c>
    </row>
    <row r="1943" spans="1:39" x14ac:dyDescent="0.2">
      <c r="A1943" t="s">
        <v>1908</v>
      </c>
      <c r="B1943" t="s">
        <v>40</v>
      </c>
      <c r="C1943" t="s">
        <v>1807</v>
      </c>
      <c r="D1943" t="s">
        <v>42</v>
      </c>
      <c r="E1943" t="s">
        <v>43</v>
      </c>
      <c r="F1943" t="s">
        <v>44</v>
      </c>
      <c r="G1943" t="s">
        <v>45</v>
      </c>
      <c r="AH1943" t="s">
        <v>42</v>
      </c>
      <c r="AI1943" t="str">
        <f>"VS05850000015"</f>
        <v>VS05850000015</v>
      </c>
      <c r="AJ1943" t="str">
        <f>"VS05850000015"</f>
        <v>VS05850000015</v>
      </c>
      <c r="AK1943" t="s">
        <v>46</v>
      </c>
      <c r="AL1943" s="1">
        <v>44940.631296296298</v>
      </c>
      <c r="AM1943" t="s">
        <v>44</v>
      </c>
    </row>
    <row r="1944" spans="1:39" x14ac:dyDescent="0.2">
      <c r="A1944" t="s">
        <v>1909</v>
      </c>
      <c r="B1944" t="s">
        <v>40</v>
      </c>
      <c r="C1944" t="s">
        <v>1807</v>
      </c>
      <c r="D1944" t="s">
        <v>42</v>
      </c>
      <c r="E1944" t="s">
        <v>43</v>
      </c>
      <c r="F1944" t="s">
        <v>44</v>
      </c>
      <c r="G1944" t="s">
        <v>45</v>
      </c>
      <c r="AH1944" t="s">
        <v>42</v>
      </c>
      <c r="AI1944" t="str">
        <f>"66298854953435"</f>
        <v>66298854953435</v>
      </c>
      <c r="AJ1944" t="str">
        <f>"26T51SEV"</f>
        <v>26T51SEV</v>
      </c>
      <c r="AK1944" t="s">
        <v>46</v>
      </c>
      <c r="AL1944" s="1">
        <v>44816.55265046296</v>
      </c>
      <c r="AM1944" t="s">
        <v>44</v>
      </c>
    </row>
    <row r="1945" spans="1:39" x14ac:dyDescent="0.2">
      <c r="A1945" t="s">
        <v>1910</v>
      </c>
      <c r="B1945" t="s">
        <v>40</v>
      </c>
      <c r="C1945" t="s">
        <v>1807</v>
      </c>
      <c r="D1945" t="s">
        <v>42</v>
      </c>
      <c r="E1945" t="s">
        <v>43</v>
      </c>
      <c r="F1945" t="s">
        <v>44</v>
      </c>
      <c r="G1945" t="s">
        <v>45</v>
      </c>
      <c r="AH1945" t="s">
        <v>42</v>
      </c>
      <c r="AI1945" t="str">
        <f>"66298854909981"</f>
        <v>66298854909981</v>
      </c>
      <c r="AJ1945" t="str">
        <f>"VS05700000002"</f>
        <v>VS05700000002</v>
      </c>
      <c r="AK1945" t="s">
        <v>46</v>
      </c>
      <c r="AL1945" s="1">
        <v>44816.55265046296</v>
      </c>
      <c r="AM1945" t="s">
        <v>44</v>
      </c>
    </row>
    <row r="1946" spans="1:39" x14ac:dyDescent="0.2">
      <c r="A1946" t="s">
        <v>1911</v>
      </c>
      <c r="B1946" t="s">
        <v>40</v>
      </c>
      <c r="C1946" t="s">
        <v>1807</v>
      </c>
      <c r="D1946" t="s">
        <v>42</v>
      </c>
      <c r="E1946" t="s">
        <v>43</v>
      </c>
      <c r="F1946" t="s">
        <v>44</v>
      </c>
      <c r="G1946" t="s">
        <v>45</v>
      </c>
      <c r="AH1946" t="s">
        <v>42</v>
      </c>
      <c r="AI1946" t="str">
        <f>"VS05850010001"</f>
        <v>VS05850010001</v>
      </c>
      <c r="AJ1946" t="str">
        <f>"VS05850010001"</f>
        <v>VS05850010001</v>
      </c>
      <c r="AK1946" t="s">
        <v>46</v>
      </c>
      <c r="AL1946" s="1">
        <v>45020.92119212963</v>
      </c>
      <c r="AM1946" t="s">
        <v>44</v>
      </c>
    </row>
    <row r="1947" spans="1:39" x14ac:dyDescent="0.2">
      <c r="A1947" t="s">
        <v>1912</v>
      </c>
      <c r="B1947" t="s">
        <v>40</v>
      </c>
      <c r="C1947" t="s">
        <v>1807</v>
      </c>
      <c r="D1947" t="s">
        <v>42</v>
      </c>
      <c r="E1947" t="s">
        <v>43</v>
      </c>
      <c r="F1947" t="s">
        <v>44</v>
      </c>
      <c r="G1947" t="s">
        <v>45</v>
      </c>
      <c r="AH1947" t="s">
        <v>42</v>
      </c>
      <c r="AI1947" t="str">
        <f>"228009"</f>
        <v>228009</v>
      </c>
      <c r="AJ1947" t="str">
        <f>"228009"</f>
        <v>228009</v>
      </c>
      <c r="AK1947" t="s">
        <v>46</v>
      </c>
      <c r="AL1947" s="1">
        <v>44894.646956018521</v>
      </c>
      <c r="AM1947" t="s">
        <v>44</v>
      </c>
    </row>
    <row r="1948" spans="1:39" x14ac:dyDescent="0.2">
      <c r="A1948" t="s">
        <v>1913</v>
      </c>
      <c r="B1948" t="s">
        <v>40</v>
      </c>
      <c r="C1948" t="s">
        <v>1807</v>
      </c>
      <c r="D1948" t="s">
        <v>42</v>
      </c>
      <c r="E1948" t="s">
        <v>43</v>
      </c>
      <c r="F1948" t="s">
        <v>44</v>
      </c>
      <c r="G1948" t="s">
        <v>45</v>
      </c>
      <c r="AH1948" t="s">
        <v>42</v>
      </c>
      <c r="AI1948" t="str">
        <f>"66298854994505"</f>
        <v>66298854994505</v>
      </c>
      <c r="AJ1948" t="str">
        <f>"DF032"</f>
        <v>DF032</v>
      </c>
      <c r="AK1948" t="s">
        <v>46</v>
      </c>
      <c r="AL1948" s="1">
        <v>44816.55265046296</v>
      </c>
      <c r="AM1948" t="s">
        <v>44</v>
      </c>
    </row>
    <row r="1949" spans="1:39" x14ac:dyDescent="0.2">
      <c r="A1949" t="s">
        <v>1914</v>
      </c>
      <c r="B1949" t="s">
        <v>40</v>
      </c>
      <c r="C1949" t="s">
        <v>1807</v>
      </c>
      <c r="D1949" t="s">
        <v>42</v>
      </c>
      <c r="E1949" t="s">
        <v>43</v>
      </c>
      <c r="F1949" t="s">
        <v>44</v>
      </c>
      <c r="G1949" t="s">
        <v>45</v>
      </c>
      <c r="AH1949" t="s">
        <v>42</v>
      </c>
      <c r="AI1949" t="str">
        <f>"66298855036619"</f>
        <v>66298855036619</v>
      </c>
      <c r="AJ1949" t="str">
        <f>"DF039"</f>
        <v>DF039</v>
      </c>
      <c r="AK1949" t="s">
        <v>46</v>
      </c>
      <c r="AL1949" s="1">
        <v>44816.552662037036</v>
      </c>
      <c r="AM1949" t="s">
        <v>44</v>
      </c>
    </row>
    <row r="1950" spans="1:39" x14ac:dyDescent="0.2">
      <c r="A1950" t="s">
        <v>1915</v>
      </c>
      <c r="B1950" t="s">
        <v>40</v>
      </c>
      <c r="C1950" t="s">
        <v>1807</v>
      </c>
      <c r="D1950" t="s">
        <v>42</v>
      </c>
      <c r="E1950" t="s">
        <v>43</v>
      </c>
      <c r="F1950" t="s">
        <v>44</v>
      </c>
      <c r="G1950" t="s">
        <v>45</v>
      </c>
      <c r="AH1950" t="s">
        <v>42</v>
      </c>
      <c r="AI1950" t="str">
        <f>"66298855079182"</f>
        <v>66298855079182</v>
      </c>
      <c r="AJ1950" t="str">
        <f>"06120-KYJ-000BR"</f>
        <v>06120-KYJ-000BR</v>
      </c>
      <c r="AK1950" t="s">
        <v>46</v>
      </c>
      <c r="AL1950" s="1">
        <v>44816.552662037036</v>
      </c>
      <c r="AM1950" t="s">
        <v>44</v>
      </c>
    </row>
    <row r="1951" spans="1:39" x14ac:dyDescent="0.2">
      <c r="A1951" t="s">
        <v>1915</v>
      </c>
      <c r="B1951" t="s">
        <v>40</v>
      </c>
      <c r="C1951" t="s">
        <v>1807</v>
      </c>
      <c r="D1951" t="s">
        <v>42</v>
      </c>
      <c r="E1951" t="s">
        <v>43</v>
      </c>
      <c r="F1951" t="s">
        <v>44</v>
      </c>
      <c r="G1951" t="s">
        <v>45</v>
      </c>
      <c r="AH1951" t="s">
        <v>42</v>
      </c>
      <c r="AI1951" t="str">
        <f>"VS05700000950"</f>
        <v>VS05700000950</v>
      </c>
      <c r="AJ1951" t="str">
        <f>"VS05700000950"</f>
        <v>VS05700000950</v>
      </c>
      <c r="AK1951" t="s">
        <v>46</v>
      </c>
      <c r="AL1951" s="1">
        <v>44905.570370370369</v>
      </c>
      <c r="AM1951" t="s">
        <v>44</v>
      </c>
    </row>
    <row r="1952" spans="1:39" x14ac:dyDescent="0.2">
      <c r="A1952" t="s">
        <v>1916</v>
      </c>
      <c r="B1952" t="s">
        <v>40</v>
      </c>
      <c r="C1952" t="s">
        <v>1807</v>
      </c>
      <c r="D1952" t="s">
        <v>42</v>
      </c>
      <c r="E1952" t="s">
        <v>43</v>
      </c>
      <c r="F1952" t="s">
        <v>44</v>
      </c>
      <c r="G1952" t="s">
        <v>45</v>
      </c>
      <c r="AH1952" t="s">
        <v>42</v>
      </c>
      <c r="AI1952" t="str">
        <f>"66298855121113"</f>
        <v>66298855121113</v>
      </c>
      <c r="AJ1952" t="str">
        <f>"26T59CSV"</f>
        <v>26T59CSV</v>
      </c>
      <c r="AK1952" t="s">
        <v>46</v>
      </c>
      <c r="AL1952" s="1">
        <v>44816.552673611113</v>
      </c>
      <c r="AM1952" t="s">
        <v>44</v>
      </c>
    </row>
    <row r="1953" spans="1:39" x14ac:dyDescent="0.2">
      <c r="A1953" t="s">
        <v>1916</v>
      </c>
      <c r="B1953" t="s">
        <v>40</v>
      </c>
      <c r="C1953" t="s">
        <v>1807</v>
      </c>
      <c r="D1953" t="s">
        <v>42</v>
      </c>
      <c r="E1953" t="s">
        <v>43</v>
      </c>
      <c r="F1953" t="s">
        <v>44</v>
      </c>
      <c r="G1953" t="s">
        <v>45</v>
      </c>
      <c r="AH1953" t="s">
        <v>42</v>
      </c>
      <c r="AI1953" t="str">
        <f>"66298855125778"</f>
        <v>66298855125778</v>
      </c>
      <c r="AJ1953" t="str">
        <f>"DF036"</f>
        <v>DF036</v>
      </c>
      <c r="AK1953" t="s">
        <v>46</v>
      </c>
      <c r="AL1953" s="1">
        <v>44816.552673611113</v>
      </c>
      <c r="AM1953" t="s">
        <v>44</v>
      </c>
    </row>
    <row r="1954" spans="1:39" x14ac:dyDescent="0.2">
      <c r="A1954" t="s">
        <v>1917</v>
      </c>
      <c r="B1954" t="s">
        <v>40</v>
      </c>
      <c r="C1954" t="s">
        <v>1807</v>
      </c>
      <c r="D1954" t="s">
        <v>42</v>
      </c>
      <c r="E1954" t="s">
        <v>43</v>
      </c>
      <c r="F1954" t="s">
        <v>44</v>
      </c>
      <c r="G1954" t="s">
        <v>45</v>
      </c>
      <c r="AH1954" t="s">
        <v>42</v>
      </c>
      <c r="AI1954" t="str">
        <f>"66298855177554"</f>
        <v>66298855177554</v>
      </c>
      <c r="AJ1954" t="str">
        <f>"26T28SEV"</f>
        <v>26T28SEV</v>
      </c>
      <c r="AK1954" t="s">
        <v>46</v>
      </c>
      <c r="AL1954" s="1">
        <v>44816.552673611113</v>
      </c>
      <c r="AM1954" t="s">
        <v>44</v>
      </c>
    </row>
    <row r="1955" spans="1:39" x14ac:dyDescent="0.2">
      <c r="A1955" t="s">
        <v>1918</v>
      </c>
      <c r="B1955" t="s">
        <v>40</v>
      </c>
      <c r="C1955" t="s">
        <v>1807</v>
      </c>
      <c r="D1955" t="s">
        <v>42</v>
      </c>
      <c r="E1955" t="s">
        <v>43</v>
      </c>
      <c r="F1955" t="s">
        <v>44</v>
      </c>
      <c r="G1955" t="s">
        <v>45</v>
      </c>
      <c r="AH1955" t="s">
        <v>42</v>
      </c>
      <c r="AI1955" t="str">
        <f>"VS05700010001"</f>
        <v>VS05700010001</v>
      </c>
      <c r="AJ1955" t="str">
        <f>"VS05700010001"</f>
        <v>VS05700010001</v>
      </c>
      <c r="AK1955" t="s">
        <v>46</v>
      </c>
      <c r="AL1955" s="1">
        <v>44904.85224537037</v>
      </c>
      <c r="AM1955" t="s">
        <v>44</v>
      </c>
    </row>
    <row r="1956" spans="1:39" x14ac:dyDescent="0.2">
      <c r="A1956" t="s">
        <v>1919</v>
      </c>
      <c r="B1956" t="s">
        <v>40</v>
      </c>
      <c r="C1956" t="s">
        <v>1807</v>
      </c>
      <c r="D1956" t="s">
        <v>42</v>
      </c>
      <c r="E1956" t="s">
        <v>43</v>
      </c>
      <c r="F1956" t="s">
        <v>44</v>
      </c>
      <c r="G1956" t="s">
        <v>45</v>
      </c>
      <c r="AH1956" t="s">
        <v>42</v>
      </c>
      <c r="AI1956" t="str">
        <f>"66298855223154"</f>
        <v>66298855223154</v>
      </c>
      <c r="AJ1956" t="str">
        <f>"26T52SEV"</f>
        <v>26T52SEV</v>
      </c>
      <c r="AK1956" t="s">
        <v>46</v>
      </c>
      <c r="AL1956" s="1">
        <v>44816.552685185183</v>
      </c>
      <c r="AM1956" t="s">
        <v>44</v>
      </c>
    </row>
    <row r="1957" spans="1:39" x14ac:dyDescent="0.2">
      <c r="A1957" t="s">
        <v>1920</v>
      </c>
      <c r="B1957" t="s">
        <v>40</v>
      </c>
      <c r="C1957" t="s">
        <v>1807</v>
      </c>
      <c r="D1957" t="s">
        <v>42</v>
      </c>
      <c r="E1957" t="s">
        <v>43</v>
      </c>
      <c r="F1957" t="s">
        <v>44</v>
      </c>
      <c r="G1957" t="s">
        <v>45</v>
      </c>
      <c r="AH1957" t="s">
        <v>42</v>
      </c>
      <c r="AI1957" t="str">
        <f>"66298855269140"</f>
        <v>66298855269140</v>
      </c>
      <c r="AJ1957" t="str">
        <f>"DF011"</f>
        <v>DF011</v>
      </c>
      <c r="AK1957" t="s">
        <v>46</v>
      </c>
      <c r="AL1957" s="1">
        <v>44816.552685185183</v>
      </c>
      <c r="AM1957" t="s">
        <v>44</v>
      </c>
    </row>
    <row r="1958" spans="1:39" x14ac:dyDescent="0.2">
      <c r="A1958" t="s">
        <v>1921</v>
      </c>
      <c r="B1958" t="s">
        <v>40</v>
      </c>
      <c r="C1958" t="s">
        <v>1807</v>
      </c>
      <c r="D1958" t="s">
        <v>42</v>
      </c>
      <c r="E1958" t="s">
        <v>43</v>
      </c>
      <c r="F1958" t="s">
        <v>44</v>
      </c>
      <c r="G1958" t="s">
        <v>45</v>
      </c>
      <c r="AH1958" t="s">
        <v>42</v>
      </c>
      <c r="AI1958" t="str">
        <f>"66298855345143"</f>
        <v>66298855345143</v>
      </c>
      <c r="AJ1958" t="str">
        <f>"DF016"</f>
        <v>DF016</v>
      </c>
      <c r="AK1958" t="s">
        <v>46</v>
      </c>
      <c r="AL1958" s="1">
        <v>44816.55269675926</v>
      </c>
      <c r="AM1958" t="s">
        <v>44</v>
      </c>
    </row>
    <row r="1959" spans="1:39" x14ac:dyDescent="0.2">
      <c r="A1959" t="s">
        <v>1922</v>
      </c>
      <c r="B1959" t="s">
        <v>40</v>
      </c>
      <c r="C1959" t="s">
        <v>1807</v>
      </c>
      <c r="D1959" t="s">
        <v>42</v>
      </c>
      <c r="E1959" t="s">
        <v>43</v>
      </c>
      <c r="F1959" t="s">
        <v>44</v>
      </c>
      <c r="G1959" t="s">
        <v>45</v>
      </c>
      <c r="AH1959" t="s">
        <v>42</v>
      </c>
      <c r="AI1959" t="str">
        <f>"66298855308647"</f>
        <v>66298855308647</v>
      </c>
      <c r="AJ1959" t="str">
        <f>"34T96SEV"</f>
        <v>34T96SEV</v>
      </c>
      <c r="AK1959" t="s">
        <v>46</v>
      </c>
      <c r="AL1959" s="1">
        <v>44816.55269675926</v>
      </c>
      <c r="AM1959" t="s">
        <v>44</v>
      </c>
    </row>
    <row r="1960" spans="1:39" x14ac:dyDescent="0.2">
      <c r="A1960" t="s">
        <v>1923</v>
      </c>
      <c r="B1960" t="s">
        <v>40</v>
      </c>
      <c r="C1960" t="s">
        <v>1807</v>
      </c>
      <c r="D1960" t="s">
        <v>42</v>
      </c>
      <c r="E1960" t="s">
        <v>43</v>
      </c>
      <c r="F1960" t="s">
        <v>44</v>
      </c>
      <c r="G1960" t="s">
        <v>45</v>
      </c>
      <c r="AH1960" t="s">
        <v>42</v>
      </c>
      <c r="AI1960" t="str">
        <f>"66298855384909"</f>
        <v>66298855384909</v>
      </c>
      <c r="AJ1960" t="str">
        <f>"26T16CSV"</f>
        <v>26T16CSV</v>
      </c>
      <c r="AK1960" t="s">
        <v>46</v>
      </c>
      <c r="AL1960" s="1">
        <v>44816.55269675926</v>
      </c>
      <c r="AM1960" t="s">
        <v>44</v>
      </c>
    </row>
    <row r="1961" spans="1:39" x14ac:dyDescent="0.2">
      <c r="A1961" t="s">
        <v>1924</v>
      </c>
      <c r="B1961" t="s">
        <v>40</v>
      </c>
      <c r="C1961" t="s">
        <v>1807</v>
      </c>
      <c r="D1961" t="s">
        <v>42</v>
      </c>
      <c r="E1961" t="s">
        <v>43</v>
      </c>
      <c r="F1961" t="s">
        <v>44</v>
      </c>
      <c r="G1961" t="s">
        <v>45</v>
      </c>
      <c r="AH1961" t="s">
        <v>42</v>
      </c>
      <c r="AI1961" t="str">
        <f>"66298855429008"</f>
        <v>66298855429008</v>
      </c>
      <c r="AJ1961" t="str">
        <f>"26T62CSV"</f>
        <v>26T62CSV</v>
      </c>
      <c r="AK1961" t="s">
        <v>46</v>
      </c>
      <c r="AL1961" s="1">
        <v>44816.552708333336</v>
      </c>
      <c r="AM1961" t="s">
        <v>44</v>
      </c>
    </row>
    <row r="1962" spans="1:39" x14ac:dyDescent="0.2">
      <c r="A1962" t="s">
        <v>1925</v>
      </c>
      <c r="B1962" t="s">
        <v>40</v>
      </c>
      <c r="C1962" t="s">
        <v>1807</v>
      </c>
      <c r="D1962" t="s">
        <v>42</v>
      </c>
      <c r="E1962" t="s">
        <v>43</v>
      </c>
      <c r="F1962" t="s">
        <v>44</v>
      </c>
      <c r="G1962" t="s">
        <v>45</v>
      </c>
      <c r="AH1962" t="s">
        <v>42</v>
      </c>
      <c r="AI1962" t="str">
        <f>"66298855541186"</f>
        <v>66298855541186</v>
      </c>
      <c r="AJ1962" t="str">
        <f>"27T70SEV"</f>
        <v>27T70SEV</v>
      </c>
      <c r="AK1962" t="s">
        <v>46</v>
      </c>
      <c r="AL1962" s="1">
        <v>44816.552719907406</v>
      </c>
      <c r="AM1962" t="s">
        <v>44</v>
      </c>
    </row>
    <row r="1963" spans="1:39" x14ac:dyDescent="0.2">
      <c r="A1963" t="s">
        <v>1925</v>
      </c>
      <c r="B1963" t="s">
        <v>40</v>
      </c>
      <c r="C1963" t="s">
        <v>1807</v>
      </c>
      <c r="D1963" t="s">
        <v>42</v>
      </c>
      <c r="E1963" t="s">
        <v>43</v>
      </c>
      <c r="F1963" t="s">
        <v>44</v>
      </c>
      <c r="G1963" t="s">
        <v>45</v>
      </c>
      <c r="AH1963" t="s">
        <v>42</v>
      </c>
      <c r="AI1963" t="str">
        <f>"VS53700000400"</f>
        <v>VS53700000400</v>
      </c>
      <c r="AJ1963" t="str">
        <f>"VS53700000400"</f>
        <v>VS53700000400</v>
      </c>
      <c r="AK1963" t="s">
        <v>46</v>
      </c>
      <c r="AL1963" s="1">
        <v>44905.566863425927</v>
      </c>
      <c r="AM1963" t="s">
        <v>44</v>
      </c>
    </row>
    <row r="1964" spans="1:39" x14ac:dyDescent="0.2">
      <c r="A1964" t="s">
        <v>1926</v>
      </c>
      <c r="B1964" t="s">
        <v>40</v>
      </c>
      <c r="C1964" t="s">
        <v>1807</v>
      </c>
      <c r="D1964" t="s">
        <v>42</v>
      </c>
      <c r="E1964" t="s">
        <v>43</v>
      </c>
      <c r="F1964" t="s">
        <v>44</v>
      </c>
      <c r="G1964" t="s">
        <v>45</v>
      </c>
      <c r="AH1964" t="s">
        <v>42</v>
      </c>
      <c r="AI1964" t="str">
        <f>"VS15700000021"</f>
        <v>VS15700000021</v>
      </c>
      <c r="AJ1964" t="str">
        <f>"VS15700000021"</f>
        <v>VS15700000021</v>
      </c>
      <c r="AK1964" t="s">
        <v>46</v>
      </c>
      <c r="AL1964" s="1">
        <v>44904.838692129626</v>
      </c>
      <c r="AM1964" t="s">
        <v>44</v>
      </c>
    </row>
    <row r="1965" spans="1:39" x14ac:dyDescent="0.2">
      <c r="A1965" t="s">
        <v>1927</v>
      </c>
      <c r="B1965" t="s">
        <v>40</v>
      </c>
      <c r="C1965" t="s">
        <v>1807</v>
      </c>
      <c r="D1965" t="s">
        <v>42</v>
      </c>
      <c r="E1965" t="s">
        <v>43</v>
      </c>
      <c r="F1965" t="s">
        <v>44</v>
      </c>
      <c r="G1965" t="s">
        <v>45</v>
      </c>
      <c r="AH1965" t="s">
        <v>42</v>
      </c>
      <c r="AI1965" t="str">
        <f>"P4VS270700064"</f>
        <v>P4VS270700064</v>
      </c>
      <c r="AJ1965" t="str">
        <f>"P4VS270700064"</f>
        <v>P4VS270700064</v>
      </c>
      <c r="AK1965" t="s">
        <v>46</v>
      </c>
      <c r="AL1965" s="1">
        <v>45078.777685185189</v>
      </c>
      <c r="AM1965" t="s">
        <v>44</v>
      </c>
    </row>
    <row r="1966" spans="1:39" x14ac:dyDescent="0.2">
      <c r="A1966" t="s">
        <v>1927</v>
      </c>
      <c r="B1966" t="s">
        <v>40</v>
      </c>
      <c r="C1966" t="s">
        <v>1807</v>
      </c>
      <c r="D1966" t="s">
        <v>42</v>
      </c>
      <c r="E1966" t="s">
        <v>43</v>
      </c>
      <c r="F1966" t="s">
        <v>44</v>
      </c>
      <c r="G1966" t="s">
        <v>45</v>
      </c>
      <c r="AH1966" t="s">
        <v>42</v>
      </c>
      <c r="AI1966" t="str">
        <f>"P4V5270700064"</f>
        <v>P4V5270700064</v>
      </c>
      <c r="AJ1966" t="str">
        <f>"P4V5270700064"</f>
        <v>P4V5270700064</v>
      </c>
      <c r="AK1966" t="s">
        <v>46</v>
      </c>
      <c r="AL1966" s="1">
        <v>45092.707708333335</v>
      </c>
      <c r="AM1966" t="s">
        <v>44</v>
      </c>
    </row>
    <row r="1967" spans="1:39" x14ac:dyDescent="0.2">
      <c r="A1967" t="s">
        <v>1928</v>
      </c>
      <c r="B1967" t="s">
        <v>40</v>
      </c>
      <c r="C1967" t="s">
        <v>1807</v>
      </c>
      <c r="D1967" t="s">
        <v>42</v>
      </c>
      <c r="E1967" t="s">
        <v>43</v>
      </c>
      <c r="F1967" t="s">
        <v>44</v>
      </c>
      <c r="G1967" t="s">
        <v>45</v>
      </c>
      <c r="AH1967" t="s">
        <v>42</v>
      </c>
      <c r="AI1967" t="str">
        <f>"66298855583789"</f>
        <v>66298855583789</v>
      </c>
      <c r="AJ1967" t="str">
        <f>"30T20SEV"</f>
        <v>30T20SEV</v>
      </c>
      <c r="AK1967" t="s">
        <v>46</v>
      </c>
      <c r="AL1967" s="1">
        <v>44816.552719907406</v>
      </c>
      <c r="AM1967" t="s">
        <v>44</v>
      </c>
    </row>
    <row r="1968" spans="1:39" x14ac:dyDescent="0.2">
      <c r="A1968" t="s">
        <v>1929</v>
      </c>
      <c r="B1968" t="s">
        <v>40</v>
      </c>
      <c r="C1968" t="s">
        <v>1807</v>
      </c>
      <c r="D1968" t="s">
        <v>42</v>
      </c>
      <c r="E1968" t="s">
        <v>43</v>
      </c>
      <c r="F1968" t="s">
        <v>44</v>
      </c>
      <c r="G1968" t="s">
        <v>45</v>
      </c>
      <c r="AH1968" t="s">
        <v>42</v>
      </c>
      <c r="AI1968" t="str">
        <f>"VS52700000110"</f>
        <v>VS52700000110</v>
      </c>
      <c r="AJ1968" t="str">
        <f>"VS52700000110"</f>
        <v>VS52700000110</v>
      </c>
      <c r="AK1968" t="s">
        <v>46</v>
      </c>
      <c r="AL1968" s="1">
        <v>45020.919641203705</v>
      </c>
      <c r="AM1968" t="s">
        <v>44</v>
      </c>
    </row>
    <row r="1969" spans="1:39" x14ac:dyDescent="0.2">
      <c r="A1969" t="s">
        <v>1930</v>
      </c>
      <c r="B1969" t="s">
        <v>40</v>
      </c>
      <c r="C1969" t="s">
        <v>1807</v>
      </c>
      <c r="D1969" t="s">
        <v>42</v>
      </c>
      <c r="E1969" t="s">
        <v>43</v>
      </c>
      <c r="F1969" t="s">
        <v>44</v>
      </c>
      <c r="G1969" t="s">
        <v>45</v>
      </c>
      <c r="AH1969" t="s">
        <v>42</v>
      </c>
      <c r="AI1969" t="str">
        <f>"DF005"</f>
        <v>DF005</v>
      </c>
      <c r="AJ1969" t="str">
        <f>"DF005"</f>
        <v>DF005</v>
      </c>
      <c r="AK1969" t="s">
        <v>46</v>
      </c>
      <c r="AL1969" s="1">
        <v>44858.787789351853</v>
      </c>
      <c r="AM1969" t="s">
        <v>44</v>
      </c>
    </row>
    <row r="1970" spans="1:39" x14ac:dyDescent="0.2">
      <c r="A1970" t="s">
        <v>1930</v>
      </c>
      <c r="B1970" t="s">
        <v>40</v>
      </c>
      <c r="C1970" t="s">
        <v>1807</v>
      </c>
      <c r="D1970" t="s">
        <v>42</v>
      </c>
      <c r="E1970" t="s">
        <v>43</v>
      </c>
      <c r="F1970" t="s">
        <v>44</v>
      </c>
      <c r="G1970" t="s">
        <v>45</v>
      </c>
      <c r="AH1970" t="s">
        <v>42</v>
      </c>
      <c r="AI1970" t="str">
        <f>"21C-W0001-00BR"</f>
        <v>21C-W0001-00BR</v>
      </c>
      <c r="AJ1970" t="str">
        <f>"21C-W0001-00BR"</f>
        <v>21C-W0001-00BR</v>
      </c>
      <c r="AK1970" t="s">
        <v>46</v>
      </c>
      <c r="AL1970" s="1">
        <v>45061.900868055556</v>
      </c>
      <c r="AM1970" t="s">
        <v>44</v>
      </c>
    </row>
    <row r="1971" spans="1:39" x14ac:dyDescent="0.2">
      <c r="A1971" t="s">
        <v>1930</v>
      </c>
      <c r="B1971" t="s">
        <v>40</v>
      </c>
      <c r="C1971" t="s">
        <v>1807</v>
      </c>
      <c r="D1971" t="s">
        <v>42</v>
      </c>
      <c r="E1971" t="s">
        <v>43</v>
      </c>
      <c r="F1971" t="s">
        <v>44</v>
      </c>
      <c r="G1971" t="s">
        <v>45</v>
      </c>
      <c r="AH1971" t="s">
        <v>42</v>
      </c>
      <c r="AI1971" t="str">
        <f>"VS99700000161"</f>
        <v>VS99700000161</v>
      </c>
      <c r="AJ1971" t="str">
        <f>"VS99700000161"</f>
        <v>VS99700000161</v>
      </c>
      <c r="AK1971" t="s">
        <v>46</v>
      </c>
      <c r="AL1971" s="1">
        <v>45078.769270833334</v>
      </c>
      <c r="AM1971" t="s">
        <v>44</v>
      </c>
    </row>
    <row r="1972" spans="1:39" x14ac:dyDescent="0.2">
      <c r="A1972" t="s">
        <v>1931</v>
      </c>
      <c r="B1972" t="s">
        <v>40</v>
      </c>
      <c r="C1972" t="s">
        <v>1807</v>
      </c>
      <c r="D1972" t="s">
        <v>42</v>
      </c>
      <c r="E1972" t="s">
        <v>43</v>
      </c>
      <c r="F1972" t="s">
        <v>44</v>
      </c>
      <c r="G1972" t="s">
        <v>45</v>
      </c>
      <c r="AH1972" t="s">
        <v>42</v>
      </c>
      <c r="AI1972" t="str">
        <f>"VS10700090180"</f>
        <v>VS10700090180</v>
      </c>
      <c r="AJ1972" t="str">
        <f>"VS10700090180"</f>
        <v>VS10700090180</v>
      </c>
      <c r="AK1972" t="s">
        <v>46</v>
      </c>
      <c r="AL1972" s="1">
        <v>44870.692604166667</v>
      </c>
      <c r="AM1972" t="s">
        <v>44</v>
      </c>
    </row>
    <row r="1973" spans="1:39" x14ac:dyDescent="0.2">
      <c r="A1973" t="s">
        <v>1932</v>
      </c>
      <c r="B1973" t="s">
        <v>40</v>
      </c>
      <c r="C1973" t="s">
        <v>1807</v>
      </c>
      <c r="D1973" t="s">
        <v>42</v>
      </c>
      <c r="E1973" t="s">
        <v>43</v>
      </c>
      <c r="F1973" t="s">
        <v>44</v>
      </c>
      <c r="G1973" t="s">
        <v>45</v>
      </c>
      <c r="AH1973" t="s">
        <v>42</v>
      </c>
      <c r="AI1973" t="str">
        <f>"11394"</f>
        <v>11394</v>
      </c>
      <c r="AJ1973" t="str">
        <f>"11394"</f>
        <v>11394</v>
      </c>
      <c r="AK1973" t="s">
        <v>46</v>
      </c>
      <c r="AL1973" s="1">
        <v>45079.825196759259</v>
      </c>
      <c r="AM1973" t="s">
        <v>44</v>
      </c>
    </row>
    <row r="1974" spans="1:39" x14ac:dyDescent="0.2">
      <c r="A1974" t="s">
        <v>1933</v>
      </c>
      <c r="B1974" t="s">
        <v>40</v>
      </c>
      <c r="C1974" t="s">
        <v>1807</v>
      </c>
      <c r="D1974" t="s">
        <v>42</v>
      </c>
      <c r="E1974" t="s">
        <v>43</v>
      </c>
      <c r="F1974" t="s">
        <v>44</v>
      </c>
      <c r="G1974" t="s">
        <v>45</v>
      </c>
      <c r="AH1974" t="s">
        <v>42</v>
      </c>
      <c r="AI1974" t="str">
        <f>"66298855638970"</f>
        <v>66298855638970</v>
      </c>
      <c r="AJ1974" t="str">
        <f>"DF046"</f>
        <v>DF046</v>
      </c>
      <c r="AK1974" t="s">
        <v>46</v>
      </c>
      <c r="AL1974" s="1">
        <v>44816.552731481483</v>
      </c>
      <c r="AM1974" t="s">
        <v>44</v>
      </c>
    </row>
    <row r="1975" spans="1:39" x14ac:dyDescent="0.2">
      <c r="A1975" t="s">
        <v>1934</v>
      </c>
      <c r="B1975" t="s">
        <v>40</v>
      </c>
      <c r="C1975" t="s">
        <v>1807</v>
      </c>
      <c r="D1975" t="s">
        <v>42</v>
      </c>
      <c r="E1975" t="s">
        <v>43</v>
      </c>
      <c r="F1975" t="s">
        <v>44</v>
      </c>
      <c r="G1975" t="s">
        <v>45</v>
      </c>
      <c r="AH1975" t="s">
        <v>42</v>
      </c>
      <c r="AI1975" t="str">
        <f>"66298855678670"</f>
        <v>66298855678670</v>
      </c>
      <c r="AJ1975" t="str">
        <f>"228031"</f>
        <v>228031</v>
      </c>
      <c r="AK1975" t="s">
        <v>46</v>
      </c>
      <c r="AL1975" s="1">
        <v>44816.552731481483</v>
      </c>
      <c r="AM1975" t="s">
        <v>44</v>
      </c>
    </row>
    <row r="1976" spans="1:39" x14ac:dyDescent="0.2">
      <c r="A1976" t="s">
        <v>1934</v>
      </c>
      <c r="B1976" t="s">
        <v>40</v>
      </c>
      <c r="C1976" t="s">
        <v>1807</v>
      </c>
      <c r="D1976" t="s">
        <v>42</v>
      </c>
      <c r="E1976" t="s">
        <v>43</v>
      </c>
      <c r="F1976" t="s">
        <v>44</v>
      </c>
      <c r="G1976" t="s">
        <v>45</v>
      </c>
      <c r="AH1976" t="s">
        <v>42</v>
      </c>
      <c r="AI1976" t="str">
        <f>"VS15700000015"</f>
        <v>VS15700000015</v>
      </c>
      <c r="AJ1976" t="str">
        <f>"VS15700000015"</f>
        <v>VS15700000015</v>
      </c>
      <c r="AK1976" t="s">
        <v>46</v>
      </c>
      <c r="AL1976" s="1">
        <v>45092.719282407408</v>
      </c>
      <c r="AM1976" t="s">
        <v>44</v>
      </c>
    </row>
    <row r="1977" spans="1:39" x14ac:dyDescent="0.2">
      <c r="A1977" t="s">
        <v>1935</v>
      </c>
      <c r="B1977" t="s">
        <v>40</v>
      </c>
      <c r="C1977" t="s">
        <v>1807</v>
      </c>
      <c r="D1977" t="s">
        <v>42</v>
      </c>
      <c r="E1977" t="s">
        <v>43</v>
      </c>
      <c r="F1977" t="s">
        <v>44</v>
      </c>
      <c r="G1977" t="s">
        <v>45</v>
      </c>
      <c r="AH1977" t="s">
        <v>42</v>
      </c>
      <c r="AI1977" t="str">
        <f>"66298855727803"</f>
        <v>66298855727803</v>
      </c>
      <c r="AJ1977" t="str">
        <f>"25T42SEV"</f>
        <v>25T42SEV</v>
      </c>
      <c r="AK1977" t="s">
        <v>46</v>
      </c>
      <c r="AL1977" s="1">
        <v>44816.552743055552</v>
      </c>
      <c r="AM1977" t="s">
        <v>44</v>
      </c>
    </row>
    <row r="1978" spans="1:39" x14ac:dyDescent="0.2">
      <c r="A1978" t="s">
        <v>1936</v>
      </c>
      <c r="B1978" t="s">
        <v>40</v>
      </c>
      <c r="C1978" t="s">
        <v>1807</v>
      </c>
      <c r="D1978" t="s">
        <v>42</v>
      </c>
      <c r="E1978" t="s">
        <v>43</v>
      </c>
      <c r="F1978" t="s">
        <v>44</v>
      </c>
      <c r="G1978" t="s">
        <v>45</v>
      </c>
      <c r="AH1978" t="s">
        <v>42</v>
      </c>
      <c r="AI1978" t="str">
        <f>"66298855780019"</f>
        <v>66298855780019</v>
      </c>
      <c r="AJ1978" t="str">
        <f>"30T11SEV"</f>
        <v>30T11SEV</v>
      </c>
      <c r="AK1978" t="s">
        <v>46</v>
      </c>
      <c r="AL1978" s="1">
        <v>44816.552743055552</v>
      </c>
      <c r="AM1978" t="s">
        <v>44</v>
      </c>
    </row>
    <row r="1979" spans="1:39" x14ac:dyDescent="0.2">
      <c r="A1979" t="s">
        <v>1937</v>
      </c>
      <c r="B1979" t="s">
        <v>40</v>
      </c>
      <c r="C1979" t="s">
        <v>1807</v>
      </c>
      <c r="D1979" t="s">
        <v>42</v>
      </c>
      <c r="E1979" t="s">
        <v>43</v>
      </c>
      <c r="F1979" t="s">
        <v>44</v>
      </c>
      <c r="G1979" t="s">
        <v>45</v>
      </c>
      <c r="AH1979" t="s">
        <v>42</v>
      </c>
      <c r="AI1979" t="str">
        <f>"66298855820402"</f>
        <v>66298855820402</v>
      </c>
      <c r="AJ1979" t="str">
        <f>"28T08SEV"</f>
        <v>28T08SEV</v>
      </c>
      <c r="AK1979" t="s">
        <v>46</v>
      </c>
      <c r="AL1979" s="1">
        <v>44816.552754629629</v>
      </c>
      <c r="AM1979" t="s">
        <v>44</v>
      </c>
    </row>
    <row r="1980" spans="1:39" x14ac:dyDescent="0.2">
      <c r="A1980" t="s">
        <v>1938</v>
      </c>
      <c r="B1980" t="s">
        <v>40</v>
      </c>
      <c r="C1980" t="s">
        <v>1807</v>
      </c>
      <c r="D1980" t="s">
        <v>42</v>
      </c>
      <c r="E1980" t="s">
        <v>43</v>
      </c>
      <c r="F1980" t="s">
        <v>44</v>
      </c>
      <c r="G1980" t="s">
        <v>45</v>
      </c>
      <c r="AH1980" t="s">
        <v>42</v>
      </c>
      <c r="AI1980" t="str">
        <f>"66298855860253"</f>
        <v>66298855860253</v>
      </c>
      <c r="AJ1980" t="str">
        <f>"VS99850006150BR"</f>
        <v>VS99850006150BR</v>
      </c>
      <c r="AK1980" t="s">
        <v>46</v>
      </c>
      <c r="AL1980" s="1">
        <v>44816.552754629629</v>
      </c>
      <c r="AM1980" t="s">
        <v>44</v>
      </c>
    </row>
    <row r="1981" spans="1:39" x14ac:dyDescent="0.2">
      <c r="A1981" t="s">
        <v>1939</v>
      </c>
      <c r="B1981" t="s">
        <v>40</v>
      </c>
      <c r="C1981" t="s">
        <v>1807</v>
      </c>
      <c r="D1981" t="s">
        <v>42</v>
      </c>
      <c r="E1981" t="s">
        <v>43</v>
      </c>
      <c r="F1981" t="s">
        <v>44</v>
      </c>
      <c r="G1981" t="s">
        <v>45</v>
      </c>
      <c r="AH1981" t="s">
        <v>42</v>
      </c>
      <c r="AI1981" t="str">
        <f>"66298855902408"</f>
        <v>66298855902408</v>
      </c>
      <c r="AJ1981" t="str">
        <f>"DF042"</f>
        <v>DF042</v>
      </c>
      <c r="AK1981" t="s">
        <v>46</v>
      </c>
      <c r="AL1981" s="1">
        <v>44816.552766203706</v>
      </c>
      <c r="AM1981" t="s">
        <v>44</v>
      </c>
    </row>
    <row r="1982" spans="1:39" x14ac:dyDescent="0.2">
      <c r="A1982" t="s">
        <v>1940</v>
      </c>
      <c r="B1982" t="s">
        <v>40</v>
      </c>
      <c r="C1982" t="s">
        <v>1807</v>
      </c>
      <c r="D1982" t="s">
        <v>42</v>
      </c>
      <c r="E1982" t="s">
        <v>43</v>
      </c>
      <c r="F1982" t="s">
        <v>44</v>
      </c>
      <c r="G1982" t="s">
        <v>45</v>
      </c>
      <c r="AH1982" t="s">
        <v>42</v>
      </c>
      <c r="AI1982" t="str">
        <f>"66298855943668"</f>
        <v>66298855943668</v>
      </c>
      <c r="AJ1982" t="str">
        <f>"23T28SEV"</f>
        <v>23T28SEV</v>
      </c>
      <c r="AK1982" t="s">
        <v>46</v>
      </c>
      <c r="AL1982" s="1">
        <v>44816.552766203706</v>
      </c>
      <c r="AM1982" t="s">
        <v>44</v>
      </c>
    </row>
    <row r="1983" spans="1:39" x14ac:dyDescent="0.2">
      <c r="A1983" t="s">
        <v>1941</v>
      </c>
      <c r="B1983" t="s">
        <v>40</v>
      </c>
      <c r="C1983" t="s">
        <v>1807</v>
      </c>
      <c r="D1983" t="s">
        <v>42</v>
      </c>
      <c r="E1983" t="s">
        <v>43</v>
      </c>
      <c r="F1983" t="s">
        <v>44</v>
      </c>
      <c r="G1983" t="s">
        <v>45</v>
      </c>
      <c r="AH1983" t="s">
        <v>42</v>
      </c>
      <c r="AI1983" t="str">
        <f>"66298855981424"</f>
        <v>66298855981424</v>
      </c>
      <c r="AJ1983" t="str">
        <f>"23T31SEV"</f>
        <v>23T31SEV</v>
      </c>
      <c r="AK1983" t="s">
        <v>46</v>
      </c>
      <c r="AL1983" s="1">
        <v>44816.552766203706</v>
      </c>
      <c r="AM1983" t="s">
        <v>44</v>
      </c>
    </row>
    <row r="1984" spans="1:39" x14ac:dyDescent="0.2">
      <c r="A1984" t="s">
        <v>1942</v>
      </c>
      <c r="B1984" t="s">
        <v>40</v>
      </c>
      <c r="C1984" t="s">
        <v>1807</v>
      </c>
      <c r="D1984" t="s">
        <v>42</v>
      </c>
      <c r="E1984" t="s">
        <v>43</v>
      </c>
      <c r="F1984" t="s">
        <v>44</v>
      </c>
      <c r="G1984" t="s">
        <v>45</v>
      </c>
      <c r="AH1984" t="s">
        <v>42</v>
      </c>
      <c r="AI1984" t="str">
        <f>"66298856027308"</f>
        <v>66298856027308</v>
      </c>
      <c r="AJ1984" t="str">
        <f>"23T32SEV"</f>
        <v>23T32SEV</v>
      </c>
      <c r="AK1984" t="s">
        <v>46</v>
      </c>
      <c r="AL1984" s="1">
        <v>44816.552777777775</v>
      </c>
      <c r="AM1984" t="s">
        <v>44</v>
      </c>
    </row>
    <row r="1985" spans="1:39" x14ac:dyDescent="0.2">
      <c r="A1985" t="s">
        <v>1943</v>
      </c>
      <c r="B1985" t="s">
        <v>40</v>
      </c>
      <c r="C1985" t="s">
        <v>1807</v>
      </c>
      <c r="D1985" t="s">
        <v>42</v>
      </c>
      <c r="E1985" t="s">
        <v>43</v>
      </c>
      <c r="F1985" t="s">
        <v>44</v>
      </c>
      <c r="G1985" t="s">
        <v>45</v>
      </c>
      <c r="AH1985" t="s">
        <v>42</v>
      </c>
      <c r="AI1985" t="str">
        <f>"66298856069816"</f>
        <v>66298856069816</v>
      </c>
      <c r="AJ1985" t="str">
        <f>"34T105SEV"</f>
        <v>34T105SEV</v>
      </c>
      <c r="AK1985" t="s">
        <v>46</v>
      </c>
      <c r="AL1985" s="1">
        <v>44816.552777777775</v>
      </c>
      <c r="AM1985" t="s">
        <v>44</v>
      </c>
    </row>
    <row r="1986" spans="1:39" x14ac:dyDescent="0.2">
      <c r="A1986" t="s">
        <v>1944</v>
      </c>
      <c r="B1986" t="s">
        <v>40</v>
      </c>
      <c r="C1986" t="s">
        <v>1807</v>
      </c>
      <c r="D1986" t="s">
        <v>42</v>
      </c>
      <c r="E1986" t="s">
        <v>43</v>
      </c>
      <c r="F1986" t="s">
        <v>44</v>
      </c>
      <c r="G1986" t="s">
        <v>45</v>
      </c>
      <c r="AH1986" t="s">
        <v>42</v>
      </c>
      <c r="AI1986" t="str">
        <f>"VS05700000140"</f>
        <v>VS05700000140</v>
      </c>
      <c r="AJ1986" t="str">
        <f>"VS05700000140"</f>
        <v>VS05700000140</v>
      </c>
      <c r="AK1986" t="s">
        <v>46</v>
      </c>
      <c r="AL1986" s="1">
        <v>45092.72184027778</v>
      </c>
      <c r="AM1986" t="s">
        <v>44</v>
      </c>
    </row>
    <row r="1987" spans="1:39" x14ac:dyDescent="0.2">
      <c r="A1987" t="s">
        <v>1945</v>
      </c>
      <c r="B1987" t="s">
        <v>40</v>
      </c>
      <c r="C1987" t="s">
        <v>1807</v>
      </c>
      <c r="D1987" t="s">
        <v>42</v>
      </c>
      <c r="E1987" t="s">
        <v>43</v>
      </c>
      <c r="F1987" t="s">
        <v>44</v>
      </c>
      <c r="G1987" t="s">
        <v>45</v>
      </c>
      <c r="AH1987" t="s">
        <v>42</v>
      </c>
      <c r="AI1987" t="str">
        <f>"66298856112260"</f>
        <v>66298856112260</v>
      </c>
      <c r="AJ1987" t="str">
        <f>"33T21SEV"</f>
        <v>33T21SEV</v>
      </c>
      <c r="AK1987" t="s">
        <v>46</v>
      </c>
      <c r="AL1987" s="1">
        <v>44816.552789351852</v>
      </c>
      <c r="AM1987" t="s">
        <v>44</v>
      </c>
    </row>
    <row r="1988" spans="1:39" x14ac:dyDescent="0.2">
      <c r="A1988" t="s">
        <v>1946</v>
      </c>
      <c r="B1988" t="s">
        <v>40</v>
      </c>
      <c r="C1988" t="s">
        <v>1807</v>
      </c>
      <c r="D1988" t="s">
        <v>42</v>
      </c>
      <c r="E1988" t="s">
        <v>43</v>
      </c>
      <c r="F1988" t="s">
        <v>44</v>
      </c>
      <c r="G1988" t="s">
        <v>45</v>
      </c>
      <c r="AH1988" t="s">
        <v>42</v>
      </c>
      <c r="AI1988" t="str">
        <f>"27T64SE"</f>
        <v>27T64SE</v>
      </c>
      <c r="AJ1988" t="str">
        <f>"27T64SE"</f>
        <v>27T64SE</v>
      </c>
      <c r="AK1988" t="s">
        <v>46</v>
      </c>
      <c r="AL1988" s="1">
        <v>45069.878194444442</v>
      </c>
      <c r="AM1988" t="s">
        <v>44</v>
      </c>
    </row>
    <row r="1989" spans="1:39" x14ac:dyDescent="0.2">
      <c r="A1989" t="s">
        <v>1947</v>
      </c>
      <c r="B1989" t="s">
        <v>40</v>
      </c>
      <c r="C1989" t="s">
        <v>1807</v>
      </c>
      <c r="D1989" t="s">
        <v>42</v>
      </c>
      <c r="E1989" t="s">
        <v>43</v>
      </c>
      <c r="F1989" t="s">
        <v>44</v>
      </c>
      <c r="G1989" t="s">
        <v>45</v>
      </c>
      <c r="AH1989" t="s">
        <v>42</v>
      </c>
      <c r="AI1989" t="str">
        <f>"66298856164399"</f>
        <v>66298856164399</v>
      </c>
      <c r="AJ1989" t="str">
        <f>"27T48SEV"</f>
        <v>27T48SEV</v>
      </c>
      <c r="AK1989" t="s">
        <v>46</v>
      </c>
      <c r="AL1989" s="1">
        <v>44816.552789351852</v>
      </c>
      <c r="AM1989" t="s">
        <v>44</v>
      </c>
    </row>
    <row r="1990" spans="1:39" x14ac:dyDescent="0.2">
      <c r="A1990" t="s">
        <v>1947</v>
      </c>
      <c r="B1990" t="s">
        <v>40</v>
      </c>
      <c r="C1990" t="s">
        <v>1807</v>
      </c>
      <c r="D1990" t="s">
        <v>42</v>
      </c>
      <c r="E1990" t="s">
        <v>43</v>
      </c>
      <c r="F1990" t="s">
        <v>44</v>
      </c>
      <c r="G1990" t="s">
        <v>45</v>
      </c>
      <c r="AH1990" t="s">
        <v>42</v>
      </c>
      <c r="AI1990" t="str">
        <f>"66298856211545"</f>
        <v>66298856211545</v>
      </c>
      <c r="AJ1990" t="str">
        <f>"DF007"</f>
        <v>DF007</v>
      </c>
      <c r="AK1990" t="s">
        <v>46</v>
      </c>
      <c r="AL1990" s="1">
        <v>44816.552800925929</v>
      </c>
      <c r="AM1990" t="s">
        <v>44</v>
      </c>
    </row>
    <row r="1991" spans="1:39" x14ac:dyDescent="0.2">
      <c r="A1991" t="s">
        <v>1948</v>
      </c>
      <c r="B1991" t="s">
        <v>40</v>
      </c>
      <c r="C1991" t="s">
        <v>1807</v>
      </c>
      <c r="D1991" t="s">
        <v>42</v>
      </c>
      <c r="E1991" t="s">
        <v>43</v>
      </c>
      <c r="F1991" t="s">
        <v>44</v>
      </c>
      <c r="G1991" t="s">
        <v>45</v>
      </c>
      <c r="AH1991" t="s">
        <v>42</v>
      </c>
      <c r="AI1991" t="str">
        <f>"66298856262242"</f>
        <v>66298856262242</v>
      </c>
      <c r="AJ1991" t="str">
        <f>"VS51700000014"</f>
        <v>VS51700000014</v>
      </c>
      <c r="AK1991" t="s">
        <v>46</v>
      </c>
      <c r="AL1991" s="1">
        <v>44816.552800925929</v>
      </c>
      <c r="AM1991" t="s">
        <v>44</v>
      </c>
    </row>
    <row r="1992" spans="1:39" x14ac:dyDescent="0.2">
      <c r="A1992" t="s">
        <v>1949</v>
      </c>
      <c r="B1992" t="s">
        <v>40</v>
      </c>
      <c r="C1992" t="s">
        <v>1807</v>
      </c>
      <c r="D1992" t="s">
        <v>42</v>
      </c>
      <c r="E1992" t="s">
        <v>43</v>
      </c>
      <c r="F1992" t="s">
        <v>44</v>
      </c>
      <c r="G1992" t="s">
        <v>45</v>
      </c>
      <c r="AH1992" t="s">
        <v>42</v>
      </c>
      <c r="AI1992" t="str">
        <f>"66298856307854"</f>
        <v>66298856307854</v>
      </c>
      <c r="AJ1992" t="str">
        <f>"DF030"</f>
        <v>DF030</v>
      </c>
      <c r="AK1992" t="s">
        <v>46</v>
      </c>
      <c r="AL1992" s="1">
        <v>44816.552812499998</v>
      </c>
      <c r="AM1992" t="s">
        <v>44</v>
      </c>
    </row>
    <row r="1993" spans="1:39" x14ac:dyDescent="0.2">
      <c r="A1993" t="s">
        <v>1949</v>
      </c>
      <c r="B1993" t="s">
        <v>40</v>
      </c>
      <c r="C1993" t="s">
        <v>1807</v>
      </c>
      <c r="D1993" t="s">
        <v>42</v>
      </c>
      <c r="E1993" t="s">
        <v>43</v>
      </c>
      <c r="F1993" t="s">
        <v>44</v>
      </c>
      <c r="G1993" t="s">
        <v>45</v>
      </c>
      <c r="AH1993" t="s">
        <v>42</v>
      </c>
      <c r="AI1993" t="str">
        <f>"P4VS034700015"</f>
        <v>P4VS034700015</v>
      </c>
      <c r="AJ1993" t="str">
        <f>"P4VS034700015"</f>
        <v>P4VS034700015</v>
      </c>
      <c r="AK1993" t="s">
        <v>46</v>
      </c>
      <c r="AL1993" s="1">
        <v>45092.723124999997</v>
      </c>
      <c r="AM1993" t="s">
        <v>44</v>
      </c>
    </row>
    <row r="1994" spans="1:39" x14ac:dyDescent="0.2">
      <c r="A1994" t="s">
        <v>1950</v>
      </c>
      <c r="B1994" t="s">
        <v>40</v>
      </c>
      <c r="C1994" t="s">
        <v>1807</v>
      </c>
      <c r="D1994" t="s">
        <v>42</v>
      </c>
      <c r="E1994" t="s">
        <v>43</v>
      </c>
      <c r="F1994" t="s">
        <v>44</v>
      </c>
      <c r="G1994" t="s">
        <v>45</v>
      </c>
      <c r="AH1994" t="s">
        <v>42</v>
      </c>
      <c r="AI1994" t="str">
        <f>"66298856351813"</f>
        <v>66298856351813</v>
      </c>
      <c r="AJ1994" t="str">
        <f>"DF008"</f>
        <v>DF008</v>
      </c>
      <c r="AK1994" t="s">
        <v>46</v>
      </c>
      <c r="AL1994" s="1">
        <v>44816.552812499998</v>
      </c>
      <c r="AM1994" t="s">
        <v>44</v>
      </c>
    </row>
    <row r="1995" spans="1:39" x14ac:dyDescent="0.2">
      <c r="A1995" t="s">
        <v>1951</v>
      </c>
      <c r="B1995" t="s">
        <v>40</v>
      </c>
      <c r="C1995" t="s">
        <v>1807</v>
      </c>
      <c r="D1995" t="s">
        <v>42</v>
      </c>
      <c r="E1995" t="s">
        <v>43</v>
      </c>
      <c r="F1995" t="s">
        <v>44</v>
      </c>
      <c r="G1995" t="s">
        <v>45</v>
      </c>
      <c r="AH1995" t="s">
        <v>42</v>
      </c>
      <c r="AI1995" t="str">
        <f>"66298856391251"</f>
        <v>66298856391251</v>
      </c>
      <c r="AJ1995" t="str">
        <f>"DF031"</f>
        <v>DF031</v>
      </c>
      <c r="AK1995" t="s">
        <v>46</v>
      </c>
      <c r="AL1995" s="1">
        <v>44816.552812499998</v>
      </c>
      <c r="AM1995" t="s">
        <v>44</v>
      </c>
    </row>
    <row r="1996" spans="1:39" x14ac:dyDescent="0.2">
      <c r="A1996" t="s">
        <v>1952</v>
      </c>
      <c r="B1996" t="s">
        <v>40</v>
      </c>
      <c r="C1996" t="s">
        <v>1807</v>
      </c>
      <c r="D1996" t="s">
        <v>42</v>
      </c>
      <c r="E1996" t="s">
        <v>43</v>
      </c>
      <c r="F1996" t="s">
        <v>44</v>
      </c>
      <c r="G1996" t="s">
        <v>45</v>
      </c>
      <c r="H1996" t="s">
        <v>1953</v>
      </c>
      <c r="AH1996" t="s">
        <v>42</v>
      </c>
      <c r="AI1996" t="str">
        <f>"DF038"</f>
        <v>DF038</v>
      </c>
      <c r="AJ1996" t="str">
        <f>"DF038"</f>
        <v>DF038</v>
      </c>
      <c r="AK1996" t="s">
        <v>46</v>
      </c>
      <c r="AL1996" s="1">
        <v>44972.575196759259</v>
      </c>
      <c r="AM1996" t="s">
        <v>44</v>
      </c>
    </row>
    <row r="1997" spans="1:39" x14ac:dyDescent="0.2">
      <c r="A1997" t="s">
        <v>1952</v>
      </c>
      <c r="B1997" t="s">
        <v>40</v>
      </c>
      <c r="C1997" t="s">
        <v>1807</v>
      </c>
      <c r="D1997" t="s">
        <v>42</v>
      </c>
      <c r="E1997" t="s">
        <v>43</v>
      </c>
      <c r="F1997" t="s">
        <v>44</v>
      </c>
      <c r="G1997" t="s">
        <v>45</v>
      </c>
      <c r="H1997" t="s">
        <v>1954</v>
      </c>
      <c r="AH1997" t="s">
        <v>42</v>
      </c>
      <c r="AI1997" t="str">
        <f>"DF040"</f>
        <v>DF040</v>
      </c>
      <c r="AJ1997" t="str">
        <f>"DF040"</f>
        <v>DF040</v>
      </c>
      <c r="AK1997" t="s">
        <v>46</v>
      </c>
      <c r="AL1997" s="1">
        <v>44972.573449074072</v>
      </c>
      <c r="AM1997" t="s">
        <v>44</v>
      </c>
    </row>
    <row r="1998" spans="1:39" x14ac:dyDescent="0.2">
      <c r="A1998" t="s">
        <v>1955</v>
      </c>
      <c r="B1998" t="s">
        <v>40</v>
      </c>
      <c r="C1998" t="s">
        <v>1807</v>
      </c>
      <c r="D1998" t="s">
        <v>42</v>
      </c>
      <c r="E1998" t="s">
        <v>43</v>
      </c>
      <c r="F1998" t="s">
        <v>44</v>
      </c>
      <c r="G1998" t="s">
        <v>45</v>
      </c>
      <c r="AH1998" t="s">
        <v>42</v>
      </c>
      <c r="AI1998" t="str">
        <f>"VS99850006125"</f>
        <v>VS99850006125</v>
      </c>
      <c r="AJ1998" t="str">
        <f>"VS99850006125"</f>
        <v>VS99850006125</v>
      </c>
      <c r="AK1998" t="s">
        <v>46</v>
      </c>
      <c r="AL1998" s="1">
        <v>45093.935729166667</v>
      </c>
      <c r="AM1998" t="s">
        <v>44</v>
      </c>
    </row>
    <row r="1999" spans="1:39" x14ac:dyDescent="0.2">
      <c r="A1999" t="s">
        <v>1956</v>
      </c>
      <c r="B1999" t="s">
        <v>40</v>
      </c>
      <c r="C1999" t="s">
        <v>1807</v>
      </c>
      <c r="D1999" t="s">
        <v>42</v>
      </c>
      <c r="E1999" t="s">
        <v>43</v>
      </c>
      <c r="F1999" t="s">
        <v>44</v>
      </c>
      <c r="G1999" t="s">
        <v>45</v>
      </c>
      <c r="AH1999" t="s">
        <v>42</v>
      </c>
      <c r="AI1999" t="str">
        <f>"H1039"</f>
        <v>H1039</v>
      </c>
      <c r="AJ1999" t="str">
        <f>"H1039"</f>
        <v>H1039</v>
      </c>
      <c r="AK1999" t="s">
        <v>46</v>
      </c>
      <c r="AL1999" s="1">
        <v>45092.711851851855</v>
      </c>
      <c r="AM1999" t="s">
        <v>44</v>
      </c>
    </row>
    <row r="2000" spans="1:39" x14ac:dyDescent="0.2">
      <c r="A2000" t="s">
        <v>1956</v>
      </c>
      <c r="B2000" t="s">
        <v>40</v>
      </c>
      <c r="C2000" t="s">
        <v>1807</v>
      </c>
      <c r="D2000" t="s">
        <v>42</v>
      </c>
      <c r="E2000" t="s">
        <v>43</v>
      </c>
      <c r="F2000" t="s">
        <v>44</v>
      </c>
      <c r="G2000" t="s">
        <v>45</v>
      </c>
      <c r="AH2000" t="s">
        <v>42</v>
      </c>
      <c r="AI2000" t="str">
        <f>"H1039B"</f>
        <v>H1039B</v>
      </c>
      <c r="AJ2000" t="str">
        <f>"H1039B"</f>
        <v>H1039B</v>
      </c>
      <c r="AK2000" t="s">
        <v>46</v>
      </c>
      <c r="AL2000" s="1">
        <v>45093.934016203704</v>
      </c>
      <c r="AM2000" t="s">
        <v>44</v>
      </c>
    </row>
    <row r="2001" spans="1:39" x14ac:dyDescent="0.2">
      <c r="A2001" t="s">
        <v>1957</v>
      </c>
      <c r="B2001" t="s">
        <v>40</v>
      </c>
      <c r="C2001" t="s">
        <v>1807</v>
      </c>
      <c r="D2001" t="s">
        <v>42</v>
      </c>
      <c r="E2001" t="s">
        <v>43</v>
      </c>
      <c r="F2001" t="s">
        <v>44</v>
      </c>
      <c r="G2001" t="s">
        <v>45</v>
      </c>
      <c r="AH2001" t="s">
        <v>42</v>
      </c>
      <c r="AI2001" t="str">
        <f>"66298856435245"</f>
        <v>66298856435245</v>
      </c>
      <c r="AJ2001" t="str">
        <f>"26T43CSV"</f>
        <v>26T43CSV</v>
      </c>
      <c r="AK2001" t="s">
        <v>46</v>
      </c>
      <c r="AL2001" s="1">
        <v>44816.552824074075</v>
      </c>
      <c r="AM2001" t="s">
        <v>44</v>
      </c>
    </row>
    <row r="2002" spans="1:39" x14ac:dyDescent="0.2">
      <c r="A2002" t="s">
        <v>1957</v>
      </c>
      <c r="B2002" t="s">
        <v>40</v>
      </c>
      <c r="C2002" t="s">
        <v>1807</v>
      </c>
      <c r="D2002" t="s">
        <v>42</v>
      </c>
      <c r="E2002" t="s">
        <v>43</v>
      </c>
      <c r="F2002" t="s">
        <v>44</v>
      </c>
      <c r="G2002" t="s">
        <v>45</v>
      </c>
      <c r="AH2002" t="s">
        <v>42</v>
      </c>
      <c r="AI2002" t="str">
        <f>"66298856476201"</f>
        <v>66298856476201</v>
      </c>
      <c r="AJ2002" t="str">
        <f>"DF034"</f>
        <v>DF034</v>
      </c>
      <c r="AK2002" t="s">
        <v>46</v>
      </c>
      <c r="AL2002" s="1">
        <v>44816.552824074075</v>
      </c>
      <c r="AM2002" t="s">
        <v>44</v>
      </c>
    </row>
    <row r="2003" spans="1:39" x14ac:dyDescent="0.2">
      <c r="A2003" t="s">
        <v>1958</v>
      </c>
      <c r="B2003" t="s">
        <v>40</v>
      </c>
      <c r="C2003" t="s">
        <v>1807</v>
      </c>
      <c r="D2003" t="s">
        <v>42</v>
      </c>
      <c r="E2003" t="s">
        <v>43</v>
      </c>
      <c r="F2003" t="s">
        <v>44</v>
      </c>
      <c r="G2003" t="s">
        <v>45</v>
      </c>
      <c r="AH2003" t="s">
        <v>42</v>
      </c>
      <c r="AI2003" t="str">
        <f>"66298856523499"</f>
        <v>66298856523499</v>
      </c>
      <c r="AJ2003" t="str">
        <f>"DF045"</f>
        <v>DF045</v>
      </c>
      <c r="AK2003" t="s">
        <v>46</v>
      </c>
      <c r="AL2003" s="1">
        <v>44816.552835648145</v>
      </c>
      <c r="AM2003" t="s">
        <v>44</v>
      </c>
    </row>
    <row r="2004" spans="1:39" x14ac:dyDescent="0.2">
      <c r="A2004" t="s">
        <v>1959</v>
      </c>
      <c r="B2004" t="s">
        <v>40</v>
      </c>
      <c r="C2004" t="s">
        <v>1807</v>
      </c>
      <c r="D2004" t="s">
        <v>42</v>
      </c>
      <c r="E2004" t="s">
        <v>43</v>
      </c>
      <c r="F2004" t="s">
        <v>44</v>
      </c>
      <c r="G2004" t="s">
        <v>45</v>
      </c>
      <c r="AH2004" t="s">
        <v>42</v>
      </c>
      <c r="AI2004" t="str">
        <f>"66298856571785"</f>
        <v>66298856571785</v>
      </c>
      <c r="AJ2004" t="str">
        <f>"26T09CSV"</f>
        <v>26T09CSV</v>
      </c>
      <c r="AK2004" t="s">
        <v>46</v>
      </c>
      <c r="AL2004" s="1">
        <v>44816.552835648145</v>
      </c>
      <c r="AM2004" t="s">
        <v>44</v>
      </c>
    </row>
    <row r="2005" spans="1:39" x14ac:dyDescent="0.2">
      <c r="A2005" t="s">
        <v>1960</v>
      </c>
      <c r="B2005" t="s">
        <v>40</v>
      </c>
      <c r="C2005" t="s">
        <v>1807</v>
      </c>
      <c r="D2005" t="s">
        <v>42</v>
      </c>
      <c r="E2005" t="s">
        <v>43</v>
      </c>
      <c r="F2005" t="s">
        <v>44</v>
      </c>
      <c r="G2005" t="s">
        <v>45</v>
      </c>
      <c r="AH2005" t="s">
        <v>42</v>
      </c>
      <c r="AI2005" t="str">
        <f>"66298856620185"</f>
        <v>66298856620185</v>
      </c>
      <c r="AJ2005" t="str">
        <f>"26T56CSV"</f>
        <v>26T56CSV</v>
      </c>
      <c r="AK2005" t="s">
        <v>46</v>
      </c>
      <c r="AL2005" s="1">
        <v>44816.552847222221</v>
      </c>
      <c r="AM2005" t="s">
        <v>44</v>
      </c>
    </row>
    <row r="2006" spans="1:39" x14ac:dyDescent="0.2">
      <c r="A2006" t="s">
        <v>1960</v>
      </c>
      <c r="B2006" t="s">
        <v>40</v>
      </c>
      <c r="C2006" t="s">
        <v>1807</v>
      </c>
      <c r="D2006" t="s">
        <v>42</v>
      </c>
      <c r="E2006" t="s">
        <v>43</v>
      </c>
      <c r="F2006" t="s">
        <v>44</v>
      </c>
      <c r="G2006" t="s">
        <v>45</v>
      </c>
      <c r="AH2006" t="s">
        <v>42</v>
      </c>
      <c r="AI2006" t="str">
        <f>"66298856661585"</f>
        <v>66298856661585</v>
      </c>
      <c r="AJ2006" t="str">
        <f>"VS05700000013"</f>
        <v>VS05700000013</v>
      </c>
      <c r="AK2006" t="s">
        <v>46</v>
      </c>
      <c r="AL2006" s="1">
        <v>44816.552847222221</v>
      </c>
      <c r="AM2006" t="s">
        <v>44</v>
      </c>
    </row>
    <row r="2007" spans="1:39" x14ac:dyDescent="0.2">
      <c r="A2007" t="s">
        <v>1961</v>
      </c>
      <c r="B2007" t="s">
        <v>40</v>
      </c>
      <c r="C2007" t="s">
        <v>1807</v>
      </c>
      <c r="D2007" t="s">
        <v>42</v>
      </c>
      <c r="E2007" t="s">
        <v>43</v>
      </c>
      <c r="F2007" t="s">
        <v>44</v>
      </c>
      <c r="G2007" t="s">
        <v>45</v>
      </c>
      <c r="AH2007" t="s">
        <v>42</v>
      </c>
      <c r="AI2007" t="str">
        <f>"66298856705082"</f>
        <v>66298856705082</v>
      </c>
      <c r="AJ2007" t="str">
        <f>"26T73SEV"</f>
        <v>26T73SEV</v>
      </c>
      <c r="AK2007" t="s">
        <v>46</v>
      </c>
      <c r="AL2007" s="1">
        <v>44816.552858796298</v>
      </c>
      <c r="AM2007" t="s">
        <v>44</v>
      </c>
    </row>
    <row r="2008" spans="1:39" x14ac:dyDescent="0.2">
      <c r="A2008" t="s">
        <v>1962</v>
      </c>
      <c r="B2008" t="s">
        <v>40</v>
      </c>
      <c r="C2008" t="s">
        <v>1807</v>
      </c>
      <c r="D2008" t="s">
        <v>42</v>
      </c>
      <c r="E2008" t="s">
        <v>43</v>
      </c>
      <c r="F2008" t="s">
        <v>44</v>
      </c>
      <c r="G2008" t="s">
        <v>45</v>
      </c>
      <c r="AH2008" t="s">
        <v>42</v>
      </c>
      <c r="AI2008" t="str">
        <f>"66298856743027"</f>
        <v>66298856743027</v>
      </c>
      <c r="AJ2008" t="str">
        <f>"26T26CSV"</f>
        <v>26T26CSV</v>
      </c>
      <c r="AK2008" t="s">
        <v>46</v>
      </c>
      <c r="AL2008" s="1">
        <v>44816.552858796298</v>
      </c>
      <c r="AM2008" t="s">
        <v>44</v>
      </c>
    </row>
    <row r="2009" spans="1:39" x14ac:dyDescent="0.2">
      <c r="A2009" t="s">
        <v>1963</v>
      </c>
      <c r="B2009" t="s">
        <v>40</v>
      </c>
      <c r="C2009" t="s">
        <v>1807</v>
      </c>
      <c r="D2009" t="s">
        <v>42</v>
      </c>
      <c r="E2009" t="s">
        <v>43</v>
      </c>
      <c r="F2009" t="s">
        <v>44</v>
      </c>
      <c r="G2009" t="s">
        <v>45</v>
      </c>
      <c r="AH2009" t="s">
        <v>42</v>
      </c>
      <c r="AI2009" t="str">
        <f>"P4V0210700223"</f>
        <v>P4V0210700223</v>
      </c>
      <c r="AJ2009" t="str">
        <f>"P4V0210700223"</f>
        <v>P4V0210700223</v>
      </c>
      <c r="AK2009" t="s">
        <v>46</v>
      </c>
      <c r="AL2009" s="1">
        <v>45069.584664351853</v>
      </c>
      <c r="AM2009" t="s">
        <v>44</v>
      </c>
    </row>
    <row r="2010" spans="1:39" x14ac:dyDescent="0.2">
      <c r="A2010" t="s">
        <v>1964</v>
      </c>
      <c r="B2010" t="s">
        <v>40</v>
      </c>
      <c r="C2010" t="s">
        <v>1807</v>
      </c>
      <c r="D2010" t="s">
        <v>42</v>
      </c>
      <c r="E2010" t="s">
        <v>43</v>
      </c>
      <c r="F2010" t="s">
        <v>44</v>
      </c>
      <c r="G2010" t="s">
        <v>45</v>
      </c>
      <c r="AH2010" t="s">
        <v>42</v>
      </c>
      <c r="AI2010" t="str">
        <f>"66298856781394"</f>
        <v>66298856781394</v>
      </c>
      <c r="AJ2010" t="str">
        <f>"26T72SEV"</f>
        <v>26T72SEV</v>
      </c>
      <c r="AK2010" t="s">
        <v>46</v>
      </c>
      <c r="AL2010" s="1">
        <v>44816.552858796298</v>
      </c>
      <c r="AM2010" t="s">
        <v>44</v>
      </c>
    </row>
    <row r="2011" spans="1:39" x14ac:dyDescent="0.2">
      <c r="A2011" t="s">
        <v>1964</v>
      </c>
      <c r="B2011" t="s">
        <v>40</v>
      </c>
      <c r="C2011" t="s">
        <v>1807</v>
      </c>
      <c r="D2011" t="s">
        <v>42</v>
      </c>
      <c r="E2011" t="s">
        <v>43</v>
      </c>
      <c r="F2011" t="s">
        <v>44</v>
      </c>
      <c r="G2011" t="s">
        <v>45</v>
      </c>
      <c r="AH2011" t="s">
        <v>42</v>
      </c>
      <c r="AI2011" t="str">
        <f>"66298856822890"</f>
        <v>66298856822890</v>
      </c>
      <c r="AJ2011" t="str">
        <f>"DF037"</f>
        <v>DF037</v>
      </c>
      <c r="AK2011" t="s">
        <v>46</v>
      </c>
      <c r="AL2011" s="1">
        <v>44816.552870370368</v>
      </c>
      <c r="AM2011" t="s">
        <v>44</v>
      </c>
    </row>
    <row r="2012" spans="1:39" x14ac:dyDescent="0.2">
      <c r="A2012" t="s">
        <v>1964</v>
      </c>
      <c r="B2012" t="s">
        <v>40</v>
      </c>
      <c r="C2012" t="s">
        <v>1807</v>
      </c>
      <c r="D2012" t="s">
        <v>42</v>
      </c>
      <c r="E2012" t="s">
        <v>43</v>
      </c>
      <c r="F2012" t="s">
        <v>44</v>
      </c>
      <c r="G2012" t="s">
        <v>45</v>
      </c>
      <c r="AH2012" t="s">
        <v>42</v>
      </c>
      <c r="AI2012" t="str">
        <f>"VS05700000110"</f>
        <v>VS05700000110</v>
      </c>
      <c r="AJ2012" t="str">
        <f>"VS05700000110"</f>
        <v>VS05700000110</v>
      </c>
      <c r="AK2012" t="s">
        <v>46</v>
      </c>
      <c r="AL2012" s="1">
        <v>44905.570706018516</v>
      </c>
      <c r="AM2012" t="s">
        <v>44</v>
      </c>
    </row>
    <row r="2013" spans="1:39" x14ac:dyDescent="0.2">
      <c r="A2013" t="s">
        <v>1965</v>
      </c>
      <c r="B2013" t="s">
        <v>40</v>
      </c>
      <c r="C2013" t="s">
        <v>1807</v>
      </c>
      <c r="D2013" t="s">
        <v>42</v>
      </c>
      <c r="E2013" t="s">
        <v>43</v>
      </c>
      <c r="F2013" t="s">
        <v>44</v>
      </c>
      <c r="G2013" t="s">
        <v>45</v>
      </c>
      <c r="AH2013" t="s">
        <v>42</v>
      </c>
      <c r="AI2013" t="str">
        <f>"66298856864001"</f>
        <v>66298856864001</v>
      </c>
      <c r="AJ2013" t="str">
        <f>"DF050"</f>
        <v>DF050</v>
      </c>
      <c r="AK2013" t="s">
        <v>46</v>
      </c>
      <c r="AL2013" s="1">
        <v>44816.552870370368</v>
      </c>
      <c r="AM2013" t="s">
        <v>44</v>
      </c>
    </row>
    <row r="2014" spans="1:39" x14ac:dyDescent="0.2">
      <c r="A2014" t="s">
        <v>1966</v>
      </c>
      <c r="B2014" t="s">
        <v>40</v>
      </c>
      <c r="C2014" t="s">
        <v>1807</v>
      </c>
      <c r="D2014" t="s">
        <v>42</v>
      </c>
      <c r="E2014" t="s">
        <v>43</v>
      </c>
      <c r="F2014" t="s">
        <v>44</v>
      </c>
      <c r="G2014" t="s">
        <v>45</v>
      </c>
      <c r="AH2014" t="s">
        <v>42</v>
      </c>
      <c r="AI2014" t="str">
        <f>"66298856901975"</f>
        <v>66298856901975</v>
      </c>
      <c r="AJ2014" t="str">
        <f>"24T41SEV"</f>
        <v>24T41SEV</v>
      </c>
      <c r="AK2014" t="s">
        <v>46</v>
      </c>
      <c r="AL2014" s="1">
        <v>44816.552881944444</v>
      </c>
      <c r="AM2014" t="s">
        <v>44</v>
      </c>
    </row>
    <row r="2015" spans="1:39" x14ac:dyDescent="0.2">
      <c r="A2015" t="s">
        <v>1967</v>
      </c>
      <c r="B2015" t="s">
        <v>40</v>
      </c>
      <c r="C2015" t="s">
        <v>1807</v>
      </c>
      <c r="D2015" t="s">
        <v>42</v>
      </c>
      <c r="E2015" t="s">
        <v>43</v>
      </c>
      <c r="F2015" t="s">
        <v>44</v>
      </c>
      <c r="G2015" t="s">
        <v>45</v>
      </c>
      <c r="AH2015" t="s">
        <v>42</v>
      </c>
      <c r="AI2015" t="str">
        <f>"66298856940942"</f>
        <v>66298856940942</v>
      </c>
      <c r="AJ2015" t="str">
        <f>"24T32SEV"</f>
        <v>24T32SEV</v>
      </c>
      <c r="AK2015" t="s">
        <v>46</v>
      </c>
      <c r="AL2015" s="1">
        <v>44816.552881944444</v>
      </c>
      <c r="AM2015" t="s">
        <v>44</v>
      </c>
    </row>
    <row r="2016" spans="1:39" x14ac:dyDescent="0.2">
      <c r="A2016" t="s">
        <v>1967</v>
      </c>
      <c r="B2016" t="s">
        <v>40</v>
      </c>
      <c r="C2016" t="s">
        <v>1807</v>
      </c>
      <c r="D2016" t="s">
        <v>42</v>
      </c>
      <c r="E2016" t="s">
        <v>43</v>
      </c>
      <c r="F2016" t="s">
        <v>44</v>
      </c>
      <c r="G2016" t="s">
        <v>45</v>
      </c>
      <c r="AH2016" t="s">
        <v>42</v>
      </c>
      <c r="AI2016" t="str">
        <f>"66298856946436"</f>
        <v>66298856946436</v>
      </c>
      <c r="AJ2016" t="str">
        <f>"DF047"</f>
        <v>DF047</v>
      </c>
      <c r="AK2016" t="s">
        <v>46</v>
      </c>
      <c r="AL2016" s="1">
        <v>44816.552881944444</v>
      </c>
      <c r="AM2016" t="s">
        <v>44</v>
      </c>
    </row>
    <row r="2017" spans="1:39" x14ac:dyDescent="0.2">
      <c r="A2017" t="s">
        <v>1968</v>
      </c>
      <c r="B2017" t="s">
        <v>40</v>
      </c>
      <c r="C2017" t="s">
        <v>1807</v>
      </c>
      <c r="D2017" t="s">
        <v>42</v>
      </c>
      <c r="E2017" t="s">
        <v>43</v>
      </c>
      <c r="F2017" t="s">
        <v>44</v>
      </c>
      <c r="G2017" t="s">
        <v>45</v>
      </c>
      <c r="AH2017" t="s">
        <v>42</v>
      </c>
      <c r="AI2017" t="str">
        <f>"VS10700000830"</f>
        <v>VS10700000830</v>
      </c>
      <c r="AJ2017" t="str">
        <f>"VS10700000830"</f>
        <v>VS10700000830</v>
      </c>
      <c r="AK2017" t="s">
        <v>46</v>
      </c>
      <c r="AL2017" s="1">
        <v>45126.797476851854</v>
      </c>
      <c r="AM2017" t="s">
        <v>44</v>
      </c>
    </row>
    <row r="2018" spans="1:39" x14ac:dyDescent="0.2">
      <c r="A2018" t="s">
        <v>1969</v>
      </c>
      <c r="B2018" t="s">
        <v>40</v>
      </c>
      <c r="C2018" t="s">
        <v>1807</v>
      </c>
      <c r="D2018" t="s">
        <v>42</v>
      </c>
      <c r="E2018" t="s">
        <v>43</v>
      </c>
      <c r="F2018" t="s">
        <v>44</v>
      </c>
      <c r="G2018" t="s">
        <v>45</v>
      </c>
      <c r="AH2018" t="s">
        <v>42</v>
      </c>
      <c r="AI2018" t="str">
        <f>"VS10700000660"</f>
        <v>VS10700000660</v>
      </c>
      <c r="AJ2018" t="str">
        <f>"VS10700000660"</f>
        <v>VS10700000660</v>
      </c>
      <c r="AK2018" t="s">
        <v>46</v>
      </c>
      <c r="AL2018" s="1">
        <v>45058.606134259258</v>
      </c>
      <c r="AM2018" t="s">
        <v>44</v>
      </c>
    </row>
    <row r="2019" spans="1:39" x14ac:dyDescent="0.2">
      <c r="A2019" t="s">
        <v>1970</v>
      </c>
      <c r="B2019" t="s">
        <v>40</v>
      </c>
      <c r="C2019" t="s">
        <v>1456</v>
      </c>
      <c r="D2019" t="s">
        <v>42</v>
      </c>
      <c r="E2019" t="s">
        <v>43</v>
      </c>
      <c r="F2019" t="s">
        <v>44</v>
      </c>
      <c r="G2019" t="s">
        <v>45</v>
      </c>
      <c r="AH2019" t="s">
        <v>42</v>
      </c>
      <c r="AI2019" t="str">
        <f>"66298857004120"</f>
        <v>66298857004120</v>
      </c>
      <c r="AJ2019" t="str">
        <f>"TA087"</f>
        <v>TA087</v>
      </c>
      <c r="AK2019" t="s">
        <v>46</v>
      </c>
      <c r="AL2019" s="1">
        <v>44816.552893518521</v>
      </c>
      <c r="AM2019" t="s">
        <v>44</v>
      </c>
    </row>
    <row r="2020" spans="1:39" x14ac:dyDescent="0.2">
      <c r="A2020" t="s">
        <v>1971</v>
      </c>
      <c r="B2020" t="s">
        <v>40</v>
      </c>
      <c r="C2020" t="s">
        <v>1456</v>
      </c>
      <c r="D2020" t="s">
        <v>42</v>
      </c>
      <c r="E2020" t="s">
        <v>43</v>
      </c>
      <c r="F2020" t="s">
        <v>44</v>
      </c>
      <c r="G2020" t="s">
        <v>45</v>
      </c>
      <c r="AH2020" t="s">
        <v>42</v>
      </c>
      <c r="AI2020" t="str">
        <f>"66298857044840"</f>
        <v>66298857044840</v>
      </c>
      <c r="AJ2020" t="str">
        <f>"TA095"</f>
        <v>TA095</v>
      </c>
      <c r="AK2020" t="s">
        <v>46</v>
      </c>
      <c r="AL2020" s="1">
        <v>44816.552893518521</v>
      </c>
      <c r="AM2020" t="s">
        <v>44</v>
      </c>
    </row>
    <row r="2021" spans="1:39" x14ac:dyDescent="0.2">
      <c r="A2021" t="s">
        <v>1972</v>
      </c>
      <c r="B2021" t="s">
        <v>40</v>
      </c>
      <c r="C2021" t="s">
        <v>1456</v>
      </c>
      <c r="D2021" t="s">
        <v>42</v>
      </c>
      <c r="E2021" t="s">
        <v>43</v>
      </c>
      <c r="F2021" t="s">
        <v>44</v>
      </c>
      <c r="G2021" t="s">
        <v>45</v>
      </c>
      <c r="AH2021" t="s">
        <v>42</v>
      </c>
      <c r="AI2021" t="str">
        <f>"66298857090307"</f>
        <v>66298857090307</v>
      </c>
      <c r="AJ2021" t="str">
        <f>"TA015"</f>
        <v>TA015</v>
      </c>
      <c r="AK2021" t="s">
        <v>46</v>
      </c>
      <c r="AL2021" s="1">
        <v>44816.552893518521</v>
      </c>
      <c r="AM2021" t="s">
        <v>44</v>
      </c>
    </row>
    <row r="2022" spans="1:39" x14ac:dyDescent="0.2">
      <c r="A2022" t="s">
        <v>1972</v>
      </c>
      <c r="B2022" t="s">
        <v>40</v>
      </c>
      <c r="C2022" t="s">
        <v>1456</v>
      </c>
      <c r="D2022" t="s">
        <v>42</v>
      </c>
      <c r="E2022" t="s">
        <v>43</v>
      </c>
      <c r="F2022" t="s">
        <v>44</v>
      </c>
      <c r="G2022" t="s">
        <v>45</v>
      </c>
      <c r="AH2022" t="s">
        <v>42</v>
      </c>
      <c r="AI2022" t="str">
        <f>"66298857095927"</f>
        <v>66298857095927</v>
      </c>
      <c r="AJ2022" t="str">
        <f>"TA004"</f>
        <v>TA004</v>
      </c>
      <c r="AK2022" t="s">
        <v>46</v>
      </c>
      <c r="AL2022" s="1">
        <v>44816.552893518521</v>
      </c>
      <c r="AM2022" t="s">
        <v>44</v>
      </c>
    </row>
    <row r="2023" spans="1:39" x14ac:dyDescent="0.2">
      <c r="A2023" t="s">
        <v>1973</v>
      </c>
      <c r="B2023" t="s">
        <v>40</v>
      </c>
      <c r="C2023" t="s">
        <v>1456</v>
      </c>
      <c r="D2023" t="s">
        <v>42</v>
      </c>
      <c r="E2023" t="s">
        <v>43</v>
      </c>
      <c r="F2023" t="s">
        <v>44</v>
      </c>
      <c r="G2023" t="s">
        <v>45</v>
      </c>
      <c r="AH2023" t="s">
        <v>42</v>
      </c>
      <c r="AI2023" t="str">
        <f>"66298857152201"</f>
        <v>66298857152201</v>
      </c>
      <c r="AJ2023" t="str">
        <f>"TA010"</f>
        <v>TA010</v>
      </c>
      <c r="AK2023" t="s">
        <v>46</v>
      </c>
      <c r="AL2023" s="1">
        <v>44816.552905092591</v>
      </c>
      <c r="AM2023" t="s">
        <v>44</v>
      </c>
    </row>
    <row r="2024" spans="1:39" x14ac:dyDescent="0.2">
      <c r="A2024" t="s">
        <v>1974</v>
      </c>
      <c r="B2024" t="s">
        <v>40</v>
      </c>
      <c r="C2024" t="s">
        <v>1975</v>
      </c>
      <c r="D2024" t="s">
        <v>42</v>
      </c>
      <c r="E2024" t="s">
        <v>43</v>
      </c>
      <c r="F2024" t="s">
        <v>44</v>
      </c>
      <c r="G2024" t="s">
        <v>45</v>
      </c>
      <c r="AH2024" t="s">
        <v>42</v>
      </c>
      <c r="AI2024" t="str">
        <f>"66298857191755"</f>
        <v>66298857191755</v>
      </c>
      <c r="AJ2024" t="str">
        <f>"80154D"</f>
        <v>80154D</v>
      </c>
      <c r="AK2024" t="s">
        <v>46</v>
      </c>
      <c r="AL2024" s="1">
        <v>44816.552905092591</v>
      </c>
      <c r="AM2024" t="s">
        <v>44</v>
      </c>
    </row>
    <row r="2025" spans="1:39" x14ac:dyDescent="0.2">
      <c r="A2025" t="s">
        <v>1976</v>
      </c>
      <c r="B2025" t="s">
        <v>40</v>
      </c>
      <c r="C2025" t="s">
        <v>1975</v>
      </c>
      <c r="D2025" t="s">
        <v>42</v>
      </c>
      <c r="E2025" t="s">
        <v>43</v>
      </c>
      <c r="F2025" t="s">
        <v>44</v>
      </c>
      <c r="G2025" t="s">
        <v>45</v>
      </c>
      <c r="AH2025" t="s">
        <v>42</v>
      </c>
      <c r="AI2025" t="str">
        <f>"66298857231699"</f>
        <v>66298857231699</v>
      </c>
      <c r="AJ2025" t="str">
        <f>"56600H7H000H000"</f>
        <v>56600H7H000H000</v>
      </c>
      <c r="AK2025" t="s">
        <v>46</v>
      </c>
      <c r="AL2025" s="1">
        <v>44816.552916666667</v>
      </c>
      <c r="AM2025" t="s">
        <v>44</v>
      </c>
    </row>
    <row r="2026" spans="1:39" x14ac:dyDescent="0.2">
      <c r="A2026" t="s">
        <v>1977</v>
      </c>
      <c r="B2026" t="s">
        <v>40</v>
      </c>
      <c r="C2026" t="s">
        <v>1975</v>
      </c>
      <c r="D2026" t="s">
        <v>42</v>
      </c>
      <c r="E2026" t="s">
        <v>43</v>
      </c>
      <c r="F2026" t="s">
        <v>44</v>
      </c>
      <c r="G2026" t="s">
        <v>45</v>
      </c>
      <c r="AH2026" t="s">
        <v>42</v>
      </c>
      <c r="AI2026" t="str">
        <f>"56500H2J000H000"</f>
        <v>56500H2J000H000</v>
      </c>
      <c r="AJ2026" t="str">
        <f>"56500H2J000H000"</f>
        <v>56500H2J000H000</v>
      </c>
      <c r="AK2026" t="s">
        <v>46</v>
      </c>
      <c r="AL2026" s="1">
        <v>45021.884675925925</v>
      </c>
      <c r="AM2026" t="s">
        <v>44</v>
      </c>
    </row>
    <row r="2027" spans="1:39" x14ac:dyDescent="0.2">
      <c r="A2027" t="s">
        <v>1978</v>
      </c>
      <c r="B2027" t="s">
        <v>40</v>
      </c>
      <c r="C2027" t="s">
        <v>1975</v>
      </c>
      <c r="D2027" t="s">
        <v>42</v>
      </c>
      <c r="E2027" t="s">
        <v>43</v>
      </c>
      <c r="F2027" t="s">
        <v>44</v>
      </c>
      <c r="G2027" t="s">
        <v>45</v>
      </c>
      <c r="AH2027" t="s">
        <v>42</v>
      </c>
      <c r="AI2027" t="str">
        <f>"56500H2A230H000"</f>
        <v>56500H2A230H000</v>
      </c>
      <c r="AJ2027" t="str">
        <f>"56500H2A230H000"</f>
        <v>56500H2A230H000</v>
      </c>
      <c r="AK2027" t="s">
        <v>46</v>
      </c>
      <c r="AL2027" s="1">
        <v>44876.569409722222</v>
      </c>
      <c r="AM2027" t="s">
        <v>44</v>
      </c>
    </row>
    <row r="2028" spans="1:39" x14ac:dyDescent="0.2">
      <c r="A2028" t="s">
        <v>1979</v>
      </c>
      <c r="B2028" t="s">
        <v>40</v>
      </c>
      <c r="C2028" t="s">
        <v>1975</v>
      </c>
      <c r="D2028" t="s">
        <v>42</v>
      </c>
      <c r="E2028" t="s">
        <v>43</v>
      </c>
      <c r="F2028" t="s">
        <v>44</v>
      </c>
      <c r="G2028" t="s">
        <v>45</v>
      </c>
      <c r="AH2028" t="s">
        <v>42</v>
      </c>
      <c r="AI2028" t="str">
        <f>"EMKD00059"</f>
        <v>EMKD00059</v>
      </c>
      <c r="AJ2028" t="str">
        <f>"EMKD00059"</f>
        <v>EMKD00059</v>
      </c>
      <c r="AK2028" t="s">
        <v>46</v>
      </c>
      <c r="AL2028" s="1">
        <v>45022.668622685182</v>
      </c>
      <c r="AM2028" t="s">
        <v>44</v>
      </c>
    </row>
    <row r="2029" spans="1:39" x14ac:dyDescent="0.2">
      <c r="A2029" t="s">
        <v>1980</v>
      </c>
      <c r="B2029" t="s">
        <v>40</v>
      </c>
      <c r="C2029" t="s">
        <v>1975</v>
      </c>
      <c r="D2029" t="s">
        <v>42</v>
      </c>
      <c r="E2029" t="s">
        <v>43</v>
      </c>
      <c r="F2029" t="s">
        <v>44</v>
      </c>
      <c r="G2029" t="s">
        <v>45</v>
      </c>
      <c r="AH2029" t="s">
        <v>42</v>
      </c>
      <c r="AI2029" t="str">
        <f>"EMKD00218"</f>
        <v>EMKD00218</v>
      </c>
      <c r="AJ2029" t="str">
        <f>"EMKD00218"</f>
        <v>EMKD00218</v>
      </c>
      <c r="AK2029" t="s">
        <v>46</v>
      </c>
      <c r="AL2029" s="1">
        <v>45022.664502314816</v>
      </c>
      <c r="AM2029" t="s">
        <v>44</v>
      </c>
    </row>
    <row r="2030" spans="1:39" x14ac:dyDescent="0.2">
      <c r="A2030" t="s">
        <v>1981</v>
      </c>
      <c r="B2030" t="s">
        <v>40</v>
      </c>
      <c r="C2030" t="s">
        <v>1975</v>
      </c>
      <c r="D2030" t="s">
        <v>42</v>
      </c>
      <c r="E2030" t="s">
        <v>43</v>
      </c>
      <c r="F2030" t="s">
        <v>44</v>
      </c>
      <c r="G2030" t="s">
        <v>45</v>
      </c>
      <c r="AH2030" t="s">
        <v>42</v>
      </c>
      <c r="AI2030" t="str">
        <f>"56500H37230H000"</f>
        <v>56500H37230H000</v>
      </c>
      <c r="AJ2030" t="str">
        <f>"56500H37230H000"</f>
        <v>56500H37230H000</v>
      </c>
      <c r="AK2030" t="s">
        <v>46</v>
      </c>
      <c r="AL2030" s="1">
        <v>45021.879467592589</v>
      </c>
      <c r="AM2030" t="s">
        <v>44</v>
      </c>
    </row>
    <row r="2031" spans="1:39" x14ac:dyDescent="0.2">
      <c r="A2031" t="s">
        <v>1982</v>
      </c>
      <c r="B2031" t="s">
        <v>40</v>
      </c>
      <c r="C2031" t="s">
        <v>1975</v>
      </c>
      <c r="D2031" t="s">
        <v>42</v>
      </c>
      <c r="E2031" t="s">
        <v>43</v>
      </c>
      <c r="F2031" t="s">
        <v>44</v>
      </c>
      <c r="G2031" t="s">
        <v>45</v>
      </c>
      <c r="AH2031" t="s">
        <v>42</v>
      </c>
      <c r="AI2031" t="str">
        <f>"56600H7H010H000"</f>
        <v>56600H7H010H000</v>
      </c>
      <c r="AJ2031" t="str">
        <f>"56600H7H010H000"</f>
        <v>56600H7H010H000</v>
      </c>
      <c r="AK2031" t="s">
        <v>46</v>
      </c>
      <c r="AL2031" s="1">
        <v>44875.805312500001</v>
      </c>
      <c r="AM2031" t="s">
        <v>44</v>
      </c>
    </row>
    <row r="2032" spans="1:39" x14ac:dyDescent="0.2">
      <c r="A2032" t="s">
        <v>1983</v>
      </c>
      <c r="B2032" t="s">
        <v>40</v>
      </c>
      <c r="C2032" t="s">
        <v>1975</v>
      </c>
      <c r="D2032" t="s">
        <v>42</v>
      </c>
      <c r="E2032" t="s">
        <v>43</v>
      </c>
      <c r="F2032" t="s">
        <v>44</v>
      </c>
      <c r="G2032" t="s">
        <v>45</v>
      </c>
      <c r="AH2032" t="s">
        <v>42</v>
      </c>
      <c r="AI2032" t="str">
        <f>"56600H2J000H000"</f>
        <v>56600H2J000H000</v>
      </c>
      <c r="AJ2032" t="str">
        <f>"56600H2J000H000"</f>
        <v>56600H2J000H000</v>
      </c>
      <c r="AK2032" t="s">
        <v>46</v>
      </c>
      <c r="AL2032" s="1">
        <v>45021.891261574077</v>
      </c>
      <c r="AM2032" t="s">
        <v>44</v>
      </c>
    </row>
    <row r="2033" spans="1:39" x14ac:dyDescent="0.2">
      <c r="A2033" t="s">
        <v>1984</v>
      </c>
      <c r="B2033" t="s">
        <v>40</v>
      </c>
      <c r="C2033" t="s">
        <v>1975</v>
      </c>
      <c r="D2033" t="s">
        <v>42</v>
      </c>
      <c r="E2033" t="s">
        <v>43</v>
      </c>
      <c r="F2033" t="s">
        <v>44</v>
      </c>
      <c r="G2033" t="s">
        <v>45</v>
      </c>
      <c r="AH2033" t="s">
        <v>42</v>
      </c>
      <c r="AI2033" t="str">
        <f>"56600H2A230H000"</f>
        <v>56600H2A230H000</v>
      </c>
      <c r="AJ2033" t="str">
        <f>"56600H2A230H000"</f>
        <v>56600H2A230H000</v>
      </c>
      <c r="AK2033" t="s">
        <v>46</v>
      </c>
      <c r="AL2033" s="1">
        <v>44876.569606481484</v>
      </c>
      <c r="AM2033" t="s">
        <v>44</v>
      </c>
    </row>
    <row r="2034" spans="1:39" x14ac:dyDescent="0.2">
      <c r="A2034" t="s">
        <v>1985</v>
      </c>
      <c r="B2034" t="s">
        <v>40</v>
      </c>
      <c r="C2034" t="s">
        <v>1975</v>
      </c>
      <c r="D2034" t="s">
        <v>42</v>
      </c>
      <c r="E2034" t="s">
        <v>43</v>
      </c>
      <c r="F2034" t="s">
        <v>44</v>
      </c>
      <c r="G2034" t="s">
        <v>45</v>
      </c>
      <c r="AH2034" t="s">
        <v>42</v>
      </c>
      <c r="AI2034" t="str">
        <f>"EMKD00054"</f>
        <v>EMKD00054</v>
      </c>
      <c r="AJ2034" t="str">
        <f>"EMKD00054"</f>
        <v>EMKD00054</v>
      </c>
      <c r="AK2034" t="s">
        <v>46</v>
      </c>
      <c r="AL2034" s="1">
        <v>45022.669004629628</v>
      </c>
      <c r="AM2034" t="s">
        <v>44</v>
      </c>
    </row>
    <row r="2035" spans="1:39" x14ac:dyDescent="0.2">
      <c r="A2035" t="s">
        <v>1986</v>
      </c>
      <c r="B2035" t="s">
        <v>40</v>
      </c>
      <c r="C2035" t="s">
        <v>1975</v>
      </c>
      <c r="D2035" t="s">
        <v>42</v>
      </c>
      <c r="E2035" t="s">
        <v>43</v>
      </c>
      <c r="F2035" t="s">
        <v>44</v>
      </c>
      <c r="G2035" t="s">
        <v>45</v>
      </c>
      <c r="AH2035" t="s">
        <v>42</v>
      </c>
      <c r="AI2035" t="str">
        <f>"EMKD00219"</f>
        <v>EMKD00219</v>
      </c>
      <c r="AJ2035" t="str">
        <f>"EMKD00219"</f>
        <v>EMKD00219</v>
      </c>
      <c r="AK2035" t="s">
        <v>46</v>
      </c>
      <c r="AL2035" s="1">
        <v>45022.664803240739</v>
      </c>
      <c r="AM2035" t="s">
        <v>44</v>
      </c>
    </row>
    <row r="2036" spans="1:39" x14ac:dyDescent="0.2">
      <c r="A2036" t="s">
        <v>1987</v>
      </c>
      <c r="B2036" t="s">
        <v>40</v>
      </c>
      <c r="C2036" t="s">
        <v>1975</v>
      </c>
      <c r="D2036" t="s">
        <v>42</v>
      </c>
      <c r="E2036" t="s">
        <v>43</v>
      </c>
      <c r="F2036" t="s">
        <v>44</v>
      </c>
      <c r="G2036" t="s">
        <v>45</v>
      </c>
      <c r="AH2036" t="s">
        <v>42</v>
      </c>
      <c r="AI2036" t="str">
        <f>"56600H37230H000"</f>
        <v>56600H37230H000</v>
      </c>
      <c r="AJ2036" t="str">
        <f>"56600H37230H000"</f>
        <v>56600H37230H000</v>
      </c>
      <c r="AK2036" t="s">
        <v>46</v>
      </c>
      <c r="AL2036" s="1">
        <v>45021.882013888891</v>
      </c>
      <c r="AM2036" t="s">
        <v>44</v>
      </c>
    </row>
    <row r="2037" spans="1:39" x14ac:dyDescent="0.2">
      <c r="A2037" t="s">
        <v>1988</v>
      </c>
      <c r="B2037" t="s">
        <v>40</v>
      </c>
      <c r="C2037" t="s">
        <v>1975</v>
      </c>
      <c r="D2037" t="s">
        <v>42</v>
      </c>
      <c r="E2037" t="s">
        <v>43</v>
      </c>
      <c r="F2037" t="s">
        <v>44</v>
      </c>
      <c r="G2037" t="s">
        <v>45</v>
      </c>
      <c r="AH2037" t="s">
        <v>42</v>
      </c>
      <c r="AI2037" t="str">
        <f>"66298857269930"</f>
        <v>66298857269930</v>
      </c>
      <c r="AJ2037" t="str">
        <f>"2PB-F6280-00"</f>
        <v>2PB-F6280-00</v>
      </c>
      <c r="AK2037" t="s">
        <v>46</v>
      </c>
      <c r="AL2037" s="1">
        <v>44816.552916666667</v>
      </c>
      <c r="AM2037" t="s">
        <v>44</v>
      </c>
    </row>
    <row r="2038" spans="1:39" x14ac:dyDescent="0.2">
      <c r="A2038" t="s">
        <v>1989</v>
      </c>
      <c r="B2038" t="s">
        <v>40</v>
      </c>
      <c r="C2038" t="s">
        <v>1975</v>
      </c>
      <c r="D2038" t="s">
        <v>42</v>
      </c>
      <c r="E2038" t="s">
        <v>43</v>
      </c>
      <c r="F2038" t="s">
        <v>44</v>
      </c>
      <c r="G2038" t="s">
        <v>45</v>
      </c>
      <c r="AH2038" t="s">
        <v>42</v>
      </c>
      <c r="AI2038" t="str">
        <f>"66298857309008"</f>
        <v>66298857309008</v>
      </c>
      <c r="AJ2038" t="str">
        <f>"400785"</f>
        <v>400785</v>
      </c>
      <c r="AK2038" t="s">
        <v>46</v>
      </c>
      <c r="AL2038" s="1">
        <v>44816.552928240744</v>
      </c>
      <c r="AM2038" t="s">
        <v>44</v>
      </c>
    </row>
    <row r="2039" spans="1:39" x14ac:dyDescent="0.2">
      <c r="A2039" t="s">
        <v>1990</v>
      </c>
      <c r="B2039" t="s">
        <v>40</v>
      </c>
      <c r="C2039" t="s">
        <v>1975</v>
      </c>
      <c r="D2039" t="s">
        <v>42</v>
      </c>
      <c r="E2039" t="s">
        <v>43</v>
      </c>
      <c r="F2039" t="s">
        <v>44</v>
      </c>
      <c r="G2039" t="s">
        <v>45</v>
      </c>
      <c r="AH2039" t="s">
        <v>42</v>
      </c>
      <c r="AI2039" t="str">
        <f>"66298857386447"</f>
        <v>66298857386447</v>
      </c>
      <c r="AJ2039" t="str">
        <f>"KA046-A"</f>
        <v>KA046-A</v>
      </c>
      <c r="AK2039" t="s">
        <v>46</v>
      </c>
      <c r="AL2039" s="1">
        <v>44816.552928240744</v>
      </c>
      <c r="AM2039" t="s">
        <v>44</v>
      </c>
    </row>
    <row r="2040" spans="1:39" x14ac:dyDescent="0.2">
      <c r="A2040" t="s">
        <v>1991</v>
      </c>
      <c r="B2040" t="s">
        <v>40</v>
      </c>
      <c r="C2040" t="s">
        <v>1975</v>
      </c>
      <c r="D2040" t="s">
        <v>42</v>
      </c>
      <c r="E2040" t="s">
        <v>43</v>
      </c>
      <c r="F2040" t="s">
        <v>44</v>
      </c>
      <c r="G2040" t="s">
        <v>45</v>
      </c>
      <c r="AH2040" t="s">
        <v>42</v>
      </c>
      <c r="AI2040" t="str">
        <f>"66298857346723"</f>
        <v>66298857346723</v>
      </c>
      <c r="AJ2040" t="str">
        <f>"KA045-A"</f>
        <v>KA045-A</v>
      </c>
      <c r="AK2040" t="s">
        <v>46</v>
      </c>
      <c r="AL2040" s="1">
        <v>44816.552928240744</v>
      </c>
      <c r="AM2040" t="s">
        <v>44</v>
      </c>
    </row>
    <row r="2041" spans="1:39" x14ac:dyDescent="0.2">
      <c r="A2041" t="s">
        <v>1992</v>
      </c>
      <c r="B2041" t="s">
        <v>40</v>
      </c>
      <c r="C2041" t="s">
        <v>1975</v>
      </c>
      <c r="D2041" t="s">
        <v>42</v>
      </c>
      <c r="E2041" t="s">
        <v>43</v>
      </c>
      <c r="F2041" t="s">
        <v>44</v>
      </c>
      <c r="G2041" t="s">
        <v>45</v>
      </c>
      <c r="AH2041" t="s">
        <v>42</v>
      </c>
      <c r="AI2041" t="str">
        <f>"10524"</f>
        <v>10524</v>
      </c>
      <c r="AJ2041" t="str">
        <f>"10524"</f>
        <v>10524</v>
      </c>
      <c r="AK2041" t="s">
        <v>46</v>
      </c>
      <c r="AL2041" s="1">
        <v>45142.893946759257</v>
      </c>
      <c r="AM2041" t="s">
        <v>44</v>
      </c>
    </row>
    <row r="2042" spans="1:39" x14ac:dyDescent="0.2">
      <c r="A2042" t="s">
        <v>1993</v>
      </c>
      <c r="B2042" t="s">
        <v>40</v>
      </c>
      <c r="C2042" t="s">
        <v>1975</v>
      </c>
      <c r="D2042" t="s">
        <v>42</v>
      </c>
      <c r="E2042" t="s">
        <v>43</v>
      </c>
      <c r="F2042" t="s">
        <v>44</v>
      </c>
      <c r="G2042" t="s">
        <v>45</v>
      </c>
      <c r="AH2042" t="s">
        <v>42</v>
      </c>
      <c r="AI2042" t="str">
        <f>"66298857429744"</f>
        <v>66298857429744</v>
      </c>
      <c r="AJ2042" t="str">
        <f>"K055"</f>
        <v>K055</v>
      </c>
      <c r="AK2042" t="s">
        <v>46</v>
      </c>
      <c r="AL2042" s="1">
        <v>44816.552939814814</v>
      </c>
      <c r="AM2042" t="s">
        <v>44</v>
      </c>
    </row>
    <row r="2043" spans="1:39" x14ac:dyDescent="0.2">
      <c r="A2043" t="s">
        <v>1994</v>
      </c>
      <c r="B2043" t="s">
        <v>40</v>
      </c>
      <c r="C2043" t="s">
        <v>1975</v>
      </c>
      <c r="D2043" t="s">
        <v>42</v>
      </c>
      <c r="E2043" t="s">
        <v>43</v>
      </c>
      <c r="F2043" t="s">
        <v>44</v>
      </c>
      <c r="G2043" t="s">
        <v>45</v>
      </c>
      <c r="AH2043" t="s">
        <v>42</v>
      </c>
      <c r="AI2043" t="str">
        <f>"66298857469901"</f>
        <v>66298857469901</v>
      </c>
      <c r="AJ2043" t="str">
        <f>"00178"</f>
        <v>00178</v>
      </c>
      <c r="AK2043" t="s">
        <v>46</v>
      </c>
      <c r="AL2043" s="1">
        <v>44816.552939814814</v>
      </c>
      <c r="AM2043" t="s">
        <v>44</v>
      </c>
    </row>
    <row r="2044" spans="1:39" x14ac:dyDescent="0.2">
      <c r="A2044" t="s">
        <v>1995</v>
      </c>
      <c r="B2044" t="s">
        <v>40</v>
      </c>
      <c r="C2044" t="s">
        <v>1975</v>
      </c>
      <c r="D2044" t="s">
        <v>42</v>
      </c>
      <c r="E2044" t="s">
        <v>43</v>
      </c>
      <c r="F2044" t="s">
        <v>44</v>
      </c>
      <c r="G2044" t="s">
        <v>45</v>
      </c>
      <c r="AH2044" t="s">
        <v>42</v>
      </c>
      <c r="AI2044" t="str">
        <f>"KA015"</f>
        <v>KA015</v>
      </c>
      <c r="AJ2044" t="str">
        <f>"KA015"</f>
        <v>KA015</v>
      </c>
      <c r="AK2044" t="s">
        <v>46</v>
      </c>
      <c r="AL2044" s="1">
        <v>44858.686157407406</v>
      </c>
      <c r="AM2044" t="s">
        <v>44</v>
      </c>
    </row>
    <row r="2045" spans="1:39" x14ac:dyDescent="0.2">
      <c r="A2045" t="s">
        <v>1996</v>
      </c>
      <c r="B2045" t="s">
        <v>40</v>
      </c>
      <c r="C2045" t="s">
        <v>1975</v>
      </c>
      <c r="D2045" t="s">
        <v>42</v>
      </c>
      <c r="E2045" t="s">
        <v>43</v>
      </c>
      <c r="F2045" t="s">
        <v>44</v>
      </c>
      <c r="G2045" t="s">
        <v>45</v>
      </c>
      <c r="AH2045" t="s">
        <v>42</v>
      </c>
      <c r="AI2045" t="str">
        <f>"YXC-M8"</f>
        <v>YXC-M8</v>
      </c>
      <c r="AJ2045" t="str">
        <f>"YXC-M8"</f>
        <v>YXC-M8</v>
      </c>
      <c r="AK2045" t="s">
        <v>46</v>
      </c>
      <c r="AL2045" s="1">
        <v>45000.549687500003</v>
      </c>
      <c r="AM2045" t="s">
        <v>44</v>
      </c>
    </row>
    <row r="2046" spans="1:39" x14ac:dyDescent="0.2">
      <c r="A2046" t="s">
        <v>1997</v>
      </c>
      <c r="B2046" t="s">
        <v>40</v>
      </c>
      <c r="C2046" t="s">
        <v>1975</v>
      </c>
      <c r="D2046" t="s">
        <v>42</v>
      </c>
      <c r="E2046" t="s">
        <v>43</v>
      </c>
      <c r="F2046" t="s">
        <v>44</v>
      </c>
      <c r="G2046" t="s">
        <v>45</v>
      </c>
      <c r="AH2046" t="s">
        <v>42</v>
      </c>
      <c r="AI2046" t="str">
        <f>"66298857519524"</f>
        <v>66298857519524</v>
      </c>
      <c r="AJ2046" t="str">
        <f>"400787"</f>
        <v>400787</v>
      </c>
      <c r="AK2046" t="s">
        <v>46</v>
      </c>
      <c r="AL2046" s="1">
        <v>44816.552951388891</v>
      </c>
      <c r="AM2046" t="s">
        <v>44</v>
      </c>
    </row>
    <row r="2047" spans="1:39" x14ac:dyDescent="0.2">
      <c r="A2047" t="s">
        <v>1998</v>
      </c>
      <c r="B2047" t="s">
        <v>40</v>
      </c>
      <c r="C2047" t="s">
        <v>1975</v>
      </c>
      <c r="D2047" t="s">
        <v>42</v>
      </c>
      <c r="E2047" t="s">
        <v>43</v>
      </c>
      <c r="F2047" t="s">
        <v>44</v>
      </c>
      <c r="G2047" t="s">
        <v>45</v>
      </c>
      <c r="AH2047" t="s">
        <v>42</v>
      </c>
      <c r="AI2047" t="str">
        <f>"KA010"</f>
        <v>KA010</v>
      </c>
      <c r="AJ2047" t="str">
        <f>"KA010"</f>
        <v>KA010</v>
      </c>
      <c r="AK2047" t="s">
        <v>46</v>
      </c>
      <c r="AL2047" s="1">
        <v>44858.684999999998</v>
      </c>
      <c r="AM2047" t="s">
        <v>44</v>
      </c>
    </row>
    <row r="2048" spans="1:39" x14ac:dyDescent="0.2">
      <c r="A2048" t="s">
        <v>1999</v>
      </c>
      <c r="B2048" t="s">
        <v>40</v>
      </c>
      <c r="C2048" t="s">
        <v>1975</v>
      </c>
      <c r="D2048" t="s">
        <v>42</v>
      </c>
      <c r="E2048" t="s">
        <v>43</v>
      </c>
      <c r="F2048" t="s">
        <v>44</v>
      </c>
      <c r="G2048" t="s">
        <v>45</v>
      </c>
      <c r="AH2048" t="s">
        <v>42</v>
      </c>
      <c r="AI2048" t="str">
        <f>"KA029"</f>
        <v>KA029</v>
      </c>
      <c r="AJ2048" t="str">
        <f>"KA029"</f>
        <v>KA029</v>
      </c>
      <c r="AK2048" t="s">
        <v>46</v>
      </c>
      <c r="AL2048" s="1">
        <v>44858.683495370373</v>
      </c>
      <c r="AM2048" t="s">
        <v>44</v>
      </c>
    </row>
    <row r="2049" spans="1:39" x14ac:dyDescent="0.2">
      <c r="A2049" t="s">
        <v>2000</v>
      </c>
      <c r="B2049" t="s">
        <v>40</v>
      </c>
      <c r="C2049" t="s">
        <v>1975</v>
      </c>
      <c r="D2049" t="s">
        <v>42</v>
      </c>
      <c r="E2049" t="s">
        <v>43</v>
      </c>
      <c r="F2049" t="s">
        <v>44</v>
      </c>
      <c r="G2049" t="s">
        <v>45</v>
      </c>
      <c r="AH2049" t="s">
        <v>43</v>
      </c>
      <c r="AI2049" t="str">
        <f>"123991"</f>
        <v>123991</v>
      </c>
      <c r="AJ2049" t="str">
        <f>"123991"</f>
        <v>123991</v>
      </c>
      <c r="AK2049" t="s">
        <v>46</v>
      </c>
      <c r="AL2049" s="1">
        <v>44994.558113425926</v>
      </c>
      <c r="AM2049" t="s">
        <v>44</v>
      </c>
    </row>
    <row r="2050" spans="1:39" x14ac:dyDescent="0.2">
      <c r="A2050" t="s">
        <v>2001</v>
      </c>
      <c r="B2050" t="s">
        <v>40</v>
      </c>
      <c r="C2050" t="s">
        <v>1975</v>
      </c>
      <c r="D2050" t="s">
        <v>42</v>
      </c>
      <c r="E2050" t="s">
        <v>43</v>
      </c>
      <c r="F2050" t="s">
        <v>44</v>
      </c>
      <c r="G2050" t="s">
        <v>45</v>
      </c>
      <c r="AH2050" t="s">
        <v>42</v>
      </c>
      <c r="AI2050" t="str">
        <f>"66298857565368"</f>
        <v>66298857565368</v>
      </c>
      <c r="AJ2050" t="str">
        <f>"KA007"</f>
        <v>KA007</v>
      </c>
      <c r="AK2050" t="s">
        <v>46</v>
      </c>
      <c r="AL2050" s="1">
        <v>44816.552951388891</v>
      </c>
      <c r="AM2050" t="s">
        <v>44</v>
      </c>
    </row>
    <row r="2051" spans="1:39" x14ac:dyDescent="0.2">
      <c r="A2051" t="s">
        <v>2002</v>
      </c>
      <c r="B2051" t="s">
        <v>40</v>
      </c>
      <c r="C2051" t="s">
        <v>1975</v>
      </c>
      <c r="D2051" t="s">
        <v>42</v>
      </c>
      <c r="E2051" t="s">
        <v>43</v>
      </c>
      <c r="F2051" t="s">
        <v>44</v>
      </c>
      <c r="G2051" t="s">
        <v>45</v>
      </c>
      <c r="AH2051" t="s">
        <v>42</v>
      </c>
      <c r="AI2051" t="str">
        <f>"66298857610174"</f>
        <v>66298857610174</v>
      </c>
      <c r="AJ2051" t="str">
        <f>"400008"</f>
        <v>400008</v>
      </c>
      <c r="AK2051" t="s">
        <v>46</v>
      </c>
      <c r="AL2051" s="1">
        <v>44816.55296296296</v>
      </c>
      <c r="AM2051" t="s">
        <v>44</v>
      </c>
    </row>
    <row r="2052" spans="1:39" x14ac:dyDescent="0.2">
      <c r="A2052" t="s">
        <v>2003</v>
      </c>
      <c r="B2052" t="s">
        <v>40</v>
      </c>
      <c r="C2052" t="s">
        <v>1975</v>
      </c>
      <c r="D2052" t="s">
        <v>42</v>
      </c>
      <c r="E2052" t="s">
        <v>43</v>
      </c>
      <c r="F2052" t="s">
        <v>44</v>
      </c>
      <c r="G2052" t="s">
        <v>45</v>
      </c>
      <c r="AH2052" t="s">
        <v>42</v>
      </c>
      <c r="AI2052" t="str">
        <f>"7363"</f>
        <v>7363</v>
      </c>
      <c r="AJ2052" t="str">
        <f>"7363"</f>
        <v>7363</v>
      </c>
      <c r="AK2052" t="s">
        <v>46</v>
      </c>
      <c r="AL2052" s="1">
        <v>45106.728750000002</v>
      </c>
      <c r="AM2052" t="s">
        <v>44</v>
      </c>
    </row>
    <row r="2053" spans="1:39" x14ac:dyDescent="0.2">
      <c r="A2053" t="s">
        <v>2004</v>
      </c>
      <c r="B2053" t="s">
        <v>40</v>
      </c>
      <c r="C2053" t="s">
        <v>1975</v>
      </c>
      <c r="D2053" t="s">
        <v>42</v>
      </c>
      <c r="E2053" t="s">
        <v>43</v>
      </c>
      <c r="F2053" t="s">
        <v>44</v>
      </c>
      <c r="G2053" t="s">
        <v>45</v>
      </c>
      <c r="AH2053" t="s">
        <v>42</v>
      </c>
      <c r="AI2053" t="str">
        <f>"123497"</f>
        <v>123497</v>
      </c>
      <c r="AJ2053" t="str">
        <f>"123947"</f>
        <v>123947</v>
      </c>
      <c r="AK2053" t="s">
        <v>46</v>
      </c>
      <c r="AL2053" s="1">
        <v>45132.722777777781</v>
      </c>
      <c r="AM2053" t="s">
        <v>44</v>
      </c>
    </row>
    <row r="2054" spans="1:39" x14ac:dyDescent="0.2">
      <c r="A2054" t="s">
        <v>2005</v>
      </c>
      <c r="B2054" t="s">
        <v>40</v>
      </c>
      <c r="C2054" t="s">
        <v>1975</v>
      </c>
      <c r="D2054" t="s">
        <v>42</v>
      </c>
      <c r="E2054" t="s">
        <v>43</v>
      </c>
      <c r="F2054" t="s">
        <v>44</v>
      </c>
      <c r="G2054" t="s">
        <v>45</v>
      </c>
      <c r="AH2054" t="s">
        <v>42</v>
      </c>
      <c r="AI2054" t="str">
        <f>"11705"</f>
        <v>11705</v>
      </c>
      <c r="AJ2054" t="str">
        <f>"11705"</f>
        <v>11705</v>
      </c>
      <c r="AK2054" t="s">
        <v>46</v>
      </c>
      <c r="AL2054" s="1">
        <v>44952.583194444444</v>
      </c>
      <c r="AM2054" t="s">
        <v>44</v>
      </c>
    </row>
    <row r="2055" spans="1:39" x14ac:dyDescent="0.2">
      <c r="A2055" t="s">
        <v>2006</v>
      </c>
      <c r="B2055" t="s">
        <v>40</v>
      </c>
      <c r="C2055" t="s">
        <v>1975</v>
      </c>
      <c r="D2055" t="s">
        <v>42</v>
      </c>
      <c r="E2055" t="s">
        <v>43</v>
      </c>
      <c r="F2055" t="s">
        <v>44</v>
      </c>
      <c r="G2055" t="s">
        <v>45</v>
      </c>
      <c r="AH2055" t="s">
        <v>42</v>
      </c>
      <c r="AI2055" t="str">
        <f>"66298857716136"</f>
        <v>66298857716136</v>
      </c>
      <c r="AJ2055" t="str">
        <f>"400790"</f>
        <v>400790</v>
      </c>
      <c r="AK2055" t="s">
        <v>46</v>
      </c>
      <c r="AL2055" s="1">
        <v>44816.552974537037</v>
      </c>
      <c r="AM2055" t="s">
        <v>44</v>
      </c>
    </row>
    <row r="2056" spans="1:39" x14ac:dyDescent="0.2">
      <c r="A2056" t="s">
        <v>2007</v>
      </c>
      <c r="B2056" t="s">
        <v>40</v>
      </c>
      <c r="C2056" t="s">
        <v>1975</v>
      </c>
      <c r="D2056" t="s">
        <v>42</v>
      </c>
      <c r="E2056" t="s">
        <v>43</v>
      </c>
      <c r="F2056" t="s">
        <v>44</v>
      </c>
      <c r="G2056" t="s">
        <v>45</v>
      </c>
      <c r="AH2056" t="s">
        <v>42</v>
      </c>
      <c r="AI2056" t="str">
        <f>"66298857652018"</f>
        <v>66298857652018</v>
      </c>
      <c r="AJ2056" t="str">
        <f>"E11"</f>
        <v>E11</v>
      </c>
      <c r="AK2056" t="s">
        <v>46</v>
      </c>
      <c r="AL2056" s="1">
        <v>44816.55296296296</v>
      </c>
      <c r="AM2056" t="s">
        <v>44</v>
      </c>
    </row>
    <row r="2057" spans="1:39" x14ac:dyDescent="0.2">
      <c r="A2057" t="s">
        <v>2007</v>
      </c>
      <c r="B2057" t="s">
        <v>40</v>
      </c>
      <c r="C2057" t="s">
        <v>1975</v>
      </c>
      <c r="D2057" t="s">
        <v>42</v>
      </c>
      <c r="E2057" t="s">
        <v>43</v>
      </c>
      <c r="F2057" t="s">
        <v>44</v>
      </c>
      <c r="G2057" t="s">
        <v>45</v>
      </c>
      <c r="AH2057" t="s">
        <v>42</v>
      </c>
      <c r="AI2057" t="str">
        <f>"66298857658097"</f>
        <v>66298857658097</v>
      </c>
      <c r="AJ2057" t="str">
        <f>"KA008"</f>
        <v>KA008</v>
      </c>
      <c r="AK2057" t="s">
        <v>46</v>
      </c>
      <c r="AL2057" s="1">
        <v>44816.55296296296</v>
      </c>
      <c r="AM2057" t="s">
        <v>44</v>
      </c>
    </row>
    <row r="2058" spans="1:39" x14ac:dyDescent="0.2">
      <c r="A2058" t="s">
        <v>2008</v>
      </c>
      <c r="B2058" t="s">
        <v>40</v>
      </c>
      <c r="C2058" t="s">
        <v>1975</v>
      </c>
      <c r="D2058" t="s">
        <v>42</v>
      </c>
      <c r="E2058" t="s">
        <v>43</v>
      </c>
      <c r="F2058" t="s">
        <v>44</v>
      </c>
      <c r="G2058" t="s">
        <v>45</v>
      </c>
      <c r="AH2058" t="s">
        <v>42</v>
      </c>
      <c r="AI2058" t="str">
        <f>"KA001"</f>
        <v>KA001</v>
      </c>
      <c r="AJ2058" t="str">
        <f>"KA001"</f>
        <v>KA001</v>
      </c>
      <c r="AK2058" t="s">
        <v>46</v>
      </c>
      <c r="AL2058" s="1">
        <v>44858.690300925926</v>
      </c>
      <c r="AM2058" t="s">
        <v>44</v>
      </c>
    </row>
    <row r="2059" spans="1:39" x14ac:dyDescent="0.2">
      <c r="A2059" t="s">
        <v>2009</v>
      </c>
      <c r="B2059" t="s">
        <v>40</v>
      </c>
      <c r="C2059" t="s">
        <v>1975</v>
      </c>
      <c r="D2059" t="s">
        <v>42</v>
      </c>
      <c r="E2059" t="s">
        <v>43</v>
      </c>
      <c r="F2059" t="s">
        <v>44</v>
      </c>
      <c r="G2059" t="s">
        <v>45</v>
      </c>
      <c r="AH2059" t="s">
        <v>42</v>
      </c>
      <c r="AI2059" t="str">
        <f>"66298857803964"</f>
        <v>66298857803964</v>
      </c>
      <c r="AJ2059" t="str">
        <f>"400009"</f>
        <v>400009</v>
      </c>
      <c r="AK2059" t="s">
        <v>46</v>
      </c>
      <c r="AL2059" s="1">
        <v>44816.552986111114</v>
      </c>
      <c r="AM2059" t="s">
        <v>44</v>
      </c>
    </row>
    <row r="2060" spans="1:39" x14ac:dyDescent="0.2">
      <c r="A2060" t="s">
        <v>2010</v>
      </c>
      <c r="B2060" t="s">
        <v>40</v>
      </c>
      <c r="C2060" t="s">
        <v>1975</v>
      </c>
      <c r="D2060" t="s">
        <v>42</v>
      </c>
      <c r="E2060" t="s">
        <v>43</v>
      </c>
      <c r="F2060" t="s">
        <v>44</v>
      </c>
      <c r="G2060" t="s">
        <v>45</v>
      </c>
      <c r="AH2060" t="s">
        <v>42</v>
      </c>
      <c r="AI2060" t="str">
        <f>"66298857760619"</f>
        <v>66298857760619</v>
      </c>
      <c r="AJ2060" t="str">
        <f>"84932"</f>
        <v>84932</v>
      </c>
      <c r="AK2060" t="s">
        <v>46</v>
      </c>
      <c r="AL2060" s="1">
        <v>44816.552974537037</v>
      </c>
      <c r="AM2060" t="s">
        <v>44</v>
      </c>
    </row>
    <row r="2061" spans="1:39" x14ac:dyDescent="0.2">
      <c r="A2061" t="s">
        <v>2011</v>
      </c>
      <c r="B2061" t="s">
        <v>40</v>
      </c>
      <c r="C2061" t="s">
        <v>1975</v>
      </c>
      <c r="D2061" t="s">
        <v>42</v>
      </c>
      <c r="E2061" t="s">
        <v>43</v>
      </c>
      <c r="F2061" t="s">
        <v>44</v>
      </c>
      <c r="G2061" t="s">
        <v>45</v>
      </c>
      <c r="AH2061" t="s">
        <v>42</v>
      </c>
      <c r="AI2061" t="str">
        <f>"66298857845199"</f>
        <v>66298857845199</v>
      </c>
      <c r="AJ2061" t="str">
        <f>"120757"</f>
        <v>120757</v>
      </c>
      <c r="AK2061" t="s">
        <v>46</v>
      </c>
      <c r="AL2061" s="1">
        <v>44816.552986111114</v>
      </c>
      <c r="AM2061" t="s">
        <v>44</v>
      </c>
    </row>
    <row r="2062" spans="1:39" x14ac:dyDescent="0.2">
      <c r="A2062" t="s">
        <v>2012</v>
      </c>
      <c r="B2062" t="s">
        <v>40</v>
      </c>
      <c r="C2062" t="s">
        <v>1975</v>
      </c>
      <c r="D2062" t="s">
        <v>42</v>
      </c>
      <c r="E2062" t="s">
        <v>43</v>
      </c>
      <c r="F2062" t="s">
        <v>44</v>
      </c>
      <c r="G2062" t="s">
        <v>45</v>
      </c>
      <c r="AH2062" t="s">
        <v>42</v>
      </c>
      <c r="AI2062" t="str">
        <f>"124002"</f>
        <v>124002</v>
      </c>
      <c r="AJ2062" t="str">
        <f>"124002"</f>
        <v>124002</v>
      </c>
      <c r="AK2062" t="s">
        <v>46</v>
      </c>
      <c r="AL2062" s="1">
        <v>45132.719155092593</v>
      </c>
      <c r="AM2062" t="s">
        <v>44</v>
      </c>
    </row>
    <row r="2063" spans="1:39" x14ac:dyDescent="0.2">
      <c r="A2063" t="s">
        <v>2013</v>
      </c>
      <c r="B2063" t="s">
        <v>40</v>
      </c>
      <c r="C2063" t="s">
        <v>1975</v>
      </c>
      <c r="D2063" t="s">
        <v>42</v>
      </c>
      <c r="E2063" t="s">
        <v>43</v>
      </c>
      <c r="F2063" t="s">
        <v>44</v>
      </c>
      <c r="G2063" t="s">
        <v>45</v>
      </c>
      <c r="AH2063" t="s">
        <v>42</v>
      </c>
      <c r="AI2063" t="str">
        <f>"66298857886957"</f>
        <v>66298857886957</v>
      </c>
      <c r="AJ2063" t="str">
        <f>"00110"</f>
        <v>00110</v>
      </c>
      <c r="AK2063" t="s">
        <v>46</v>
      </c>
      <c r="AL2063" s="1">
        <v>44816.552986111114</v>
      </c>
      <c r="AM2063" t="s">
        <v>44</v>
      </c>
    </row>
    <row r="2064" spans="1:39" x14ac:dyDescent="0.2">
      <c r="A2064" t="s">
        <v>2014</v>
      </c>
      <c r="B2064" t="s">
        <v>40</v>
      </c>
      <c r="C2064" t="s">
        <v>1975</v>
      </c>
      <c r="D2064" t="s">
        <v>42</v>
      </c>
      <c r="E2064" t="s">
        <v>43</v>
      </c>
      <c r="F2064" t="s">
        <v>44</v>
      </c>
      <c r="G2064" t="s">
        <v>45</v>
      </c>
      <c r="AH2064" t="s">
        <v>43</v>
      </c>
      <c r="AI2064" t="str">
        <f>"ESP-NEW-INVICTA"</f>
        <v>ESP-NEW-INVICTA</v>
      </c>
      <c r="AJ2064" t="str">
        <f>"ESP-NEW-INVICTA"</f>
        <v>ESP-NEW-INVICTA</v>
      </c>
      <c r="AK2064" t="s">
        <v>46</v>
      </c>
      <c r="AL2064" s="1">
        <v>44999.681134259263</v>
      </c>
      <c r="AM2064" t="s">
        <v>44</v>
      </c>
    </row>
    <row r="2065" spans="1:39" x14ac:dyDescent="0.2">
      <c r="A2065" t="s">
        <v>2015</v>
      </c>
      <c r="B2065" t="s">
        <v>40</v>
      </c>
      <c r="C2065" t="s">
        <v>1975</v>
      </c>
      <c r="D2065" t="s">
        <v>42</v>
      </c>
      <c r="E2065" t="s">
        <v>43</v>
      </c>
      <c r="F2065" t="s">
        <v>44</v>
      </c>
      <c r="G2065" t="s">
        <v>45</v>
      </c>
      <c r="AH2065" t="s">
        <v>42</v>
      </c>
      <c r="AI2065" t="str">
        <f>"124024"</f>
        <v>124024</v>
      </c>
      <c r="AJ2065" t="str">
        <f>"124024"</f>
        <v>124024</v>
      </c>
      <c r="AK2065" t="s">
        <v>46</v>
      </c>
      <c r="AL2065" s="1">
        <v>45132.721134259256</v>
      </c>
      <c r="AM2065" t="s">
        <v>44</v>
      </c>
    </row>
    <row r="2066" spans="1:39" x14ac:dyDescent="0.2">
      <c r="A2066" t="s">
        <v>2016</v>
      </c>
      <c r="B2066" t="s">
        <v>40</v>
      </c>
      <c r="C2066" t="s">
        <v>1975</v>
      </c>
      <c r="D2066" t="s">
        <v>42</v>
      </c>
      <c r="E2066" t="s">
        <v>43</v>
      </c>
      <c r="F2066" t="s">
        <v>44</v>
      </c>
      <c r="G2066" t="s">
        <v>45</v>
      </c>
      <c r="AH2066" t="s">
        <v>42</v>
      </c>
      <c r="AI2066" t="str">
        <f>"66298857930127"</f>
        <v>66298857930127</v>
      </c>
      <c r="AJ2066" t="str">
        <f>"KA045"</f>
        <v>KA045</v>
      </c>
      <c r="AK2066" t="s">
        <v>46</v>
      </c>
      <c r="AL2066" s="1">
        <v>44816.552997685183</v>
      </c>
      <c r="AM2066" t="s">
        <v>44</v>
      </c>
    </row>
    <row r="2067" spans="1:39" x14ac:dyDescent="0.2">
      <c r="A2067" t="s">
        <v>2016</v>
      </c>
      <c r="B2067" t="s">
        <v>40</v>
      </c>
      <c r="C2067" t="s">
        <v>1975</v>
      </c>
      <c r="D2067" t="s">
        <v>42</v>
      </c>
      <c r="E2067" t="s">
        <v>43</v>
      </c>
      <c r="F2067" t="s">
        <v>44</v>
      </c>
      <c r="G2067" t="s">
        <v>45</v>
      </c>
      <c r="AH2067" t="s">
        <v>42</v>
      </c>
      <c r="AI2067" t="str">
        <f>"66298857936666"</f>
        <v>66298857936666</v>
      </c>
      <c r="AJ2067" t="str">
        <f>"KA056"</f>
        <v>KA056</v>
      </c>
      <c r="AK2067" t="s">
        <v>46</v>
      </c>
      <c r="AL2067" s="1">
        <v>44816.552997685183</v>
      </c>
      <c r="AM2067" t="s">
        <v>44</v>
      </c>
    </row>
    <row r="2068" spans="1:39" x14ac:dyDescent="0.2">
      <c r="A2068" t="s">
        <v>2016</v>
      </c>
      <c r="B2068" t="s">
        <v>40</v>
      </c>
      <c r="C2068" t="s">
        <v>1975</v>
      </c>
      <c r="D2068" t="s">
        <v>42</v>
      </c>
      <c r="E2068" t="s">
        <v>43</v>
      </c>
      <c r="F2068" t="s">
        <v>44</v>
      </c>
      <c r="G2068" t="s">
        <v>45</v>
      </c>
      <c r="AH2068" t="s">
        <v>42</v>
      </c>
      <c r="AI2068" t="str">
        <f>"66298858001142"</f>
        <v>66298858001142</v>
      </c>
      <c r="AJ2068" t="str">
        <f>"KA046"</f>
        <v>KA046</v>
      </c>
      <c r="AK2068" t="s">
        <v>46</v>
      </c>
      <c r="AL2068" s="1">
        <v>44816.55300925926</v>
      </c>
      <c r="AM2068" t="s">
        <v>44</v>
      </c>
    </row>
    <row r="2069" spans="1:39" x14ac:dyDescent="0.2">
      <c r="A2069" t="s">
        <v>2017</v>
      </c>
      <c r="B2069" t="s">
        <v>40</v>
      </c>
      <c r="C2069" t="s">
        <v>1975</v>
      </c>
      <c r="D2069" t="s">
        <v>42</v>
      </c>
      <c r="E2069" t="s">
        <v>43</v>
      </c>
      <c r="F2069" t="s">
        <v>44</v>
      </c>
      <c r="G2069" t="s">
        <v>45</v>
      </c>
      <c r="AH2069" t="s">
        <v>42</v>
      </c>
      <c r="AI2069" t="str">
        <f>"66298858077872"</f>
        <v>66298858077872</v>
      </c>
      <c r="AJ2069" t="str">
        <f>"400786"</f>
        <v>400786</v>
      </c>
      <c r="AK2069" t="s">
        <v>46</v>
      </c>
      <c r="AL2069" s="1">
        <v>44816.55300925926</v>
      </c>
      <c r="AM2069" t="s">
        <v>44</v>
      </c>
    </row>
    <row r="2070" spans="1:39" x14ac:dyDescent="0.2">
      <c r="A2070" t="s">
        <v>2018</v>
      </c>
      <c r="B2070" t="s">
        <v>40</v>
      </c>
      <c r="C2070" t="s">
        <v>1975</v>
      </c>
      <c r="D2070" t="s">
        <v>42</v>
      </c>
      <c r="E2070" t="s">
        <v>43</v>
      </c>
      <c r="F2070" t="s">
        <v>44</v>
      </c>
      <c r="G2070" t="s">
        <v>45</v>
      </c>
      <c r="AH2070" t="s">
        <v>42</v>
      </c>
      <c r="AI2070" t="str">
        <f>"66298858039116"</f>
        <v>66298858039116</v>
      </c>
      <c r="AJ2070" t="str">
        <f>"82653"</f>
        <v>82653</v>
      </c>
      <c r="AK2070" t="s">
        <v>46</v>
      </c>
      <c r="AL2070" s="1">
        <v>44816.55300925926</v>
      </c>
      <c r="AM2070" t="s">
        <v>44</v>
      </c>
    </row>
    <row r="2071" spans="1:39" x14ac:dyDescent="0.2">
      <c r="A2071" t="s">
        <v>2018</v>
      </c>
      <c r="B2071" t="s">
        <v>40</v>
      </c>
      <c r="C2071" t="s">
        <v>1975</v>
      </c>
      <c r="D2071" t="s">
        <v>42</v>
      </c>
      <c r="E2071" t="s">
        <v>43</v>
      </c>
      <c r="F2071" t="s">
        <v>44</v>
      </c>
      <c r="G2071" t="s">
        <v>45</v>
      </c>
      <c r="AH2071" t="s">
        <v>42</v>
      </c>
      <c r="AI2071" t="str">
        <f>"15849"</f>
        <v>15849</v>
      </c>
      <c r="AJ2071" t="str">
        <f>"15849"</f>
        <v>15849</v>
      </c>
      <c r="AK2071" t="s">
        <v>46</v>
      </c>
      <c r="AL2071" s="1">
        <v>45092.724039351851</v>
      </c>
      <c r="AM2071" t="s">
        <v>44</v>
      </c>
    </row>
    <row r="2072" spans="1:39" x14ac:dyDescent="0.2">
      <c r="A2072" t="s">
        <v>2019</v>
      </c>
      <c r="B2072" t="s">
        <v>40</v>
      </c>
      <c r="C2072" t="s">
        <v>1975</v>
      </c>
      <c r="D2072" t="s">
        <v>42</v>
      </c>
      <c r="E2072" t="s">
        <v>43</v>
      </c>
      <c r="F2072" t="s">
        <v>44</v>
      </c>
      <c r="G2072" t="s">
        <v>45</v>
      </c>
      <c r="AH2072" t="s">
        <v>42</v>
      </c>
      <c r="AI2072" t="str">
        <f>"66298858118772"</f>
        <v>66298858118772</v>
      </c>
      <c r="AJ2072" t="str">
        <f>"00151"</f>
        <v>00151</v>
      </c>
      <c r="AK2072" t="s">
        <v>46</v>
      </c>
      <c r="AL2072" s="1">
        <v>44816.553020833337</v>
      </c>
      <c r="AM2072" t="s">
        <v>44</v>
      </c>
    </row>
    <row r="2073" spans="1:39" x14ac:dyDescent="0.2">
      <c r="A2073" t="s">
        <v>2020</v>
      </c>
      <c r="B2073" t="s">
        <v>40</v>
      </c>
      <c r="C2073" t="s">
        <v>1975</v>
      </c>
      <c r="D2073" t="s">
        <v>42</v>
      </c>
      <c r="E2073" t="s">
        <v>43</v>
      </c>
      <c r="F2073" t="s">
        <v>44</v>
      </c>
      <c r="G2073" t="s">
        <v>45</v>
      </c>
      <c r="AH2073" t="s">
        <v>42</v>
      </c>
      <c r="AI2073" t="str">
        <f>"66298858162850"</f>
        <v>66298858162850</v>
      </c>
      <c r="AJ2073" t="str">
        <f>"E18"</f>
        <v>E18</v>
      </c>
      <c r="AK2073" t="s">
        <v>46</v>
      </c>
      <c r="AL2073" s="1">
        <v>44816.553020833337</v>
      </c>
      <c r="AM2073" t="s">
        <v>44</v>
      </c>
    </row>
    <row r="2074" spans="1:39" x14ac:dyDescent="0.2">
      <c r="A2074" t="s">
        <v>2021</v>
      </c>
      <c r="B2074" t="s">
        <v>40</v>
      </c>
      <c r="C2074" t="s">
        <v>1975</v>
      </c>
      <c r="D2074" t="s">
        <v>42</v>
      </c>
      <c r="E2074" t="s">
        <v>43</v>
      </c>
      <c r="F2074" t="s">
        <v>44</v>
      </c>
      <c r="G2074" t="s">
        <v>45</v>
      </c>
      <c r="AH2074" t="s">
        <v>42</v>
      </c>
      <c r="AI2074" t="str">
        <f>"66298858203227"</f>
        <v>66298858203227</v>
      </c>
      <c r="AJ2074" t="str">
        <f>"400905"</f>
        <v>400905</v>
      </c>
      <c r="AK2074" t="s">
        <v>46</v>
      </c>
      <c r="AL2074" s="1">
        <v>44816.553032407406</v>
      </c>
      <c r="AM2074" t="s">
        <v>44</v>
      </c>
    </row>
    <row r="2075" spans="1:39" x14ac:dyDescent="0.2">
      <c r="A2075" t="s">
        <v>2022</v>
      </c>
      <c r="B2075" t="s">
        <v>40</v>
      </c>
      <c r="C2075" t="s">
        <v>1975</v>
      </c>
      <c r="D2075" t="s">
        <v>42</v>
      </c>
      <c r="E2075" t="s">
        <v>43</v>
      </c>
      <c r="F2075" t="s">
        <v>44</v>
      </c>
      <c r="G2075" t="s">
        <v>45</v>
      </c>
      <c r="AH2075" t="s">
        <v>42</v>
      </c>
      <c r="AI2075" t="str">
        <f>"66298858241165"</f>
        <v>66298858241165</v>
      </c>
      <c r="AJ2075" t="str">
        <f>"400789"</f>
        <v>400789</v>
      </c>
      <c r="AK2075" t="s">
        <v>46</v>
      </c>
      <c r="AL2075" s="1">
        <v>44816.553032407406</v>
      </c>
      <c r="AM2075" t="s">
        <v>44</v>
      </c>
    </row>
    <row r="2076" spans="1:39" x14ac:dyDescent="0.2">
      <c r="A2076" t="s">
        <v>2023</v>
      </c>
      <c r="B2076" t="s">
        <v>40</v>
      </c>
      <c r="C2076" t="s">
        <v>1975</v>
      </c>
      <c r="D2076" t="s">
        <v>42</v>
      </c>
      <c r="E2076" t="s">
        <v>43</v>
      </c>
      <c r="F2076" t="s">
        <v>44</v>
      </c>
      <c r="G2076" t="s">
        <v>45</v>
      </c>
      <c r="AH2076" t="s">
        <v>42</v>
      </c>
      <c r="AI2076" t="str">
        <f>"66298858280670"</f>
        <v>66298858280670</v>
      </c>
      <c r="AJ2076" t="str">
        <f>"400791"</f>
        <v>400791</v>
      </c>
      <c r="AK2076" t="s">
        <v>46</v>
      </c>
      <c r="AL2076" s="1">
        <v>44816.553032407406</v>
      </c>
      <c r="AM2076" t="s">
        <v>44</v>
      </c>
    </row>
    <row r="2077" spans="1:39" x14ac:dyDescent="0.2">
      <c r="A2077" t="s">
        <v>2024</v>
      </c>
      <c r="B2077" t="s">
        <v>40</v>
      </c>
      <c r="C2077" t="s">
        <v>1975</v>
      </c>
      <c r="D2077" t="s">
        <v>42</v>
      </c>
      <c r="E2077" t="s">
        <v>43</v>
      </c>
      <c r="F2077" t="s">
        <v>44</v>
      </c>
      <c r="G2077" t="s">
        <v>45</v>
      </c>
      <c r="AH2077" t="s">
        <v>42</v>
      </c>
      <c r="AI2077" t="str">
        <f>"KA003"</f>
        <v>KA003</v>
      </c>
      <c r="AJ2077" t="str">
        <f>"KA003"</f>
        <v>KA003</v>
      </c>
      <c r="AK2077" t="s">
        <v>46</v>
      </c>
      <c r="AL2077" s="1">
        <v>45092.72451388889</v>
      </c>
      <c r="AM2077" t="s">
        <v>44</v>
      </c>
    </row>
    <row r="2078" spans="1:39" x14ac:dyDescent="0.2">
      <c r="A2078" t="s">
        <v>2025</v>
      </c>
      <c r="B2078" t="s">
        <v>40</v>
      </c>
      <c r="C2078" t="s">
        <v>1975</v>
      </c>
      <c r="D2078" t="s">
        <v>42</v>
      </c>
      <c r="E2078" t="s">
        <v>43</v>
      </c>
      <c r="F2078" t="s">
        <v>44</v>
      </c>
      <c r="G2078" t="s">
        <v>45</v>
      </c>
      <c r="AH2078" t="s">
        <v>42</v>
      </c>
      <c r="AI2078" t="str">
        <f>"YXC-M10"</f>
        <v>YXC-M10</v>
      </c>
      <c r="AJ2078" t="str">
        <f>"YXC-M10"</f>
        <v>YXC-M10</v>
      </c>
      <c r="AK2078" t="s">
        <v>46</v>
      </c>
      <c r="AL2078" s="1">
        <v>45000.550891203704</v>
      </c>
      <c r="AM2078" t="s">
        <v>44</v>
      </c>
    </row>
    <row r="2079" spans="1:39" x14ac:dyDescent="0.2">
      <c r="A2079" t="s">
        <v>2025</v>
      </c>
      <c r="B2079" t="s">
        <v>40</v>
      </c>
      <c r="C2079" t="s">
        <v>1975</v>
      </c>
      <c r="D2079" t="s">
        <v>42</v>
      </c>
      <c r="E2079" t="s">
        <v>43</v>
      </c>
      <c r="F2079" t="s">
        <v>44</v>
      </c>
      <c r="G2079" t="s">
        <v>45</v>
      </c>
      <c r="AH2079" t="s">
        <v>42</v>
      </c>
      <c r="AI2079" t="str">
        <f>"K050"</f>
        <v>K050</v>
      </c>
      <c r="AJ2079" t="str">
        <f>"K050"</f>
        <v>K050</v>
      </c>
      <c r="AK2079" t="s">
        <v>46</v>
      </c>
      <c r="AL2079" s="1">
        <v>45092.832326388889</v>
      </c>
      <c r="AM2079" t="s">
        <v>44</v>
      </c>
    </row>
    <row r="2080" spans="1:39" x14ac:dyDescent="0.2">
      <c r="A2080" t="s">
        <v>2026</v>
      </c>
      <c r="B2080" t="s">
        <v>40</v>
      </c>
      <c r="C2080" t="s">
        <v>1975</v>
      </c>
      <c r="D2080" t="s">
        <v>42</v>
      </c>
      <c r="E2080" t="s">
        <v>43</v>
      </c>
      <c r="F2080" t="s">
        <v>44</v>
      </c>
      <c r="G2080" t="s">
        <v>45</v>
      </c>
      <c r="AH2080" t="s">
        <v>42</v>
      </c>
      <c r="AI2080" t="str">
        <f>"66298858361901"</f>
        <v>66298858361901</v>
      </c>
      <c r="AJ2080" t="str">
        <f>"82132"</f>
        <v>82132</v>
      </c>
      <c r="AK2080" t="s">
        <v>46</v>
      </c>
      <c r="AL2080" s="1">
        <v>44816.553043981483</v>
      </c>
      <c r="AM2080" t="s">
        <v>44</v>
      </c>
    </row>
    <row r="2081" spans="1:39" x14ac:dyDescent="0.2">
      <c r="A2081" t="s">
        <v>2027</v>
      </c>
      <c r="B2081" t="s">
        <v>40</v>
      </c>
      <c r="C2081" t="s">
        <v>1975</v>
      </c>
      <c r="D2081" t="s">
        <v>42</v>
      </c>
      <c r="E2081" t="s">
        <v>43</v>
      </c>
      <c r="F2081" t="s">
        <v>44</v>
      </c>
      <c r="G2081" t="s">
        <v>45</v>
      </c>
      <c r="AH2081" t="s">
        <v>42</v>
      </c>
      <c r="AI2081" t="str">
        <f>"KA009"</f>
        <v>KA009</v>
      </c>
      <c r="AJ2081" t="str">
        <f>"KA009"</f>
        <v>KA009</v>
      </c>
      <c r="AK2081" t="s">
        <v>46</v>
      </c>
      <c r="AL2081" s="1">
        <v>44972.564108796294</v>
      </c>
      <c r="AM2081" t="s">
        <v>44</v>
      </c>
    </row>
    <row r="2082" spans="1:39" x14ac:dyDescent="0.2">
      <c r="A2082" t="s">
        <v>2028</v>
      </c>
      <c r="B2082" t="s">
        <v>40</v>
      </c>
      <c r="C2082" t="s">
        <v>1975</v>
      </c>
      <c r="D2082" t="s">
        <v>42</v>
      </c>
      <c r="E2082" t="s">
        <v>43</v>
      </c>
      <c r="F2082" t="s">
        <v>44</v>
      </c>
      <c r="G2082" t="s">
        <v>45</v>
      </c>
      <c r="AH2082" t="s">
        <v>42</v>
      </c>
      <c r="AI2082" t="str">
        <f>"66298858403804"</f>
        <v>66298858403804</v>
      </c>
      <c r="AJ2082" t="str">
        <f>"00171"</f>
        <v>00171</v>
      </c>
      <c r="AK2082" t="s">
        <v>46</v>
      </c>
      <c r="AL2082" s="1">
        <v>44816.553055555552</v>
      </c>
      <c r="AM2082" t="s">
        <v>44</v>
      </c>
    </row>
    <row r="2083" spans="1:39" x14ac:dyDescent="0.2">
      <c r="A2083" t="s">
        <v>2029</v>
      </c>
      <c r="B2083" t="s">
        <v>40</v>
      </c>
      <c r="C2083" t="s">
        <v>1975</v>
      </c>
      <c r="D2083" t="s">
        <v>42</v>
      </c>
      <c r="E2083" t="s">
        <v>43</v>
      </c>
      <c r="F2083" t="s">
        <v>44</v>
      </c>
      <c r="G2083" t="s">
        <v>45</v>
      </c>
      <c r="AH2083" t="s">
        <v>42</v>
      </c>
      <c r="AI2083" t="str">
        <f>"66298858319097"</f>
        <v>66298858319097</v>
      </c>
      <c r="AJ2083" t="str">
        <f>"K058"</f>
        <v>K058</v>
      </c>
      <c r="AK2083" t="s">
        <v>46</v>
      </c>
      <c r="AL2083" s="1">
        <v>44816.553043981483</v>
      </c>
      <c r="AM2083" t="s">
        <v>44</v>
      </c>
    </row>
    <row r="2084" spans="1:39" x14ac:dyDescent="0.2">
      <c r="A2084" t="s">
        <v>2030</v>
      </c>
      <c r="B2084" t="s">
        <v>40</v>
      </c>
      <c r="C2084" t="s">
        <v>1975</v>
      </c>
      <c r="D2084" t="s">
        <v>42</v>
      </c>
      <c r="E2084" t="s">
        <v>43</v>
      </c>
      <c r="F2084" t="s">
        <v>44</v>
      </c>
      <c r="G2084" t="s">
        <v>45</v>
      </c>
      <c r="AH2084" t="s">
        <v>42</v>
      </c>
      <c r="AI2084" t="str">
        <f>"KA030"</f>
        <v>KA030</v>
      </c>
      <c r="AJ2084" t="str">
        <f>"KA030"</f>
        <v>KA030</v>
      </c>
      <c r="AK2084" t="s">
        <v>46</v>
      </c>
      <c r="AL2084" s="1">
        <v>44858.694513888891</v>
      </c>
      <c r="AM2084" t="s">
        <v>44</v>
      </c>
    </row>
    <row r="2085" spans="1:39" x14ac:dyDescent="0.2">
      <c r="A2085" t="s">
        <v>2031</v>
      </c>
      <c r="B2085" t="s">
        <v>40</v>
      </c>
      <c r="C2085" t="s">
        <v>1975</v>
      </c>
      <c r="D2085" t="s">
        <v>42</v>
      </c>
      <c r="E2085" t="s">
        <v>43</v>
      </c>
      <c r="F2085" t="s">
        <v>44</v>
      </c>
      <c r="G2085" t="s">
        <v>45</v>
      </c>
      <c r="AH2085" t="s">
        <v>42</v>
      </c>
      <c r="AI2085" t="str">
        <f>"12312"</f>
        <v>12312</v>
      </c>
      <c r="AJ2085" t="str">
        <f>"12312"</f>
        <v>12312</v>
      </c>
      <c r="AK2085" t="s">
        <v>46</v>
      </c>
      <c r="AL2085" s="1">
        <v>44950.84920138889</v>
      </c>
      <c r="AM2085" t="s">
        <v>44</v>
      </c>
    </row>
    <row r="2086" spans="1:39" x14ac:dyDescent="0.2">
      <c r="A2086" t="s">
        <v>2031</v>
      </c>
      <c r="B2086" t="s">
        <v>40</v>
      </c>
      <c r="C2086" t="s">
        <v>1975</v>
      </c>
      <c r="D2086" t="s">
        <v>42</v>
      </c>
      <c r="E2086" t="s">
        <v>43</v>
      </c>
      <c r="F2086" t="s">
        <v>44</v>
      </c>
      <c r="G2086" t="s">
        <v>45</v>
      </c>
      <c r="AH2086" t="s">
        <v>42</v>
      </c>
      <c r="AI2086" t="str">
        <f>"KA037"</f>
        <v>KA037</v>
      </c>
      <c r="AJ2086" t="str">
        <f>"KA037"</f>
        <v>KA037</v>
      </c>
      <c r="AK2086" t="s">
        <v>46</v>
      </c>
      <c r="AL2086" s="1">
        <v>45112.909710648149</v>
      </c>
      <c r="AM2086" t="s">
        <v>44</v>
      </c>
    </row>
    <row r="2087" spans="1:39" x14ac:dyDescent="0.2">
      <c r="A2087" t="s">
        <v>2032</v>
      </c>
      <c r="B2087" t="s">
        <v>40</v>
      </c>
      <c r="C2087" t="s">
        <v>1975</v>
      </c>
      <c r="D2087" t="s">
        <v>42</v>
      </c>
      <c r="E2087" t="s">
        <v>43</v>
      </c>
      <c r="F2087" t="s">
        <v>44</v>
      </c>
      <c r="G2087" t="s">
        <v>45</v>
      </c>
      <c r="AH2087" t="s">
        <v>42</v>
      </c>
      <c r="AI2087" t="str">
        <f>"KA006"</f>
        <v>KA006</v>
      </c>
      <c r="AJ2087" t="str">
        <f>"KA006"</f>
        <v>KA006</v>
      </c>
      <c r="AK2087" t="s">
        <v>46</v>
      </c>
      <c r="AL2087" s="1">
        <v>44972.563379629632</v>
      </c>
      <c r="AM2087" t="s">
        <v>44</v>
      </c>
    </row>
    <row r="2088" spans="1:39" x14ac:dyDescent="0.2">
      <c r="A2088" t="s">
        <v>2033</v>
      </c>
      <c r="B2088" t="s">
        <v>40</v>
      </c>
      <c r="C2088" t="s">
        <v>1975</v>
      </c>
      <c r="D2088" t="s">
        <v>42</v>
      </c>
      <c r="E2088" t="s">
        <v>43</v>
      </c>
      <c r="F2088" t="s">
        <v>44</v>
      </c>
      <c r="G2088" t="s">
        <v>45</v>
      </c>
      <c r="AH2088" t="s">
        <v>42</v>
      </c>
      <c r="AI2088" t="str">
        <f>"66298858446595"</f>
        <v>66298858446595</v>
      </c>
      <c r="AJ2088" t="str">
        <f>"3343"</f>
        <v>3343</v>
      </c>
      <c r="AK2088" t="s">
        <v>46</v>
      </c>
      <c r="AL2088" s="1">
        <v>44816.553055555552</v>
      </c>
      <c r="AM2088" t="s">
        <v>44</v>
      </c>
    </row>
    <row r="2089" spans="1:39" x14ac:dyDescent="0.2">
      <c r="A2089" t="s">
        <v>2034</v>
      </c>
      <c r="B2089" t="s">
        <v>40</v>
      </c>
      <c r="C2089" t="s">
        <v>1975</v>
      </c>
      <c r="D2089" t="s">
        <v>42</v>
      </c>
      <c r="E2089" t="s">
        <v>43</v>
      </c>
      <c r="F2089" t="s">
        <v>44</v>
      </c>
      <c r="G2089" t="s">
        <v>45</v>
      </c>
      <c r="AH2089" t="s">
        <v>42</v>
      </c>
      <c r="AI2089" t="str">
        <f>"KA033"</f>
        <v>KA033</v>
      </c>
      <c r="AJ2089" t="str">
        <f>"KA033"</f>
        <v>KA033</v>
      </c>
      <c r="AK2089" t="s">
        <v>46</v>
      </c>
      <c r="AL2089" s="1">
        <v>45092.738553240742</v>
      </c>
      <c r="AM2089" t="s">
        <v>44</v>
      </c>
    </row>
    <row r="2090" spans="1:39" x14ac:dyDescent="0.2">
      <c r="A2090" t="s">
        <v>2034</v>
      </c>
      <c r="B2090" t="s">
        <v>40</v>
      </c>
      <c r="C2090" t="s">
        <v>1975</v>
      </c>
      <c r="D2090" t="s">
        <v>42</v>
      </c>
      <c r="E2090" t="s">
        <v>43</v>
      </c>
      <c r="F2090" t="s">
        <v>44</v>
      </c>
      <c r="G2090" t="s">
        <v>45</v>
      </c>
      <c r="AH2090" t="s">
        <v>42</v>
      </c>
      <c r="AI2090" t="str">
        <f>"1318"</f>
        <v>1318</v>
      </c>
      <c r="AJ2090" t="str">
        <f>"1318"</f>
        <v>1318</v>
      </c>
      <c r="AK2090" t="s">
        <v>46</v>
      </c>
      <c r="AL2090" s="1">
        <v>45132.71261574074</v>
      </c>
      <c r="AM2090" t="s">
        <v>44</v>
      </c>
    </row>
    <row r="2091" spans="1:39" x14ac:dyDescent="0.2">
      <c r="A2091" t="s">
        <v>2035</v>
      </c>
      <c r="B2091" t="s">
        <v>40</v>
      </c>
      <c r="C2091" t="s">
        <v>1975</v>
      </c>
      <c r="D2091" t="s">
        <v>42</v>
      </c>
      <c r="E2091" t="s">
        <v>43</v>
      </c>
      <c r="F2091" t="s">
        <v>44</v>
      </c>
      <c r="G2091" t="s">
        <v>45</v>
      </c>
      <c r="AH2091" t="s">
        <v>42</v>
      </c>
      <c r="AI2091" t="str">
        <f>"66298858634762"</f>
        <v>66298858634762</v>
      </c>
      <c r="AJ2091" t="str">
        <f>"K014-ROJO"</f>
        <v>K014-ROJO</v>
      </c>
      <c r="AK2091" t="s">
        <v>46</v>
      </c>
      <c r="AL2091" s="1">
        <v>44816.553078703706</v>
      </c>
      <c r="AM2091" t="s">
        <v>44</v>
      </c>
    </row>
    <row r="2092" spans="1:39" x14ac:dyDescent="0.2">
      <c r="A2092" t="s">
        <v>2036</v>
      </c>
      <c r="B2092" t="s">
        <v>40</v>
      </c>
      <c r="C2092" t="s">
        <v>1975</v>
      </c>
      <c r="D2092" t="s">
        <v>42</v>
      </c>
      <c r="E2092" t="s">
        <v>43</v>
      </c>
      <c r="F2092" t="s">
        <v>44</v>
      </c>
      <c r="G2092" t="s">
        <v>45</v>
      </c>
      <c r="AH2092" t="s">
        <v>42</v>
      </c>
      <c r="AI2092" t="str">
        <f>"66298858486231"</f>
        <v>66298858486231</v>
      </c>
      <c r="AJ2092" t="str">
        <f>"K012-AZUL"</f>
        <v>K012-AZUL</v>
      </c>
      <c r="AK2092" t="s">
        <v>46</v>
      </c>
      <c r="AL2092" s="1">
        <v>44816.553055555552</v>
      </c>
      <c r="AM2092" t="s">
        <v>44</v>
      </c>
    </row>
    <row r="2093" spans="1:39" x14ac:dyDescent="0.2">
      <c r="A2093" t="s">
        <v>2036</v>
      </c>
      <c r="B2093" t="s">
        <v>40</v>
      </c>
      <c r="C2093" t="s">
        <v>1975</v>
      </c>
      <c r="D2093" t="s">
        <v>42</v>
      </c>
      <c r="E2093" t="s">
        <v>43</v>
      </c>
      <c r="F2093" t="s">
        <v>44</v>
      </c>
      <c r="G2093" t="s">
        <v>45</v>
      </c>
      <c r="AH2093" t="s">
        <v>42</v>
      </c>
      <c r="AI2093" t="str">
        <f>"66298858528388"</f>
        <v>66298858528388</v>
      </c>
      <c r="AJ2093" t="str">
        <f>"K020-NEGRO"</f>
        <v>K020-NEGRO</v>
      </c>
      <c r="AK2093" t="s">
        <v>46</v>
      </c>
      <c r="AL2093" s="1">
        <v>44816.553067129629</v>
      </c>
      <c r="AM2093" t="s">
        <v>44</v>
      </c>
    </row>
    <row r="2094" spans="1:39" x14ac:dyDescent="0.2">
      <c r="A2094" t="s">
        <v>2036</v>
      </c>
      <c r="B2094" t="s">
        <v>40</v>
      </c>
      <c r="C2094" t="s">
        <v>1975</v>
      </c>
      <c r="D2094" t="s">
        <v>42</v>
      </c>
      <c r="E2094" t="s">
        <v>43</v>
      </c>
      <c r="F2094" t="s">
        <v>44</v>
      </c>
      <c r="G2094" t="s">
        <v>45</v>
      </c>
      <c r="AH2094" t="s">
        <v>42</v>
      </c>
      <c r="AI2094" t="str">
        <f>"1515"</f>
        <v>1515</v>
      </c>
      <c r="AJ2094" t="str">
        <f>"1515"</f>
        <v>1515</v>
      </c>
      <c r="AK2094" t="s">
        <v>46</v>
      </c>
      <c r="AL2094" s="1">
        <v>45092.834016203706</v>
      </c>
      <c r="AM2094" t="s">
        <v>44</v>
      </c>
    </row>
    <row r="2095" spans="1:39" x14ac:dyDescent="0.2">
      <c r="A2095" t="s">
        <v>2036</v>
      </c>
      <c r="B2095" t="s">
        <v>40</v>
      </c>
      <c r="C2095" t="s">
        <v>1975</v>
      </c>
      <c r="D2095" t="s">
        <v>42</v>
      </c>
      <c r="E2095" t="s">
        <v>43</v>
      </c>
      <c r="F2095" t="s">
        <v>44</v>
      </c>
      <c r="G2095" t="s">
        <v>45</v>
      </c>
      <c r="H2095" t="s">
        <v>1114</v>
      </c>
      <c r="AH2095" t="s">
        <v>42</v>
      </c>
      <c r="AI2095" t="str">
        <f>"K015-AZUL"</f>
        <v>K015-AZUL</v>
      </c>
      <c r="AJ2095" t="str">
        <f>"K015-AZUL"</f>
        <v>K015-AZUL</v>
      </c>
      <c r="AK2095" t="s">
        <v>46</v>
      </c>
      <c r="AL2095" s="1">
        <v>44816.553067129629</v>
      </c>
      <c r="AM2095" t="s">
        <v>44</v>
      </c>
    </row>
    <row r="2096" spans="1:39" x14ac:dyDescent="0.2">
      <c r="A2096" t="s">
        <v>2036</v>
      </c>
      <c r="B2096" t="s">
        <v>40</v>
      </c>
      <c r="C2096" t="s">
        <v>1975</v>
      </c>
      <c r="D2096" t="s">
        <v>42</v>
      </c>
      <c r="E2096" t="s">
        <v>43</v>
      </c>
      <c r="F2096" t="s">
        <v>44</v>
      </c>
      <c r="G2096" t="s">
        <v>45</v>
      </c>
      <c r="H2096" t="s">
        <v>2037</v>
      </c>
      <c r="AH2096" t="s">
        <v>42</v>
      </c>
      <c r="AI2096" t="str">
        <f>"K015-NEGRO"</f>
        <v>K015-NEGRO</v>
      </c>
      <c r="AJ2096" t="str">
        <f>"K015-NEGRO"</f>
        <v>K015-NEGRO</v>
      </c>
      <c r="AK2096" t="s">
        <v>46</v>
      </c>
      <c r="AL2096" s="1">
        <v>45071.606516203705</v>
      </c>
      <c r="AM2096" t="s">
        <v>44</v>
      </c>
    </row>
    <row r="2097" spans="1:39" x14ac:dyDescent="0.2">
      <c r="A2097" t="s">
        <v>2038</v>
      </c>
      <c r="B2097" t="s">
        <v>40</v>
      </c>
      <c r="C2097" t="s">
        <v>1975</v>
      </c>
      <c r="D2097" t="s">
        <v>42</v>
      </c>
      <c r="E2097" t="s">
        <v>43</v>
      </c>
      <c r="F2097" t="s">
        <v>44</v>
      </c>
      <c r="G2097" t="s">
        <v>45</v>
      </c>
      <c r="AH2097" t="s">
        <v>42</v>
      </c>
      <c r="AI2097" t="str">
        <f>"66298858791085"</f>
        <v>66298858791085</v>
      </c>
      <c r="AJ2097" t="str">
        <f>"0011E-AZUL"</f>
        <v>0011E-AZUL</v>
      </c>
      <c r="AK2097" t="s">
        <v>46</v>
      </c>
      <c r="AL2097" s="1">
        <v>44816.553090277775</v>
      </c>
      <c r="AM2097" t="s">
        <v>44</v>
      </c>
    </row>
    <row r="2098" spans="1:39" x14ac:dyDescent="0.2">
      <c r="A2098" t="s">
        <v>2038</v>
      </c>
      <c r="B2098" t="s">
        <v>40</v>
      </c>
      <c r="C2098" t="s">
        <v>1975</v>
      </c>
      <c r="D2098" t="s">
        <v>42</v>
      </c>
      <c r="E2098" t="s">
        <v>43</v>
      </c>
      <c r="F2098" t="s">
        <v>44</v>
      </c>
      <c r="G2098" t="s">
        <v>45</v>
      </c>
      <c r="AH2098" t="s">
        <v>42</v>
      </c>
      <c r="AI2098" t="str">
        <f>"66298858796504"</f>
        <v>66298858796504</v>
      </c>
      <c r="AJ2098" t="str">
        <f>"K032-AZUL"</f>
        <v>K032-AZUL</v>
      </c>
      <c r="AK2098" t="s">
        <v>46</v>
      </c>
      <c r="AL2098" s="1">
        <v>44816.553090277775</v>
      </c>
      <c r="AM2098" t="s">
        <v>44</v>
      </c>
    </row>
    <row r="2099" spans="1:39" x14ac:dyDescent="0.2">
      <c r="A2099" t="s">
        <v>2038</v>
      </c>
      <c r="B2099" t="s">
        <v>40</v>
      </c>
      <c r="C2099" t="s">
        <v>1975</v>
      </c>
      <c r="D2099" t="s">
        <v>42</v>
      </c>
      <c r="E2099" t="s">
        <v>43</v>
      </c>
      <c r="F2099" t="s">
        <v>44</v>
      </c>
      <c r="G2099" t="s">
        <v>45</v>
      </c>
      <c r="AH2099" t="s">
        <v>42</v>
      </c>
      <c r="AI2099" t="str">
        <f>"66298858849888"</f>
        <v>66298858849888</v>
      </c>
      <c r="AJ2099" t="str">
        <f>"K054-AZUL"</f>
        <v>K054-AZUL</v>
      </c>
      <c r="AK2099" t="s">
        <v>46</v>
      </c>
      <c r="AL2099" s="1">
        <v>44816.553101851852</v>
      </c>
      <c r="AM2099" t="s">
        <v>44</v>
      </c>
    </row>
    <row r="2100" spans="1:39" x14ac:dyDescent="0.2">
      <c r="A2100" t="s">
        <v>2039</v>
      </c>
      <c r="B2100" t="s">
        <v>40</v>
      </c>
      <c r="C2100" t="s">
        <v>1975</v>
      </c>
      <c r="D2100" t="s">
        <v>42</v>
      </c>
      <c r="E2100" t="s">
        <v>43</v>
      </c>
      <c r="F2100" t="s">
        <v>44</v>
      </c>
      <c r="G2100" t="s">
        <v>45</v>
      </c>
      <c r="AH2100" t="s">
        <v>42</v>
      </c>
      <c r="AI2100" t="str">
        <f>"66298858899267"</f>
        <v>66298858899267</v>
      </c>
      <c r="AJ2100" t="str">
        <f>"0011E-CROMADO"</f>
        <v>0011E-CROMADO</v>
      </c>
      <c r="AK2100" t="s">
        <v>46</v>
      </c>
      <c r="AL2100" s="1">
        <v>44816.553101851852</v>
      </c>
      <c r="AM2100" t="s">
        <v>44</v>
      </c>
    </row>
    <row r="2101" spans="1:39" x14ac:dyDescent="0.2">
      <c r="A2101" t="s">
        <v>2040</v>
      </c>
      <c r="B2101" t="s">
        <v>40</v>
      </c>
      <c r="C2101" t="s">
        <v>1975</v>
      </c>
      <c r="D2101" t="s">
        <v>42</v>
      </c>
      <c r="E2101" t="s">
        <v>43</v>
      </c>
      <c r="F2101" t="s">
        <v>44</v>
      </c>
      <c r="G2101" t="s">
        <v>45</v>
      </c>
      <c r="AH2101" t="s">
        <v>42</v>
      </c>
      <c r="AI2101" t="str">
        <f>"66298858959747"</f>
        <v>66298858959747</v>
      </c>
      <c r="AJ2101" t="str">
        <f>"K054-DORADO"</f>
        <v>K054-DORADO</v>
      </c>
      <c r="AK2101" t="s">
        <v>46</v>
      </c>
      <c r="AL2101" s="1">
        <v>44816.553113425929</v>
      </c>
      <c r="AM2101" t="s">
        <v>44</v>
      </c>
    </row>
    <row r="2102" spans="1:39" x14ac:dyDescent="0.2">
      <c r="A2102" t="s">
        <v>2041</v>
      </c>
      <c r="B2102" t="s">
        <v>40</v>
      </c>
      <c r="C2102" t="s">
        <v>1975</v>
      </c>
      <c r="D2102" t="s">
        <v>42</v>
      </c>
      <c r="E2102" t="s">
        <v>43</v>
      </c>
      <c r="F2102" t="s">
        <v>44</v>
      </c>
      <c r="G2102" t="s">
        <v>45</v>
      </c>
      <c r="AH2102" t="s">
        <v>42</v>
      </c>
      <c r="AI2102" t="str">
        <f>"66298859023202"</f>
        <v>66298859023202</v>
      </c>
      <c r="AJ2102" t="str">
        <f>"0011E-NEGRO"</f>
        <v>0011E-NEGRO</v>
      </c>
      <c r="AK2102" t="s">
        <v>46</v>
      </c>
      <c r="AL2102" s="1">
        <v>44816.553124999999</v>
      </c>
      <c r="AM2102" t="s">
        <v>44</v>
      </c>
    </row>
    <row r="2103" spans="1:39" x14ac:dyDescent="0.2">
      <c r="A2103" t="s">
        <v>2042</v>
      </c>
      <c r="B2103" t="s">
        <v>40</v>
      </c>
      <c r="C2103" t="s">
        <v>1975</v>
      </c>
      <c r="D2103" t="s">
        <v>42</v>
      </c>
      <c r="E2103" t="s">
        <v>43</v>
      </c>
      <c r="F2103" t="s">
        <v>44</v>
      </c>
      <c r="G2103" t="s">
        <v>45</v>
      </c>
      <c r="AH2103" t="s">
        <v>42</v>
      </c>
      <c r="AI2103" t="str">
        <f>"66298859074963"</f>
        <v>66298859074963</v>
      </c>
      <c r="AJ2103" t="str">
        <f>"0011E-ROJO"</f>
        <v>0011E-ROJO</v>
      </c>
      <c r="AK2103" t="s">
        <v>46</v>
      </c>
      <c r="AL2103" s="1">
        <v>44816.553124999999</v>
      </c>
      <c r="AM2103" t="s">
        <v>44</v>
      </c>
    </row>
    <row r="2104" spans="1:39" x14ac:dyDescent="0.2">
      <c r="A2104" t="s">
        <v>2042</v>
      </c>
      <c r="B2104" t="s">
        <v>40</v>
      </c>
      <c r="C2104" t="s">
        <v>1975</v>
      </c>
      <c r="D2104" t="s">
        <v>42</v>
      </c>
      <c r="E2104" t="s">
        <v>43</v>
      </c>
      <c r="F2104" t="s">
        <v>44</v>
      </c>
      <c r="G2104" t="s">
        <v>45</v>
      </c>
      <c r="AH2104" t="s">
        <v>42</v>
      </c>
      <c r="AI2104" t="str">
        <f>"66298859083204"</f>
        <v>66298859083204</v>
      </c>
      <c r="AJ2104" t="str">
        <f>"K032-ROJO"</f>
        <v>K032-ROJO</v>
      </c>
      <c r="AK2104" t="s">
        <v>46</v>
      </c>
      <c r="AL2104" s="1">
        <v>44816.553124999999</v>
      </c>
      <c r="AM2104" t="s">
        <v>44</v>
      </c>
    </row>
    <row r="2105" spans="1:39" x14ac:dyDescent="0.2">
      <c r="A2105" t="s">
        <v>2043</v>
      </c>
      <c r="B2105" t="s">
        <v>40</v>
      </c>
      <c r="C2105" t="s">
        <v>1975</v>
      </c>
      <c r="D2105" t="s">
        <v>42</v>
      </c>
      <c r="E2105" t="s">
        <v>43</v>
      </c>
      <c r="F2105" t="s">
        <v>44</v>
      </c>
      <c r="G2105" t="s">
        <v>45</v>
      </c>
      <c r="AH2105" t="s">
        <v>42</v>
      </c>
      <c r="AI2105" t="str">
        <f>"66298858683354"</f>
        <v>66298858683354</v>
      </c>
      <c r="AJ2105" t="str">
        <f>"K048"</f>
        <v>K048</v>
      </c>
      <c r="AK2105" t="s">
        <v>46</v>
      </c>
      <c r="AL2105" s="1">
        <v>44816.553078703706</v>
      </c>
      <c r="AM2105" t="s">
        <v>44</v>
      </c>
    </row>
    <row r="2106" spans="1:39" x14ac:dyDescent="0.2">
      <c r="A2106" t="s">
        <v>2043</v>
      </c>
      <c r="B2106" t="s">
        <v>40</v>
      </c>
      <c r="C2106" t="s">
        <v>1975</v>
      </c>
      <c r="D2106" t="s">
        <v>42</v>
      </c>
      <c r="E2106" t="s">
        <v>43</v>
      </c>
      <c r="F2106" t="s">
        <v>44</v>
      </c>
      <c r="G2106" t="s">
        <v>45</v>
      </c>
      <c r="AH2106" t="s">
        <v>42</v>
      </c>
      <c r="AI2106" t="str">
        <f>"66298858690804"</f>
        <v>66298858690804</v>
      </c>
      <c r="AJ2106" t="str">
        <f>"KA035"</f>
        <v>KA035</v>
      </c>
      <c r="AK2106" t="s">
        <v>46</v>
      </c>
      <c r="AL2106" s="1">
        <v>44816.553078703706</v>
      </c>
      <c r="AM2106" t="s">
        <v>44</v>
      </c>
    </row>
    <row r="2107" spans="1:39" x14ac:dyDescent="0.2">
      <c r="A2107" t="s">
        <v>2043</v>
      </c>
      <c r="B2107" t="s">
        <v>40</v>
      </c>
      <c r="C2107" t="s">
        <v>1975</v>
      </c>
      <c r="D2107" t="s">
        <v>42</v>
      </c>
      <c r="E2107" t="s">
        <v>43</v>
      </c>
      <c r="F2107" t="s">
        <v>44</v>
      </c>
      <c r="G2107" t="s">
        <v>45</v>
      </c>
      <c r="AH2107" t="s">
        <v>42</v>
      </c>
      <c r="AI2107" t="str">
        <f>"66298858697414"</f>
        <v>66298858697414</v>
      </c>
      <c r="AJ2107" t="str">
        <f>"K066"</f>
        <v>K066</v>
      </c>
      <c r="AK2107" t="s">
        <v>46</v>
      </c>
      <c r="AL2107" s="1">
        <v>44816.553078703706</v>
      </c>
      <c r="AM2107" t="s">
        <v>44</v>
      </c>
    </row>
    <row r="2108" spans="1:39" x14ac:dyDescent="0.2">
      <c r="A2108" t="s">
        <v>2043</v>
      </c>
      <c r="B2108" t="s">
        <v>40</v>
      </c>
      <c r="C2108" t="s">
        <v>1975</v>
      </c>
      <c r="D2108" t="s">
        <v>42</v>
      </c>
      <c r="E2108" t="s">
        <v>43</v>
      </c>
      <c r="F2108" t="s">
        <v>44</v>
      </c>
      <c r="G2108" t="s">
        <v>45</v>
      </c>
      <c r="AH2108" t="s">
        <v>42</v>
      </c>
      <c r="AI2108" t="str">
        <f>"66298858703158"</f>
        <v>66298858703158</v>
      </c>
      <c r="AJ2108" t="str">
        <f>"KA057"</f>
        <v>KA057</v>
      </c>
      <c r="AK2108" t="s">
        <v>46</v>
      </c>
      <c r="AL2108" s="1">
        <v>44816.553090277775</v>
      </c>
      <c r="AM2108" t="s">
        <v>44</v>
      </c>
    </row>
    <row r="2109" spans="1:39" x14ac:dyDescent="0.2">
      <c r="A2109" t="s">
        <v>2044</v>
      </c>
      <c r="B2109" t="s">
        <v>40</v>
      </c>
      <c r="C2109" t="s">
        <v>1975</v>
      </c>
      <c r="D2109" t="s">
        <v>42</v>
      </c>
      <c r="E2109" t="s">
        <v>43</v>
      </c>
      <c r="F2109" t="s">
        <v>44</v>
      </c>
      <c r="G2109" t="s">
        <v>45</v>
      </c>
      <c r="AH2109" t="s">
        <v>42</v>
      </c>
      <c r="AI2109" t="str">
        <f>"66298880865721"</f>
        <v>66298880865721</v>
      </c>
      <c r="AJ2109" t="str">
        <f>"KA053"</f>
        <v>KA053</v>
      </c>
      <c r="AK2109" t="s">
        <v>46</v>
      </c>
      <c r="AL2109" s="1">
        <v>44816.555648148147</v>
      </c>
      <c r="AM2109" t="s">
        <v>44</v>
      </c>
    </row>
    <row r="2110" spans="1:39" x14ac:dyDescent="0.2">
      <c r="A2110" t="s">
        <v>2045</v>
      </c>
      <c r="B2110" t="s">
        <v>40</v>
      </c>
      <c r="C2110" t="s">
        <v>1975</v>
      </c>
      <c r="D2110" t="s">
        <v>42</v>
      </c>
      <c r="E2110" t="s">
        <v>43</v>
      </c>
      <c r="F2110" t="s">
        <v>44</v>
      </c>
      <c r="G2110" t="s">
        <v>45</v>
      </c>
      <c r="AH2110" t="s">
        <v>42</v>
      </c>
      <c r="AI2110" t="str">
        <f>"66298880908070"</f>
        <v>66298880908070</v>
      </c>
      <c r="AJ2110" t="str">
        <f>"124013"</f>
        <v>124013</v>
      </c>
      <c r="AK2110" t="s">
        <v>46</v>
      </c>
      <c r="AL2110" s="1">
        <v>44816.555659722224</v>
      </c>
      <c r="AM2110" t="s">
        <v>44</v>
      </c>
    </row>
    <row r="2111" spans="1:39" x14ac:dyDescent="0.2">
      <c r="A2111" t="s">
        <v>2046</v>
      </c>
      <c r="B2111" t="s">
        <v>40</v>
      </c>
      <c r="C2111" t="s">
        <v>50</v>
      </c>
      <c r="D2111" t="s">
        <v>42</v>
      </c>
      <c r="E2111" t="s">
        <v>43</v>
      </c>
      <c r="F2111" t="s">
        <v>44</v>
      </c>
      <c r="G2111" t="s">
        <v>45</v>
      </c>
      <c r="H2111" t="s">
        <v>1114</v>
      </c>
      <c r="AH2111" t="s">
        <v>42</v>
      </c>
      <c r="AI2111" t="str">
        <f>"4746-AZUL"</f>
        <v>4746-AZUL</v>
      </c>
      <c r="AJ2111" t="str">
        <f>"4746-AZUL"</f>
        <v>4746-AZUL</v>
      </c>
      <c r="AK2111" t="s">
        <v>46</v>
      </c>
      <c r="AL2111" s="1">
        <v>45070.889652777776</v>
      </c>
      <c r="AM2111" t="s">
        <v>44</v>
      </c>
    </row>
    <row r="2112" spans="1:39" x14ac:dyDescent="0.2">
      <c r="A2112" t="s">
        <v>2046</v>
      </c>
      <c r="B2112" t="s">
        <v>40</v>
      </c>
      <c r="C2112" t="s">
        <v>50</v>
      </c>
      <c r="D2112" t="s">
        <v>42</v>
      </c>
      <c r="E2112" t="s">
        <v>43</v>
      </c>
      <c r="F2112" t="s">
        <v>44</v>
      </c>
      <c r="G2112" t="s">
        <v>45</v>
      </c>
      <c r="H2112" t="s">
        <v>1123</v>
      </c>
      <c r="AH2112" t="s">
        <v>42</v>
      </c>
      <c r="AI2112" t="str">
        <f>"4746-ROJO"</f>
        <v>4746-ROJO</v>
      </c>
      <c r="AJ2112" t="str">
        <f>"4746-ROJO"</f>
        <v>4746-ROJO</v>
      </c>
      <c r="AK2112" t="s">
        <v>46</v>
      </c>
      <c r="AL2112" s="1">
        <v>45070.889432870368</v>
      </c>
      <c r="AM2112" t="s">
        <v>44</v>
      </c>
    </row>
    <row r="2113" spans="1:39" x14ac:dyDescent="0.2">
      <c r="A2113" t="s">
        <v>2046</v>
      </c>
      <c r="B2113" t="s">
        <v>40</v>
      </c>
      <c r="C2113" t="s">
        <v>50</v>
      </c>
      <c r="D2113" t="s">
        <v>42</v>
      </c>
      <c r="E2113" t="s">
        <v>43</v>
      </c>
      <c r="F2113" t="s">
        <v>44</v>
      </c>
      <c r="G2113" t="s">
        <v>45</v>
      </c>
      <c r="H2113" t="s">
        <v>1112</v>
      </c>
      <c r="AH2113" t="s">
        <v>42</v>
      </c>
      <c r="AI2113" t="str">
        <f>"4746-VERDE"</f>
        <v>4746-VERDE</v>
      </c>
      <c r="AJ2113" t="str">
        <f>"4746-VERDE"</f>
        <v>4746-VERDE</v>
      </c>
      <c r="AK2113" t="s">
        <v>46</v>
      </c>
      <c r="AL2113" s="1">
        <v>45070.890162037038</v>
      </c>
      <c r="AM2113" t="s">
        <v>44</v>
      </c>
    </row>
    <row r="2114" spans="1:39" x14ac:dyDescent="0.2">
      <c r="A2114" t="s">
        <v>2047</v>
      </c>
      <c r="B2114" t="s">
        <v>40</v>
      </c>
      <c r="C2114" t="s">
        <v>2048</v>
      </c>
      <c r="D2114" t="s">
        <v>42</v>
      </c>
      <c r="E2114" t="s">
        <v>43</v>
      </c>
      <c r="F2114" t="s">
        <v>44</v>
      </c>
      <c r="G2114" t="s">
        <v>45</v>
      </c>
      <c r="AH2114" t="s">
        <v>42</v>
      </c>
      <c r="AI2114" t="str">
        <f>"66298880952409"</f>
        <v>66298880952409</v>
      </c>
      <c r="AJ2114" t="str">
        <f>"44011H2C020HF01"</f>
        <v>44011H2C020HF01</v>
      </c>
      <c r="AK2114" t="s">
        <v>46</v>
      </c>
      <c r="AL2114" s="1">
        <v>44816.555659722224</v>
      </c>
      <c r="AM2114" t="s">
        <v>44</v>
      </c>
    </row>
    <row r="2115" spans="1:39" x14ac:dyDescent="0.2">
      <c r="A2115" t="s">
        <v>2049</v>
      </c>
      <c r="B2115" t="s">
        <v>40</v>
      </c>
      <c r="C2115" t="s">
        <v>2048</v>
      </c>
      <c r="D2115" t="s">
        <v>42</v>
      </c>
      <c r="E2115" t="s">
        <v>43</v>
      </c>
      <c r="F2115" t="s">
        <v>44</v>
      </c>
      <c r="G2115" t="s">
        <v>45</v>
      </c>
      <c r="H2115" t="s">
        <v>1123</v>
      </c>
      <c r="AH2115" t="s">
        <v>42</v>
      </c>
      <c r="AI2115" t="str">
        <f>"A210-ROJO"</f>
        <v>A210-ROJO</v>
      </c>
      <c r="AJ2115" t="str">
        <f>"A210-ROJO"</f>
        <v>A210-ROJO</v>
      </c>
      <c r="AK2115" t="s">
        <v>46</v>
      </c>
      <c r="AL2115" s="1">
        <v>45112.910578703704</v>
      </c>
      <c r="AM2115" t="s">
        <v>44</v>
      </c>
    </row>
    <row r="2116" spans="1:39" x14ac:dyDescent="0.2">
      <c r="A2116" t="s">
        <v>2050</v>
      </c>
      <c r="B2116" t="s">
        <v>40</v>
      </c>
      <c r="C2116" t="s">
        <v>2051</v>
      </c>
      <c r="D2116" t="s">
        <v>42</v>
      </c>
      <c r="E2116" t="s">
        <v>43</v>
      </c>
      <c r="F2116" t="s">
        <v>44</v>
      </c>
      <c r="G2116" t="s">
        <v>45</v>
      </c>
      <c r="AH2116" t="s">
        <v>42</v>
      </c>
      <c r="AI2116" t="str">
        <f>"TS35"</f>
        <v>TS35</v>
      </c>
      <c r="AJ2116" t="str">
        <f>"TS35"</f>
        <v>TS35</v>
      </c>
      <c r="AK2116" t="s">
        <v>46</v>
      </c>
      <c r="AL2116" s="1">
        <v>45000.552465277775</v>
      </c>
      <c r="AM2116" t="s">
        <v>44</v>
      </c>
    </row>
    <row r="2117" spans="1:39" x14ac:dyDescent="0.2">
      <c r="A2117" t="s">
        <v>2052</v>
      </c>
      <c r="B2117" t="s">
        <v>40</v>
      </c>
      <c r="C2117" t="s">
        <v>2051</v>
      </c>
      <c r="D2117" t="s">
        <v>42</v>
      </c>
      <c r="E2117" t="s">
        <v>43</v>
      </c>
      <c r="F2117" t="s">
        <v>44</v>
      </c>
      <c r="G2117" t="s">
        <v>45</v>
      </c>
      <c r="AH2117" t="s">
        <v>42</v>
      </c>
      <c r="AI2117" t="str">
        <f>"FB011"</f>
        <v>FB011</v>
      </c>
      <c r="AJ2117" t="str">
        <f>"FB011"</f>
        <v>FB011</v>
      </c>
      <c r="AK2117" t="s">
        <v>46</v>
      </c>
      <c r="AL2117" s="1">
        <v>44858.695370370369</v>
      </c>
      <c r="AM2117" t="s">
        <v>44</v>
      </c>
    </row>
    <row r="2118" spans="1:39" x14ac:dyDescent="0.2">
      <c r="A2118" t="s">
        <v>2053</v>
      </c>
      <c r="B2118" t="s">
        <v>40</v>
      </c>
      <c r="C2118" t="s">
        <v>2051</v>
      </c>
      <c r="D2118" t="s">
        <v>42</v>
      </c>
      <c r="E2118" t="s">
        <v>43</v>
      </c>
      <c r="F2118" t="s">
        <v>44</v>
      </c>
      <c r="G2118" t="s">
        <v>45</v>
      </c>
      <c r="AH2118" t="s">
        <v>42</v>
      </c>
      <c r="AI2118" t="str">
        <f>"384"</f>
        <v>384</v>
      </c>
      <c r="AJ2118" t="str">
        <f>"384"</f>
        <v>384</v>
      </c>
      <c r="AK2118" t="s">
        <v>46</v>
      </c>
      <c r="AL2118" s="1">
        <v>44967.577152777776</v>
      </c>
      <c r="AM2118" t="s">
        <v>44</v>
      </c>
    </row>
    <row r="2119" spans="1:39" x14ac:dyDescent="0.2">
      <c r="A2119" t="s">
        <v>2054</v>
      </c>
      <c r="B2119" t="s">
        <v>40</v>
      </c>
      <c r="C2119" t="s">
        <v>2051</v>
      </c>
      <c r="D2119" t="s">
        <v>42</v>
      </c>
      <c r="E2119" t="s">
        <v>43</v>
      </c>
      <c r="F2119" t="s">
        <v>44</v>
      </c>
      <c r="G2119" t="s">
        <v>45</v>
      </c>
      <c r="AH2119" t="s">
        <v>42</v>
      </c>
      <c r="AI2119" t="str">
        <f>"66298880992931"</f>
        <v>66298880992931</v>
      </c>
      <c r="AJ2119" t="str">
        <f>"400704"</f>
        <v>400704</v>
      </c>
      <c r="AK2119" t="s">
        <v>46</v>
      </c>
      <c r="AL2119" s="1">
        <v>44816.555659722224</v>
      </c>
      <c r="AM2119" t="s">
        <v>44</v>
      </c>
    </row>
    <row r="2120" spans="1:39" x14ac:dyDescent="0.2">
      <c r="A2120" t="s">
        <v>2055</v>
      </c>
      <c r="B2120" t="s">
        <v>40</v>
      </c>
      <c r="C2120" t="s">
        <v>2051</v>
      </c>
      <c r="D2120" t="s">
        <v>42</v>
      </c>
      <c r="E2120" t="s">
        <v>43</v>
      </c>
      <c r="F2120" t="s">
        <v>44</v>
      </c>
      <c r="G2120" t="s">
        <v>45</v>
      </c>
      <c r="AH2120" t="s">
        <v>42</v>
      </c>
      <c r="AI2120" t="str">
        <f>"66298881033171"</f>
        <v>66298881033171</v>
      </c>
      <c r="AJ2120" t="str">
        <f>"31120-K51-601GH"</f>
        <v>31120-K51-601GH</v>
      </c>
      <c r="AK2120" t="s">
        <v>46</v>
      </c>
      <c r="AL2120" s="1">
        <v>44816.555671296293</v>
      </c>
      <c r="AM2120" t="s">
        <v>44</v>
      </c>
    </row>
    <row r="2121" spans="1:39" x14ac:dyDescent="0.2">
      <c r="A2121" t="s">
        <v>2056</v>
      </c>
      <c r="B2121" t="s">
        <v>40</v>
      </c>
      <c r="C2121" t="s">
        <v>2051</v>
      </c>
      <c r="D2121" t="s">
        <v>42</v>
      </c>
      <c r="E2121" t="s">
        <v>43</v>
      </c>
      <c r="F2121" t="s">
        <v>44</v>
      </c>
      <c r="G2121" t="s">
        <v>45</v>
      </c>
      <c r="AH2121" t="s">
        <v>42</v>
      </c>
      <c r="AI2121" t="str">
        <f>"66298881147441"</f>
        <v>66298881147441</v>
      </c>
      <c r="AJ2121" t="str">
        <f>"31120-KTE-911HB"</f>
        <v>31120-KTE-911HB</v>
      </c>
      <c r="AK2121" t="s">
        <v>46</v>
      </c>
      <c r="AL2121" s="1">
        <v>44816.55568287037</v>
      </c>
      <c r="AM2121" t="s">
        <v>44</v>
      </c>
    </row>
    <row r="2122" spans="1:39" x14ac:dyDescent="0.2">
      <c r="A2122" t="s">
        <v>2057</v>
      </c>
      <c r="B2122" t="s">
        <v>40</v>
      </c>
      <c r="C2122" t="s">
        <v>2051</v>
      </c>
      <c r="D2122" t="s">
        <v>42</v>
      </c>
      <c r="E2122" t="s">
        <v>43</v>
      </c>
      <c r="F2122" t="s">
        <v>44</v>
      </c>
      <c r="G2122" t="s">
        <v>45</v>
      </c>
      <c r="AH2122" t="s">
        <v>42</v>
      </c>
      <c r="AI2122" t="str">
        <f>"66298881201528"</f>
        <v>66298881201528</v>
      </c>
      <c r="AJ2122" t="str">
        <f>"31120-KSP-900HB"</f>
        <v>31120-KSP-900HB</v>
      </c>
      <c r="AK2122" t="s">
        <v>46</v>
      </c>
      <c r="AL2122" s="1">
        <v>44816.555694444447</v>
      </c>
      <c r="AM2122" t="s">
        <v>44</v>
      </c>
    </row>
    <row r="2123" spans="1:39" x14ac:dyDescent="0.2">
      <c r="A2123" t="s">
        <v>2058</v>
      </c>
      <c r="B2123" t="s">
        <v>40</v>
      </c>
      <c r="C2123" t="s">
        <v>2051</v>
      </c>
      <c r="D2123" t="s">
        <v>42</v>
      </c>
      <c r="E2123" t="s">
        <v>43</v>
      </c>
      <c r="F2123" t="s">
        <v>44</v>
      </c>
      <c r="G2123" t="s">
        <v>45</v>
      </c>
      <c r="AH2123" t="s">
        <v>42</v>
      </c>
      <c r="AI2123" t="str">
        <f>"66298881238898"</f>
        <v>66298881238898</v>
      </c>
      <c r="AJ2123" t="str">
        <f>"400708"</f>
        <v>400708</v>
      </c>
      <c r="AK2123" t="s">
        <v>46</v>
      </c>
      <c r="AL2123" s="1">
        <v>44816.555694444447</v>
      </c>
      <c r="AM2123" t="s">
        <v>44</v>
      </c>
    </row>
    <row r="2124" spans="1:39" x14ac:dyDescent="0.2">
      <c r="A2124" t="s">
        <v>2059</v>
      </c>
      <c r="B2124" t="s">
        <v>40</v>
      </c>
      <c r="C2124" t="s">
        <v>2051</v>
      </c>
      <c r="D2124" t="s">
        <v>42</v>
      </c>
      <c r="E2124" t="s">
        <v>43</v>
      </c>
      <c r="F2124" t="s">
        <v>44</v>
      </c>
      <c r="G2124" t="s">
        <v>45</v>
      </c>
      <c r="AH2124" t="s">
        <v>42</v>
      </c>
      <c r="AI2124" t="str">
        <f>"66298881322052"</f>
        <v>66298881322052</v>
      </c>
      <c r="AJ2124" t="str">
        <f>"400023"</f>
        <v>400023</v>
      </c>
      <c r="AK2124" t="s">
        <v>46</v>
      </c>
      <c r="AL2124" s="1">
        <v>44816.555706018517</v>
      </c>
      <c r="AM2124" t="s">
        <v>44</v>
      </c>
    </row>
    <row r="2125" spans="1:39" x14ac:dyDescent="0.2">
      <c r="A2125" t="s">
        <v>2060</v>
      </c>
      <c r="B2125" t="s">
        <v>40</v>
      </c>
      <c r="C2125" t="s">
        <v>2051</v>
      </c>
      <c r="D2125" t="s">
        <v>42</v>
      </c>
      <c r="E2125" t="s">
        <v>43</v>
      </c>
      <c r="F2125" t="s">
        <v>44</v>
      </c>
      <c r="G2125" t="s">
        <v>45</v>
      </c>
      <c r="AH2125" t="s">
        <v>42</v>
      </c>
      <c r="AI2125" t="str">
        <f>"B085"</f>
        <v>B085</v>
      </c>
      <c r="AJ2125" t="str">
        <f>"B085"</f>
        <v>B085</v>
      </c>
      <c r="AK2125" t="s">
        <v>46</v>
      </c>
      <c r="AL2125" s="1">
        <v>44981.632592592592</v>
      </c>
      <c r="AM2125" t="s">
        <v>44</v>
      </c>
    </row>
    <row r="2126" spans="1:39" x14ac:dyDescent="0.2">
      <c r="A2126" t="s">
        <v>2060</v>
      </c>
      <c r="B2126" t="s">
        <v>40</v>
      </c>
      <c r="C2126" t="s">
        <v>2051</v>
      </c>
      <c r="D2126" t="s">
        <v>42</v>
      </c>
      <c r="E2126" t="s">
        <v>43</v>
      </c>
      <c r="F2126" t="s">
        <v>44</v>
      </c>
      <c r="G2126" t="s">
        <v>45</v>
      </c>
      <c r="AH2126" t="s">
        <v>42</v>
      </c>
      <c r="AI2126" t="str">
        <f>"FB013"</f>
        <v>FB013</v>
      </c>
      <c r="AJ2126" t="str">
        <f>"FB013"</f>
        <v>FB013</v>
      </c>
      <c r="AK2126" t="s">
        <v>46</v>
      </c>
      <c r="AL2126" s="1">
        <v>45092.739120370374</v>
      </c>
      <c r="AM2126" t="s">
        <v>44</v>
      </c>
    </row>
    <row r="2127" spans="1:39" x14ac:dyDescent="0.2">
      <c r="A2127" t="s">
        <v>2061</v>
      </c>
      <c r="B2127" t="s">
        <v>40</v>
      </c>
      <c r="C2127" t="s">
        <v>2051</v>
      </c>
      <c r="D2127" t="s">
        <v>42</v>
      </c>
      <c r="E2127" t="s">
        <v>43</v>
      </c>
      <c r="F2127" t="s">
        <v>44</v>
      </c>
      <c r="G2127" t="s">
        <v>45</v>
      </c>
      <c r="AH2127" t="s">
        <v>42</v>
      </c>
      <c r="AI2127" t="str">
        <f>"66298881278169"</f>
        <v>66298881278169</v>
      </c>
      <c r="AJ2127" t="str">
        <f>"400702"</f>
        <v>400702</v>
      </c>
      <c r="AK2127" t="s">
        <v>46</v>
      </c>
      <c r="AL2127" s="1">
        <v>44816.555694444447</v>
      </c>
      <c r="AM2127" t="s">
        <v>44</v>
      </c>
    </row>
    <row r="2128" spans="1:39" x14ac:dyDescent="0.2">
      <c r="A2128" t="s">
        <v>2062</v>
      </c>
      <c r="B2128" t="s">
        <v>40</v>
      </c>
      <c r="C2128" t="s">
        <v>2051</v>
      </c>
      <c r="D2128" t="s">
        <v>42</v>
      </c>
      <c r="E2128" t="s">
        <v>43</v>
      </c>
      <c r="F2128" t="s">
        <v>44</v>
      </c>
      <c r="G2128" t="s">
        <v>45</v>
      </c>
      <c r="AH2128" t="s">
        <v>42</v>
      </c>
      <c r="AI2128" t="str">
        <f>"FB019"</f>
        <v>FB019</v>
      </c>
      <c r="AJ2128" t="str">
        <f>"FB019"</f>
        <v>FB019</v>
      </c>
      <c r="AK2128" t="s">
        <v>46</v>
      </c>
      <c r="AL2128" s="1">
        <v>44978.705972222226</v>
      </c>
      <c r="AM2128" t="s">
        <v>44</v>
      </c>
    </row>
    <row r="2129" spans="1:39" x14ac:dyDescent="0.2">
      <c r="A2129" t="s">
        <v>2063</v>
      </c>
      <c r="B2129" t="s">
        <v>40</v>
      </c>
      <c r="C2129" t="s">
        <v>2051</v>
      </c>
      <c r="D2129" t="s">
        <v>42</v>
      </c>
      <c r="E2129" t="s">
        <v>43</v>
      </c>
      <c r="F2129" t="s">
        <v>44</v>
      </c>
      <c r="G2129" t="s">
        <v>45</v>
      </c>
      <c r="AH2129" t="s">
        <v>43</v>
      </c>
      <c r="AI2129" t="str">
        <f>"ESTAT-EX100"</f>
        <v>ESTAT-EX100</v>
      </c>
      <c r="AJ2129" t="str">
        <f>"ESTAT-EX100"</f>
        <v>ESTAT-EX100</v>
      </c>
      <c r="AK2129" t="s">
        <v>46</v>
      </c>
      <c r="AL2129" s="1">
        <v>44999.655115740738</v>
      </c>
      <c r="AM2129" t="s">
        <v>44</v>
      </c>
    </row>
    <row r="2130" spans="1:39" x14ac:dyDescent="0.2">
      <c r="A2130" t="s">
        <v>2064</v>
      </c>
      <c r="B2130" t="s">
        <v>40</v>
      </c>
      <c r="C2130" t="s">
        <v>2051</v>
      </c>
      <c r="D2130" t="s">
        <v>42</v>
      </c>
      <c r="E2130" t="s">
        <v>43</v>
      </c>
      <c r="F2130" t="s">
        <v>44</v>
      </c>
      <c r="G2130" t="s">
        <v>45</v>
      </c>
      <c r="AH2130" t="s">
        <v>42</v>
      </c>
      <c r="AI2130" t="str">
        <f>"66298881365586"</f>
        <v>66298881365586</v>
      </c>
      <c r="AJ2130" t="str">
        <f>"31120-KST-941HB"</f>
        <v>31120-KST-941HB</v>
      </c>
      <c r="AK2130" t="s">
        <v>46</v>
      </c>
      <c r="AL2130" s="1">
        <v>44816.555706018517</v>
      </c>
      <c r="AM2130" t="s">
        <v>44</v>
      </c>
    </row>
    <row r="2131" spans="1:39" x14ac:dyDescent="0.2">
      <c r="A2131" t="s">
        <v>2065</v>
      </c>
      <c r="B2131" t="s">
        <v>40</v>
      </c>
      <c r="C2131" t="s">
        <v>2051</v>
      </c>
      <c r="D2131" t="s">
        <v>42</v>
      </c>
      <c r="E2131" t="s">
        <v>43</v>
      </c>
      <c r="F2131" t="s">
        <v>44</v>
      </c>
      <c r="G2131" t="s">
        <v>45</v>
      </c>
      <c r="AH2131" t="s">
        <v>42</v>
      </c>
      <c r="AI2131" t="str">
        <f>"66298881406785"</f>
        <v>66298881406785</v>
      </c>
      <c r="AJ2131" t="str">
        <f>"31120-KVH-871HB"</f>
        <v>31120-KVH-871HB</v>
      </c>
      <c r="AK2131" t="s">
        <v>46</v>
      </c>
      <c r="AL2131" s="1">
        <v>44816.555717592593</v>
      </c>
      <c r="AM2131" t="s">
        <v>44</v>
      </c>
    </row>
    <row r="2132" spans="1:39" x14ac:dyDescent="0.2">
      <c r="A2132" t="s">
        <v>2066</v>
      </c>
      <c r="B2132" t="s">
        <v>40</v>
      </c>
      <c r="C2132" t="s">
        <v>2051</v>
      </c>
      <c r="D2132" t="s">
        <v>42</v>
      </c>
      <c r="E2132" t="s">
        <v>43</v>
      </c>
      <c r="F2132" t="s">
        <v>44</v>
      </c>
      <c r="G2132" t="s">
        <v>45</v>
      </c>
      <c r="AH2132" t="s">
        <v>42</v>
      </c>
      <c r="AI2132" t="str">
        <f>"66298881445246"</f>
        <v>66298881445246</v>
      </c>
      <c r="AJ2132" t="str">
        <f>"JP-3510-07HB"</f>
        <v>JP-3510-07HB</v>
      </c>
      <c r="AK2132" t="s">
        <v>46</v>
      </c>
      <c r="AL2132" s="1">
        <v>44816.555717592593</v>
      </c>
      <c r="AM2132" t="s">
        <v>44</v>
      </c>
    </row>
    <row r="2133" spans="1:39" x14ac:dyDescent="0.2">
      <c r="A2133" t="s">
        <v>2066</v>
      </c>
      <c r="B2133" t="s">
        <v>40</v>
      </c>
      <c r="C2133" t="s">
        <v>2051</v>
      </c>
      <c r="D2133" t="s">
        <v>42</v>
      </c>
      <c r="E2133" t="s">
        <v>43</v>
      </c>
      <c r="F2133" t="s">
        <v>44</v>
      </c>
      <c r="G2133" t="s">
        <v>45</v>
      </c>
      <c r="AH2133" t="s">
        <v>42</v>
      </c>
      <c r="AI2133" t="str">
        <f>"66298881489147"</f>
        <v>66298881489147</v>
      </c>
      <c r="AJ2133" t="str">
        <f>"FB002"</f>
        <v>FB002</v>
      </c>
      <c r="AK2133" t="s">
        <v>46</v>
      </c>
      <c r="AL2133" s="1">
        <v>44816.555717592593</v>
      </c>
      <c r="AM2133" t="s">
        <v>44</v>
      </c>
    </row>
    <row r="2134" spans="1:39" x14ac:dyDescent="0.2">
      <c r="A2134" t="s">
        <v>2067</v>
      </c>
      <c r="B2134" t="s">
        <v>40</v>
      </c>
      <c r="C2134" t="s">
        <v>2051</v>
      </c>
      <c r="D2134" t="s">
        <v>42</v>
      </c>
      <c r="E2134" t="s">
        <v>43</v>
      </c>
      <c r="F2134" t="s">
        <v>44</v>
      </c>
      <c r="G2134" t="s">
        <v>45</v>
      </c>
      <c r="AH2134" t="s">
        <v>42</v>
      </c>
      <c r="AI2134" t="str">
        <f>"66298881532529"</f>
        <v>66298881532529</v>
      </c>
      <c r="AJ2134" t="str">
        <f>"FB003"</f>
        <v>FB003</v>
      </c>
      <c r="AK2134" t="s">
        <v>46</v>
      </c>
      <c r="AL2134" s="1">
        <v>44816.55572916667</v>
      </c>
      <c r="AM2134" t="s">
        <v>44</v>
      </c>
    </row>
    <row r="2135" spans="1:39" x14ac:dyDescent="0.2">
      <c r="A2135" t="s">
        <v>2068</v>
      </c>
      <c r="B2135" t="s">
        <v>40</v>
      </c>
      <c r="C2135" t="s">
        <v>2051</v>
      </c>
      <c r="D2135" t="s">
        <v>42</v>
      </c>
      <c r="E2135" t="s">
        <v>43</v>
      </c>
      <c r="F2135" t="s">
        <v>44</v>
      </c>
      <c r="G2135" t="s">
        <v>45</v>
      </c>
      <c r="AH2135" t="s">
        <v>42</v>
      </c>
      <c r="AI2135" t="str">
        <f>"66298881573312"</f>
        <v>66298881573312</v>
      </c>
      <c r="AJ2135" t="str">
        <f>"400703"</f>
        <v>400703</v>
      </c>
      <c r="AK2135" t="s">
        <v>46</v>
      </c>
      <c r="AL2135" s="1">
        <v>44816.55572916667</v>
      </c>
      <c r="AM2135" t="s">
        <v>44</v>
      </c>
    </row>
    <row r="2136" spans="1:39" x14ac:dyDescent="0.2">
      <c r="A2136" t="s">
        <v>2069</v>
      </c>
      <c r="B2136" t="s">
        <v>40</v>
      </c>
      <c r="C2136" t="s">
        <v>2051</v>
      </c>
      <c r="D2136" t="s">
        <v>42</v>
      </c>
      <c r="E2136" t="s">
        <v>43</v>
      </c>
      <c r="F2136" t="s">
        <v>44</v>
      </c>
      <c r="G2136" t="s">
        <v>45</v>
      </c>
      <c r="AH2136" t="s">
        <v>42</v>
      </c>
      <c r="AI2136" t="str">
        <f>"FB012"</f>
        <v>FB012</v>
      </c>
      <c r="AJ2136" t="str">
        <f>"FB012"</f>
        <v>FB012</v>
      </c>
      <c r="AK2136" t="s">
        <v>46</v>
      </c>
      <c r="AL2136" s="1">
        <v>44949.874201388891</v>
      </c>
      <c r="AM2136" t="s">
        <v>44</v>
      </c>
    </row>
    <row r="2137" spans="1:39" x14ac:dyDescent="0.2">
      <c r="A2137" t="s">
        <v>2070</v>
      </c>
      <c r="B2137" t="s">
        <v>40</v>
      </c>
      <c r="C2137" t="s">
        <v>2051</v>
      </c>
      <c r="D2137" t="s">
        <v>42</v>
      </c>
      <c r="E2137" t="s">
        <v>43</v>
      </c>
      <c r="F2137" t="s">
        <v>44</v>
      </c>
      <c r="G2137" t="s">
        <v>45</v>
      </c>
      <c r="AH2137" t="s">
        <v>42</v>
      </c>
      <c r="AI2137" t="str">
        <f>"12598"</f>
        <v>12598</v>
      </c>
      <c r="AJ2137" t="str">
        <f>"12598"</f>
        <v>12598</v>
      </c>
      <c r="AK2137" t="s">
        <v>46</v>
      </c>
      <c r="AL2137" s="1">
        <v>45072.643576388888</v>
      </c>
      <c r="AM2137" t="s">
        <v>44</v>
      </c>
    </row>
    <row r="2138" spans="1:39" x14ac:dyDescent="0.2">
      <c r="A2138" t="s">
        <v>2071</v>
      </c>
      <c r="B2138" t="s">
        <v>40</v>
      </c>
      <c r="C2138" t="s">
        <v>2051</v>
      </c>
      <c r="D2138" t="s">
        <v>42</v>
      </c>
      <c r="E2138" t="s">
        <v>43</v>
      </c>
      <c r="F2138" t="s">
        <v>44</v>
      </c>
      <c r="G2138" t="s">
        <v>45</v>
      </c>
      <c r="AH2138" t="s">
        <v>42</v>
      </c>
      <c r="AI2138" t="str">
        <f>"66298881628745"</f>
        <v>66298881628745</v>
      </c>
      <c r="AJ2138" t="str">
        <f>"400705"</f>
        <v>400705</v>
      </c>
      <c r="AK2138" t="s">
        <v>46</v>
      </c>
      <c r="AL2138" s="1">
        <v>44816.55574074074</v>
      </c>
      <c r="AM2138" t="s">
        <v>44</v>
      </c>
    </row>
    <row r="2139" spans="1:39" x14ac:dyDescent="0.2">
      <c r="A2139" t="s">
        <v>2072</v>
      </c>
      <c r="B2139" t="s">
        <v>40</v>
      </c>
      <c r="C2139" t="s">
        <v>2051</v>
      </c>
      <c r="D2139" t="s">
        <v>42</v>
      </c>
      <c r="E2139" t="s">
        <v>43</v>
      </c>
      <c r="F2139" t="s">
        <v>44</v>
      </c>
      <c r="G2139" t="s">
        <v>45</v>
      </c>
      <c r="AH2139" t="s">
        <v>42</v>
      </c>
      <c r="AI2139" t="str">
        <f>"7821"</f>
        <v>7821</v>
      </c>
      <c r="AJ2139" t="str">
        <f>"7821"</f>
        <v>7821</v>
      </c>
      <c r="AK2139" t="s">
        <v>46</v>
      </c>
      <c r="AL2139" s="1">
        <v>45097.772534722222</v>
      </c>
      <c r="AM2139" t="s">
        <v>44</v>
      </c>
    </row>
    <row r="2140" spans="1:39" x14ac:dyDescent="0.2">
      <c r="A2140" t="s">
        <v>2073</v>
      </c>
      <c r="B2140" t="s">
        <v>40</v>
      </c>
      <c r="C2140" t="s">
        <v>2051</v>
      </c>
      <c r="D2140" t="s">
        <v>42</v>
      </c>
      <c r="E2140" t="s">
        <v>43</v>
      </c>
      <c r="F2140" t="s">
        <v>44</v>
      </c>
      <c r="G2140" t="s">
        <v>45</v>
      </c>
      <c r="AH2140" t="s">
        <v>42</v>
      </c>
      <c r="AI2140" t="str">
        <f>"66298881683654"</f>
        <v>66298881683654</v>
      </c>
      <c r="AJ2140" t="str">
        <f>"400710"</f>
        <v>400710</v>
      </c>
      <c r="AK2140" t="s">
        <v>46</v>
      </c>
      <c r="AL2140" s="1">
        <v>44816.55574074074</v>
      </c>
      <c r="AM2140" t="s">
        <v>44</v>
      </c>
    </row>
    <row r="2141" spans="1:39" x14ac:dyDescent="0.2">
      <c r="A2141" t="s">
        <v>2074</v>
      </c>
      <c r="B2141" t="s">
        <v>40</v>
      </c>
      <c r="C2141" t="s">
        <v>2051</v>
      </c>
      <c r="D2141" t="s">
        <v>42</v>
      </c>
      <c r="E2141" t="s">
        <v>43</v>
      </c>
      <c r="F2141" t="s">
        <v>44</v>
      </c>
      <c r="G2141" t="s">
        <v>45</v>
      </c>
      <c r="AH2141" t="s">
        <v>42</v>
      </c>
      <c r="AI2141" t="str">
        <f>"66298881728965"</f>
        <v>66298881728965</v>
      </c>
      <c r="AJ2141" t="str">
        <f>"400713"</f>
        <v>400713</v>
      </c>
      <c r="AK2141" t="s">
        <v>46</v>
      </c>
      <c r="AL2141" s="1">
        <v>44816.555752314816</v>
      </c>
      <c r="AM2141" t="s">
        <v>44</v>
      </c>
    </row>
    <row r="2142" spans="1:39" x14ac:dyDescent="0.2">
      <c r="A2142" t="s">
        <v>2075</v>
      </c>
      <c r="B2142" t="s">
        <v>40</v>
      </c>
      <c r="C2142" t="s">
        <v>2051</v>
      </c>
      <c r="D2142" t="s">
        <v>42</v>
      </c>
      <c r="E2142" t="s">
        <v>43</v>
      </c>
      <c r="F2142" t="s">
        <v>44</v>
      </c>
      <c r="G2142" t="s">
        <v>45</v>
      </c>
      <c r="AH2142" t="s">
        <v>42</v>
      </c>
      <c r="AI2142" t="str">
        <f>"66298881771543"</f>
        <v>66298881771543</v>
      </c>
      <c r="AJ2142" t="str">
        <f>"400709"</f>
        <v>400709</v>
      </c>
      <c r="AK2142" t="s">
        <v>46</v>
      </c>
      <c r="AL2142" s="1">
        <v>44816.555752314816</v>
      </c>
      <c r="AM2142" t="s">
        <v>44</v>
      </c>
    </row>
    <row r="2143" spans="1:39" x14ac:dyDescent="0.2">
      <c r="A2143" t="s">
        <v>2076</v>
      </c>
      <c r="B2143" t="s">
        <v>40</v>
      </c>
      <c r="C2143" t="s">
        <v>2051</v>
      </c>
      <c r="D2143" t="s">
        <v>42</v>
      </c>
      <c r="E2143" t="s">
        <v>43</v>
      </c>
      <c r="F2143" t="s">
        <v>44</v>
      </c>
      <c r="G2143" t="s">
        <v>45</v>
      </c>
      <c r="AH2143" t="s">
        <v>42</v>
      </c>
      <c r="AI2143" t="str">
        <f>"66298881882959"</f>
        <v>66298881882959</v>
      </c>
      <c r="AJ2143" t="str">
        <f>"400707"</f>
        <v>400707</v>
      </c>
      <c r="AK2143" t="s">
        <v>46</v>
      </c>
      <c r="AL2143" s="1">
        <v>44816.555763888886</v>
      </c>
      <c r="AM2143" t="s">
        <v>44</v>
      </c>
    </row>
    <row r="2144" spans="1:39" x14ac:dyDescent="0.2">
      <c r="A2144" t="s">
        <v>2077</v>
      </c>
      <c r="B2144" t="s">
        <v>40</v>
      </c>
      <c r="C2144" t="s">
        <v>2051</v>
      </c>
      <c r="D2144" t="s">
        <v>42</v>
      </c>
      <c r="E2144" t="s">
        <v>43</v>
      </c>
      <c r="F2144" t="s">
        <v>44</v>
      </c>
      <c r="G2144" t="s">
        <v>45</v>
      </c>
      <c r="AH2144" t="s">
        <v>42</v>
      </c>
      <c r="AI2144" t="str">
        <f>"66298881819426"</f>
        <v>66298881819426</v>
      </c>
      <c r="AJ2144" t="str">
        <f>"JL351003"</f>
        <v>JL351003</v>
      </c>
      <c r="AK2144" t="s">
        <v>46</v>
      </c>
      <c r="AL2144" s="1">
        <v>44816.555763888886</v>
      </c>
      <c r="AM2144" t="s">
        <v>44</v>
      </c>
    </row>
    <row r="2145" spans="1:39" x14ac:dyDescent="0.2">
      <c r="A2145" t="s">
        <v>2077</v>
      </c>
      <c r="B2145" t="s">
        <v>40</v>
      </c>
      <c r="C2145" t="s">
        <v>2051</v>
      </c>
      <c r="D2145" t="s">
        <v>42</v>
      </c>
      <c r="E2145" t="s">
        <v>43</v>
      </c>
      <c r="F2145" t="s">
        <v>44</v>
      </c>
      <c r="G2145" t="s">
        <v>45</v>
      </c>
      <c r="AH2145" t="s">
        <v>42</v>
      </c>
      <c r="AI2145" t="str">
        <f>"66298881827378"</f>
        <v>66298881827378</v>
      </c>
      <c r="AJ2145" t="str">
        <f>"JL-3510-03HB"</f>
        <v>JL-3510-03HB</v>
      </c>
      <c r="AK2145" t="s">
        <v>46</v>
      </c>
      <c r="AL2145" s="1">
        <v>44816.555763888886</v>
      </c>
      <c r="AM2145" t="s">
        <v>44</v>
      </c>
    </row>
    <row r="2146" spans="1:39" x14ac:dyDescent="0.2">
      <c r="A2146" t="s">
        <v>2078</v>
      </c>
      <c r="B2146" t="s">
        <v>40</v>
      </c>
      <c r="C2146" t="s">
        <v>2051</v>
      </c>
      <c r="D2146" t="s">
        <v>42</v>
      </c>
      <c r="E2146" t="s">
        <v>43</v>
      </c>
      <c r="F2146" t="s">
        <v>44</v>
      </c>
      <c r="G2146" t="s">
        <v>45</v>
      </c>
      <c r="AH2146" t="s">
        <v>42</v>
      </c>
      <c r="AI2146" t="str">
        <f>"FB026"</f>
        <v>FB026</v>
      </c>
      <c r="AJ2146" t="str">
        <f>"FB026"</f>
        <v>FB026</v>
      </c>
      <c r="AK2146" t="s">
        <v>46</v>
      </c>
      <c r="AL2146" s="1">
        <v>44978.706944444442</v>
      </c>
      <c r="AM2146" t="s">
        <v>44</v>
      </c>
    </row>
    <row r="2147" spans="1:39" x14ac:dyDescent="0.2">
      <c r="A2147" t="s">
        <v>2079</v>
      </c>
      <c r="B2147" t="s">
        <v>40</v>
      </c>
      <c r="C2147" t="s">
        <v>2051</v>
      </c>
      <c r="D2147" t="s">
        <v>42</v>
      </c>
      <c r="E2147" t="s">
        <v>43</v>
      </c>
      <c r="F2147" t="s">
        <v>44</v>
      </c>
      <c r="G2147" t="s">
        <v>45</v>
      </c>
      <c r="AH2147" t="s">
        <v>42</v>
      </c>
      <c r="AI2147" t="str">
        <f>"66298881922102"</f>
        <v>66298881922102</v>
      </c>
      <c r="AJ2147" t="str">
        <f>"400712"</f>
        <v>400712</v>
      </c>
      <c r="AK2147" t="s">
        <v>46</v>
      </c>
      <c r="AL2147" s="1">
        <v>44816.555775462963</v>
      </c>
      <c r="AM2147" t="s">
        <v>44</v>
      </c>
    </row>
    <row r="2148" spans="1:39" x14ac:dyDescent="0.2">
      <c r="A2148" t="s">
        <v>2080</v>
      </c>
      <c r="B2148" t="s">
        <v>40</v>
      </c>
      <c r="C2148" t="s">
        <v>2051</v>
      </c>
      <c r="D2148" t="s">
        <v>42</v>
      </c>
      <c r="E2148" t="s">
        <v>43</v>
      </c>
      <c r="F2148" t="s">
        <v>44</v>
      </c>
      <c r="G2148" t="s">
        <v>45</v>
      </c>
      <c r="AH2148" t="s">
        <v>42</v>
      </c>
      <c r="AI2148" t="str">
        <f>"BK045"</f>
        <v>BK045</v>
      </c>
      <c r="AJ2148" t="str">
        <f>"BK045"</f>
        <v>BK045</v>
      </c>
      <c r="AK2148" t="s">
        <v>46</v>
      </c>
      <c r="AL2148" s="1">
        <v>44922.687291666669</v>
      </c>
      <c r="AM2148" t="s">
        <v>44</v>
      </c>
    </row>
    <row r="2149" spans="1:39" x14ac:dyDescent="0.2">
      <c r="A2149" t="s">
        <v>2081</v>
      </c>
      <c r="B2149" t="s">
        <v>40</v>
      </c>
      <c r="C2149" t="s">
        <v>2051</v>
      </c>
      <c r="D2149" t="s">
        <v>42</v>
      </c>
      <c r="E2149" t="s">
        <v>43</v>
      </c>
      <c r="F2149" t="s">
        <v>44</v>
      </c>
      <c r="G2149" t="s">
        <v>45</v>
      </c>
      <c r="AH2149" t="s">
        <v>42</v>
      </c>
      <c r="AI2149" t="str">
        <f>"66298881959954"</f>
        <v>66298881959954</v>
      </c>
      <c r="AJ2149" t="str">
        <f>"APY311200016"</f>
        <v>APY311200016</v>
      </c>
      <c r="AK2149" t="s">
        <v>46</v>
      </c>
      <c r="AL2149" s="1">
        <v>44816.555775462963</v>
      </c>
      <c r="AM2149" t="s">
        <v>44</v>
      </c>
    </row>
    <row r="2150" spans="1:39" x14ac:dyDescent="0.2">
      <c r="A2150" t="s">
        <v>2082</v>
      </c>
      <c r="B2150" t="s">
        <v>40</v>
      </c>
      <c r="C2150" t="s">
        <v>2051</v>
      </c>
      <c r="D2150" t="s">
        <v>42</v>
      </c>
      <c r="E2150" t="s">
        <v>43</v>
      </c>
      <c r="F2150" t="s">
        <v>44</v>
      </c>
      <c r="G2150" t="s">
        <v>45</v>
      </c>
      <c r="AH2150" t="s">
        <v>42</v>
      </c>
      <c r="AI2150" t="str">
        <f>"66298882004514"</f>
        <v>66298882004514</v>
      </c>
      <c r="AJ2150" t="str">
        <f>"400711"</f>
        <v>400711</v>
      </c>
      <c r="AK2150" t="s">
        <v>46</v>
      </c>
      <c r="AL2150" s="1">
        <v>44816.555787037039</v>
      </c>
      <c r="AM2150" t="s">
        <v>44</v>
      </c>
    </row>
    <row r="2151" spans="1:39" x14ac:dyDescent="0.2">
      <c r="A2151" t="s">
        <v>2083</v>
      </c>
      <c r="B2151" t="s">
        <v>40</v>
      </c>
      <c r="C2151" t="s">
        <v>2051</v>
      </c>
      <c r="D2151" t="s">
        <v>42</v>
      </c>
      <c r="E2151" t="s">
        <v>43</v>
      </c>
      <c r="F2151" t="s">
        <v>44</v>
      </c>
      <c r="G2151" t="s">
        <v>45</v>
      </c>
      <c r="AH2151" t="s">
        <v>42</v>
      </c>
      <c r="AI2151" t="str">
        <f>"379"</f>
        <v>379</v>
      </c>
      <c r="AJ2151" t="str">
        <f>"379"</f>
        <v>379</v>
      </c>
      <c r="AK2151" t="s">
        <v>46</v>
      </c>
      <c r="AL2151" s="1">
        <v>45056.913993055554</v>
      </c>
      <c r="AM2151" t="s">
        <v>44</v>
      </c>
    </row>
    <row r="2152" spans="1:39" x14ac:dyDescent="0.2">
      <c r="A2152" t="s">
        <v>2084</v>
      </c>
      <c r="B2152" t="s">
        <v>40</v>
      </c>
      <c r="C2152" t="s">
        <v>2051</v>
      </c>
      <c r="D2152" t="s">
        <v>42</v>
      </c>
      <c r="E2152" t="s">
        <v>43</v>
      </c>
      <c r="F2152" t="s">
        <v>44</v>
      </c>
      <c r="G2152" t="s">
        <v>45</v>
      </c>
      <c r="AH2152" t="s">
        <v>42</v>
      </c>
      <c r="AI2152" t="str">
        <f>"66298882042209"</f>
        <v>66298882042209</v>
      </c>
      <c r="AJ2152" t="str">
        <f>"FB008"</f>
        <v>FB008</v>
      </c>
      <c r="AK2152" t="s">
        <v>46</v>
      </c>
      <c r="AL2152" s="1">
        <v>44816.555787037039</v>
      </c>
      <c r="AM2152" t="s">
        <v>44</v>
      </c>
    </row>
    <row r="2153" spans="1:39" x14ac:dyDescent="0.2">
      <c r="A2153" t="s">
        <v>2085</v>
      </c>
      <c r="B2153" t="s">
        <v>40</v>
      </c>
      <c r="C2153" t="s">
        <v>2051</v>
      </c>
      <c r="D2153" t="s">
        <v>42</v>
      </c>
      <c r="E2153" t="s">
        <v>43</v>
      </c>
      <c r="F2153" t="s">
        <v>44</v>
      </c>
      <c r="G2153" t="s">
        <v>45</v>
      </c>
      <c r="AH2153" t="s">
        <v>42</v>
      </c>
      <c r="AI2153" t="str">
        <f>"8023"</f>
        <v>8023</v>
      </c>
      <c r="AJ2153" t="str">
        <f>"8023"</f>
        <v>8023</v>
      </c>
      <c r="AK2153" t="s">
        <v>46</v>
      </c>
      <c r="AL2153" s="1">
        <v>45070.799421296295</v>
      </c>
      <c r="AM2153" t="s">
        <v>44</v>
      </c>
    </row>
    <row r="2154" spans="1:39" x14ac:dyDescent="0.2">
      <c r="A2154" t="s">
        <v>2086</v>
      </c>
      <c r="B2154" t="s">
        <v>40</v>
      </c>
      <c r="C2154" t="s">
        <v>2051</v>
      </c>
      <c r="D2154" t="s">
        <v>42</v>
      </c>
      <c r="E2154" t="s">
        <v>43</v>
      </c>
      <c r="F2154" t="s">
        <v>44</v>
      </c>
      <c r="G2154" t="s">
        <v>45</v>
      </c>
      <c r="AH2154" t="s">
        <v>42</v>
      </c>
      <c r="AI2154" t="str">
        <f>"K353186600"</f>
        <v>K353186600</v>
      </c>
      <c r="AJ2154" t="str">
        <f>"K353186600"</f>
        <v>K353186600</v>
      </c>
      <c r="AK2154" t="s">
        <v>46</v>
      </c>
      <c r="AL2154" s="1">
        <v>44910.803796296299</v>
      </c>
      <c r="AM2154" t="s">
        <v>44</v>
      </c>
    </row>
    <row r="2155" spans="1:39" x14ac:dyDescent="0.2">
      <c r="A2155" t="s">
        <v>2087</v>
      </c>
      <c r="B2155" t="s">
        <v>40</v>
      </c>
      <c r="C2155" t="s">
        <v>2051</v>
      </c>
      <c r="D2155" t="s">
        <v>42</v>
      </c>
      <c r="E2155" t="s">
        <v>43</v>
      </c>
      <c r="F2155" t="s">
        <v>44</v>
      </c>
      <c r="G2155" t="s">
        <v>45</v>
      </c>
      <c r="AH2155" t="s">
        <v>42</v>
      </c>
      <c r="AI2155" t="str">
        <f>"66298882082757"</f>
        <v>66298882082757</v>
      </c>
      <c r="AJ2155" t="str">
        <f>"12518"</f>
        <v>12518</v>
      </c>
      <c r="AK2155" t="s">
        <v>46</v>
      </c>
      <c r="AL2155" s="1">
        <v>44816.555787037039</v>
      </c>
      <c r="AM2155" t="s">
        <v>44</v>
      </c>
    </row>
    <row r="2156" spans="1:39" x14ac:dyDescent="0.2">
      <c r="A2156" t="s">
        <v>2088</v>
      </c>
      <c r="B2156" t="s">
        <v>40</v>
      </c>
      <c r="C2156" t="s">
        <v>684</v>
      </c>
      <c r="D2156" t="s">
        <v>42</v>
      </c>
      <c r="E2156" t="s">
        <v>43</v>
      </c>
      <c r="F2156" t="s">
        <v>44</v>
      </c>
      <c r="G2156" t="s">
        <v>45</v>
      </c>
      <c r="AH2156" t="s">
        <v>42</v>
      </c>
      <c r="AI2156" t="str">
        <f>"26608"</f>
        <v>26608</v>
      </c>
      <c r="AJ2156" t="str">
        <f>"26608"</f>
        <v>26608</v>
      </c>
      <c r="AK2156" t="s">
        <v>46</v>
      </c>
      <c r="AL2156" s="1">
        <v>44950.860717592594</v>
      </c>
      <c r="AM2156" t="s">
        <v>44</v>
      </c>
    </row>
    <row r="2157" spans="1:39" x14ac:dyDescent="0.2">
      <c r="A2157" t="s">
        <v>2089</v>
      </c>
      <c r="B2157" t="s">
        <v>40</v>
      </c>
      <c r="C2157" t="s">
        <v>684</v>
      </c>
      <c r="D2157" t="s">
        <v>42</v>
      </c>
      <c r="E2157" t="s">
        <v>43</v>
      </c>
      <c r="F2157" t="s">
        <v>44</v>
      </c>
      <c r="G2157" t="s">
        <v>45</v>
      </c>
      <c r="AH2157" t="s">
        <v>42</v>
      </c>
      <c r="AI2157" t="str">
        <f>"66298882164309"</f>
        <v>66298882164309</v>
      </c>
      <c r="AJ2157" t="str">
        <f>"1401"</f>
        <v>1401</v>
      </c>
      <c r="AK2157" t="s">
        <v>46</v>
      </c>
      <c r="AL2157" s="1">
        <v>44816.555798611109</v>
      </c>
      <c r="AM2157" t="s">
        <v>44</v>
      </c>
    </row>
    <row r="2158" spans="1:39" x14ac:dyDescent="0.2">
      <c r="A2158" t="s">
        <v>2089</v>
      </c>
      <c r="B2158" t="s">
        <v>40</v>
      </c>
      <c r="C2158" t="s">
        <v>684</v>
      </c>
      <c r="D2158" t="s">
        <v>42</v>
      </c>
      <c r="E2158" t="s">
        <v>43</v>
      </c>
      <c r="F2158" t="s">
        <v>44</v>
      </c>
      <c r="G2158" t="s">
        <v>45</v>
      </c>
      <c r="AH2158" t="s">
        <v>42</v>
      </c>
      <c r="AI2158" t="str">
        <f>"66298882202201"</f>
        <v>66298882202201</v>
      </c>
      <c r="AJ2158" t="str">
        <f>"884"</f>
        <v>884</v>
      </c>
      <c r="AK2158" t="s">
        <v>46</v>
      </c>
      <c r="AL2158" s="1">
        <v>44816.555810185186</v>
      </c>
      <c r="AM2158" t="s">
        <v>44</v>
      </c>
    </row>
    <row r="2159" spans="1:39" x14ac:dyDescent="0.2">
      <c r="A2159" t="s">
        <v>2090</v>
      </c>
      <c r="B2159" t="s">
        <v>40</v>
      </c>
      <c r="C2159" t="s">
        <v>684</v>
      </c>
      <c r="D2159" t="s">
        <v>42</v>
      </c>
      <c r="E2159" t="s">
        <v>43</v>
      </c>
      <c r="F2159" t="s">
        <v>44</v>
      </c>
      <c r="G2159" t="s">
        <v>45</v>
      </c>
      <c r="AH2159" t="s">
        <v>42</v>
      </c>
      <c r="AI2159" t="str">
        <f>"66298882121525"</f>
        <v>66298882121525</v>
      </c>
      <c r="AJ2159" t="str">
        <f>"5892"</f>
        <v>5892</v>
      </c>
      <c r="AK2159" t="s">
        <v>46</v>
      </c>
      <c r="AL2159" s="1">
        <v>44816.555798611109</v>
      </c>
      <c r="AM2159" t="s">
        <v>44</v>
      </c>
    </row>
    <row r="2160" spans="1:39" x14ac:dyDescent="0.2">
      <c r="A2160" t="s">
        <v>2091</v>
      </c>
      <c r="B2160" t="s">
        <v>40</v>
      </c>
      <c r="C2160" t="s">
        <v>684</v>
      </c>
      <c r="D2160" t="s">
        <v>42</v>
      </c>
      <c r="E2160" t="s">
        <v>43</v>
      </c>
      <c r="F2160" t="s">
        <v>44</v>
      </c>
      <c r="G2160" t="s">
        <v>45</v>
      </c>
      <c r="AH2160" t="s">
        <v>42</v>
      </c>
      <c r="AI2160" t="str">
        <f>"386"</f>
        <v>386</v>
      </c>
      <c r="AJ2160" t="str">
        <f>"386"</f>
        <v>386</v>
      </c>
      <c r="AK2160" t="s">
        <v>46</v>
      </c>
      <c r="AL2160" s="1">
        <v>44950.861261574071</v>
      </c>
      <c r="AM2160" t="s">
        <v>44</v>
      </c>
    </row>
    <row r="2161" spans="1:39" x14ac:dyDescent="0.2">
      <c r="A2161" t="s">
        <v>2092</v>
      </c>
      <c r="B2161" t="s">
        <v>40</v>
      </c>
      <c r="C2161" t="s">
        <v>129</v>
      </c>
      <c r="D2161" t="s">
        <v>42</v>
      </c>
      <c r="E2161" t="s">
        <v>43</v>
      </c>
      <c r="F2161" t="s">
        <v>44</v>
      </c>
      <c r="G2161" t="s">
        <v>45</v>
      </c>
      <c r="AH2161" t="s">
        <v>42</v>
      </c>
      <c r="AI2161" t="str">
        <f>"66298882242016"</f>
        <v>66298882242016</v>
      </c>
      <c r="AJ2161" t="str">
        <f>"H152"</f>
        <v>H152</v>
      </c>
      <c r="AK2161" t="s">
        <v>46</v>
      </c>
      <c r="AL2161" s="1">
        <v>44816.555810185186</v>
      </c>
      <c r="AM2161" t="s">
        <v>44</v>
      </c>
    </row>
    <row r="2162" spans="1:39" x14ac:dyDescent="0.2">
      <c r="A2162" t="s">
        <v>2093</v>
      </c>
      <c r="B2162" t="s">
        <v>40</v>
      </c>
      <c r="C2162" t="s">
        <v>129</v>
      </c>
      <c r="D2162" t="s">
        <v>42</v>
      </c>
      <c r="E2162" t="s">
        <v>43</v>
      </c>
      <c r="F2162" t="s">
        <v>44</v>
      </c>
      <c r="G2162" t="s">
        <v>45</v>
      </c>
      <c r="AH2162" t="s">
        <v>42</v>
      </c>
      <c r="AI2162" t="str">
        <f>"66298882281732"</f>
        <v>66298882281732</v>
      </c>
      <c r="AJ2162" t="str">
        <f>"H024"</f>
        <v>H024</v>
      </c>
      <c r="AK2162" t="s">
        <v>46</v>
      </c>
      <c r="AL2162" s="1">
        <v>44816.555810185186</v>
      </c>
      <c r="AM2162" t="s">
        <v>44</v>
      </c>
    </row>
    <row r="2163" spans="1:39" x14ac:dyDescent="0.2">
      <c r="A2163" t="s">
        <v>2094</v>
      </c>
      <c r="B2163" t="s">
        <v>40</v>
      </c>
      <c r="C2163" t="s">
        <v>129</v>
      </c>
      <c r="D2163" t="s">
        <v>42</v>
      </c>
      <c r="E2163" t="s">
        <v>43</v>
      </c>
      <c r="F2163" t="s">
        <v>44</v>
      </c>
      <c r="G2163" t="s">
        <v>45</v>
      </c>
      <c r="AH2163" t="s">
        <v>42</v>
      </c>
      <c r="AI2163" t="str">
        <f>"66298882322011"</f>
        <v>66298882322011</v>
      </c>
      <c r="AJ2163" t="str">
        <f>"H078"</f>
        <v>H078</v>
      </c>
      <c r="AK2163" t="s">
        <v>46</v>
      </c>
      <c r="AL2163" s="1">
        <v>44816.555821759262</v>
      </c>
      <c r="AM2163" t="s">
        <v>44</v>
      </c>
    </row>
    <row r="2164" spans="1:39" x14ac:dyDescent="0.2">
      <c r="A2164" t="s">
        <v>2095</v>
      </c>
      <c r="B2164" t="s">
        <v>40</v>
      </c>
      <c r="C2164" t="s">
        <v>129</v>
      </c>
      <c r="D2164" t="s">
        <v>42</v>
      </c>
      <c r="E2164" t="s">
        <v>43</v>
      </c>
      <c r="F2164" t="s">
        <v>44</v>
      </c>
      <c r="G2164" t="s">
        <v>45</v>
      </c>
      <c r="AH2164" t="s">
        <v>42</v>
      </c>
      <c r="AI2164" t="str">
        <f>"66298882364438"</f>
        <v>66298882364438</v>
      </c>
      <c r="AJ2164" t="str">
        <f>"H077"</f>
        <v>H077</v>
      </c>
      <c r="AK2164" t="s">
        <v>46</v>
      </c>
      <c r="AL2164" s="1">
        <v>44816.555821759262</v>
      </c>
      <c r="AM2164" t="s">
        <v>44</v>
      </c>
    </row>
    <row r="2165" spans="1:39" x14ac:dyDescent="0.2">
      <c r="A2165" t="s">
        <v>2096</v>
      </c>
      <c r="B2165" t="s">
        <v>40</v>
      </c>
      <c r="C2165" t="s">
        <v>129</v>
      </c>
      <c r="D2165" t="s">
        <v>42</v>
      </c>
      <c r="E2165" t="s">
        <v>43</v>
      </c>
      <c r="F2165" t="s">
        <v>44</v>
      </c>
      <c r="G2165" t="s">
        <v>45</v>
      </c>
      <c r="AH2165" t="s">
        <v>42</v>
      </c>
      <c r="AI2165" t="str">
        <f>"66298882440869"</f>
        <v>66298882440869</v>
      </c>
      <c r="AJ2165" t="str">
        <f>"H050"</f>
        <v>H050</v>
      </c>
      <c r="AK2165" t="s">
        <v>46</v>
      </c>
      <c r="AL2165" s="1">
        <v>44816.555833333332</v>
      </c>
      <c r="AM2165" t="s">
        <v>44</v>
      </c>
    </row>
    <row r="2166" spans="1:39" x14ac:dyDescent="0.2">
      <c r="A2166" t="s">
        <v>2097</v>
      </c>
      <c r="B2166" t="s">
        <v>40</v>
      </c>
      <c r="C2166" t="s">
        <v>129</v>
      </c>
      <c r="D2166" t="s">
        <v>42</v>
      </c>
      <c r="E2166" t="s">
        <v>43</v>
      </c>
      <c r="F2166" t="s">
        <v>44</v>
      </c>
      <c r="G2166" t="s">
        <v>45</v>
      </c>
      <c r="AH2166" t="s">
        <v>42</v>
      </c>
      <c r="AI2166" t="str">
        <f>"66298882482443"</f>
        <v>66298882482443</v>
      </c>
      <c r="AJ2166" t="str">
        <f>"H129"</f>
        <v>H129</v>
      </c>
      <c r="AK2166" t="s">
        <v>46</v>
      </c>
      <c r="AL2166" s="1">
        <v>44816.555833333332</v>
      </c>
      <c r="AM2166" t="s">
        <v>44</v>
      </c>
    </row>
    <row r="2167" spans="1:39" x14ac:dyDescent="0.2">
      <c r="A2167" t="s">
        <v>2097</v>
      </c>
      <c r="B2167" t="s">
        <v>40</v>
      </c>
      <c r="C2167" t="s">
        <v>129</v>
      </c>
      <c r="D2167" t="s">
        <v>42</v>
      </c>
      <c r="E2167" t="s">
        <v>43</v>
      </c>
      <c r="F2167" t="s">
        <v>44</v>
      </c>
      <c r="G2167" t="s">
        <v>45</v>
      </c>
      <c r="AH2167" t="s">
        <v>42</v>
      </c>
      <c r="AI2167" t="str">
        <f>"66298882529116"</f>
        <v>66298882529116</v>
      </c>
      <c r="AJ2167" t="str">
        <f>"H211"</f>
        <v>H211</v>
      </c>
      <c r="AK2167" t="s">
        <v>46</v>
      </c>
      <c r="AL2167" s="1">
        <v>44816.555844907409</v>
      </c>
      <c r="AM2167" t="s">
        <v>44</v>
      </c>
    </row>
    <row r="2168" spans="1:39" x14ac:dyDescent="0.2">
      <c r="A2168" t="s">
        <v>2097</v>
      </c>
      <c r="B2168" t="s">
        <v>40</v>
      </c>
      <c r="C2168" t="s">
        <v>129</v>
      </c>
      <c r="D2168" t="s">
        <v>42</v>
      </c>
      <c r="E2168" t="s">
        <v>43</v>
      </c>
      <c r="F2168" t="s">
        <v>44</v>
      </c>
      <c r="G2168" t="s">
        <v>45</v>
      </c>
      <c r="AH2168" t="s">
        <v>42</v>
      </c>
      <c r="AI2168" t="str">
        <f>"66298882535007"</f>
        <v>66298882535007</v>
      </c>
      <c r="AJ2168" t="str">
        <f>"H214"</f>
        <v>H214</v>
      </c>
      <c r="AK2168" t="s">
        <v>46</v>
      </c>
      <c r="AL2168" s="1">
        <v>44816.555844907409</v>
      </c>
      <c r="AM2168" t="s">
        <v>44</v>
      </c>
    </row>
    <row r="2169" spans="1:39" x14ac:dyDescent="0.2">
      <c r="A2169" t="s">
        <v>2098</v>
      </c>
      <c r="B2169" t="s">
        <v>40</v>
      </c>
      <c r="C2169" t="s">
        <v>129</v>
      </c>
      <c r="D2169" t="s">
        <v>42</v>
      </c>
      <c r="E2169" t="s">
        <v>43</v>
      </c>
      <c r="F2169" t="s">
        <v>44</v>
      </c>
      <c r="G2169" t="s">
        <v>45</v>
      </c>
      <c r="AH2169" t="s">
        <v>42</v>
      </c>
      <c r="AI2169" t="str">
        <f>"66298882592849"</f>
        <v>66298882592849</v>
      </c>
      <c r="AJ2169" t="str">
        <f>"H080"</f>
        <v>H080</v>
      </c>
      <c r="AK2169" t="s">
        <v>46</v>
      </c>
      <c r="AL2169" s="1">
        <v>44816.555844907409</v>
      </c>
      <c r="AM2169" t="s">
        <v>44</v>
      </c>
    </row>
    <row r="2170" spans="1:39" x14ac:dyDescent="0.2">
      <c r="A2170" t="s">
        <v>2099</v>
      </c>
      <c r="B2170" t="s">
        <v>40</v>
      </c>
      <c r="C2170" t="s">
        <v>129</v>
      </c>
      <c r="D2170" t="s">
        <v>42</v>
      </c>
      <c r="E2170" t="s">
        <v>43</v>
      </c>
      <c r="F2170" t="s">
        <v>44</v>
      </c>
      <c r="G2170" t="s">
        <v>45</v>
      </c>
      <c r="AH2170" t="s">
        <v>42</v>
      </c>
      <c r="AI2170" t="str">
        <f>"66298882401408"</f>
        <v>66298882401408</v>
      </c>
      <c r="AJ2170" t="str">
        <f>"H022"</f>
        <v>H022</v>
      </c>
      <c r="AK2170" t="s">
        <v>46</v>
      </c>
      <c r="AL2170" s="1">
        <v>44816.555833333332</v>
      </c>
      <c r="AM2170" t="s">
        <v>44</v>
      </c>
    </row>
    <row r="2171" spans="1:39" x14ac:dyDescent="0.2">
      <c r="A2171" t="s">
        <v>2100</v>
      </c>
      <c r="B2171" t="s">
        <v>40</v>
      </c>
      <c r="C2171" t="s">
        <v>129</v>
      </c>
      <c r="D2171" t="s">
        <v>42</v>
      </c>
      <c r="E2171" t="s">
        <v>43</v>
      </c>
      <c r="F2171" t="s">
        <v>44</v>
      </c>
      <c r="G2171" t="s">
        <v>45</v>
      </c>
      <c r="AH2171" t="s">
        <v>42</v>
      </c>
      <c r="AI2171" t="str">
        <f>"66298882637854"</f>
        <v>66298882637854</v>
      </c>
      <c r="AJ2171" t="str">
        <f>"13524"</f>
        <v>13524</v>
      </c>
      <c r="AK2171" t="s">
        <v>46</v>
      </c>
      <c r="AL2171" s="1">
        <v>44816.555856481478</v>
      </c>
      <c r="AM2171" t="s">
        <v>44</v>
      </c>
    </row>
    <row r="2172" spans="1:39" x14ac:dyDescent="0.2">
      <c r="A2172" t="s">
        <v>2101</v>
      </c>
      <c r="B2172" t="s">
        <v>40</v>
      </c>
      <c r="C2172" t="s">
        <v>129</v>
      </c>
      <c r="D2172" t="s">
        <v>42</v>
      </c>
      <c r="E2172" t="s">
        <v>43</v>
      </c>
      <c r="F2172" t="s">
        <v>44</v>
      </c>
      <c r="G2172" t="s">
        <v>45</v>
      </c>
      <c r="AH2172" t="s">
        <v>42</v>
      </c>
      <c r="AI2172" t="str">
        <f>"66298882682249"</f>
        <v>66298882682249</v>
      </c>
      <c r="AJ2172" t="str">
        <f>"13525"</f>
        <v>13525</v>
      </c>
      <c r="AK2172" t="s">
        <v>46</v>
      </c>
      <c r="AL2172" s="1">
        <v>44816.555856481478</v>
      </c>
      <c r="AM2172" t="s">
        <v>44</v>
      </c>
    </row>
    <row r="2173" spans="1:39" x14ac:dyDescent="0.2">
      <c r="A2173" t="s">
        <v>2102</v>
      </c>
      <c r="B2173" t="s">
        <v>40</v>
      </c>
      <c r="C2173" t="s">
        <v>129</v>
      </c>
      <c r="D2173" t="s">
        <v>42</v>
      </c>
      <c r="E2173" t="s">
        <v>43</v>
      </c>
      <c r="F2173" t="s">
        <v>44</v>
      </c>
      <c r="G2173" t="s">
        <v>45</v>
      </c>
      <c r="AH2173" t="s">
        <v>42</v>
      </c>
      <c r="AI2173" t="str">
        <f>"66298882721361"</f>
        <v>66298882721361</v>
      </c>
      <c r="AJ2173" t="str">
        <f>"H042"</f>
        <v>H042</v>
      </c>
      <c r="AK2173" t="s">
        <v>46</v>
      </c>
      <c r="AL2173" s="1">
        <v>44816.555868055555</v>
      </c>
      <c r="AM2173" t="s">
        <v>44</v>
      </c>
    </row>
    <row r="2174" spans="1:39" x14ac:dyDescent="0.2">
      <c r="A2174" t="s">
        <v>2103</v>
      </c>
      <c r="B2174" t="s">
        <v>40</v>
      </c>
      <c r="C2174" t="s">
        <v>2104</v>
      </c>
      <c r="D2174" t="s">
        <v>42</v>
      </c>
      <c r="E2174" t="s">
        <v>43</v>
      </c>
      <c r="F2174" t="s">
        <v>44</v>
      </c>
      <c r="G2174" t="s">
        <v>45</v>
      </c>
      <c r="AH2174" t="s">
        <v>42</v>
      </c>
      <c r="AI2174" t="str">
        <f>"66298882764419"</f>
        <v>66298882764419</v>
      </c>
      <c r="AJ2174" t="str">
        <f>"KN-556"</f>
        <v>KN-556</v>
      </c>
      <c r="AK2174" t="s">
        <v>46</v>
      </c>
      <c r="AL2174" s="1">
        <v>44816.555868055555</v>
      </c>
      <c r="AM2174" t="s">
        <v>44</v>
      </c>
    </row>
    <row r="2175" spans="1:39" x14ac:dyDescent="0.2">
      <c r="A2175" t="s">
        <v>2105</v>
      </c>
      <c r="B2175" t="s">
        <v>40</v>
      </c>
      <c r="C2175" t="s">
        <v>2104</v>
      </c>
      <c r="D2175" t="s">
        <v>42</v>
      </c>
      <c r="E2175" t="s">
        <v>43</v>
      </c>
      <c r="F2175" t="s">
        <v>44</v>
      </c>
      <c r="G2175" t="s">
        <v>45</v>
      </c>
      <c r="AH2175" t="s">
        <v>42</v>
      </c>
      <c r="AI2175" t="str">
        <f>"66298882804595"</f>
        <v>66298882804595</v>
      </c>
      <c r="AJ2175" t="str">
        <f>"KN-132"</f>
        <v>KN-132</v>
      </c>
      <c r="AK2175" t="s">
        <v>46</v>
      </c>
      <c r="AL2175" s="1">
        <v>44816.555879629632</v>
      </c>
      <c r="AM2175" t="s">
        <v>44</v>
      </c>
    </row>
    <row r="2176" spans="1:39" x14ac:dyDescent="0.2">
      <c r="A2176" t="s">
        <v>2106</v>
      </c>
      <c r="B2176" t="s">
        <v>40</v>
      </c>
      <c r="C2176" t="s">
        <v>2104</v>
      </c>
      <c r="D2176" t="s">
        <v>42</v>
      </c>
      <c r="E2176" t="s">
        <v>43</v>
      </c>
      <c r="F2176" t="s">
        <v>44</v>
      </c>
      <c r="G2176" t="s">
        <v>45</v>
      </c>
      <c r="AH2176" t="s">
        <v>42</v>
      </c>
      <c r="AI2176" t="str">
        <f>"66298882846876"</f>
        <v>66298882846876</v>
      </c>
      <c r="AJ2176" t="str">
        <f>"KN-153"</f>
        <v>KN-153</v>
      </c>
      <c r="AK2176" t="s">
        <v>46</v>
      </c>
      <c r="AL2176" s="1">
        <v>44816.555879629632</v>
      </c>
      <c r="AM2176" t="s">
        <v>44</v>
      </c>
    </row>
    <row r="2177" spans="1:39" x14ac:dyDescent="0.2">
      <c r="A2177" t="s">
        <v>2107</v>
      </c>
      <c r="B2177" t="s">
        <v>40</v>
      </c>
      <c r="C2177" t="s">
        <v>2104</v>
      </c>
      <c r="D2177" t="s">
        <v>42</v>
      </c>
      <c r="E2177" t="s">
        <v>43</v>
      </c>
      <c r="F2177" t="s">
        <v>44</v>
      </c>
      <c r="G2177" t="s">
        <v>45</v>
      </c>
      <c r="AH2177" t="s">
        <v>42</v>
      </c>
      <c r="AI2177" t="str">
        <f>"66298882886278"</f>
        <v>66298882886278</v>
      </c>
      <c r="AJ2177" t="str">
        <f>"KN-401"</f>
        <v>KN-401</v>
      </c>
      <c r="AK2177" t="s">
        <v>46</v>
      </c>
      <c r="AL2177" s="1">
        <v>44816.555879629632</v>
      </c>
      <c r="AM2177" t="s">
        <v>44</v>
      </c>
    </row>
    <row r="2178" spans="1:39" x14ac:dyDescent="0.2">
      <c r="A2178" t="s">
        <v>2108</v>
      </c>
      <c r="B2178" t="s">
        <v>40</v>
      </c>
      <c r="C2178" t="s">
        <v>2104</v>
      </c>
      <c r="D2178" t="s">
        <v>42</v>
      </c>
      <c r="E2178" t="s">
        <v>43</v>
      </c>
      <c r="F2178" t="s">
        <v>44</v>
      </c>
      <c r="G2178" t="s">
        <v>45</v>
      </c>
      <c r="AH2178" t="s">
        <v>42</v>
      </c>
      <c r="AI2178" t="str">
        <f>"66298882924312"</f>
        <v>66298882924312</v>
      </c>
      <c r="AJ2178" t="str">
        <f>"KN-170"</f>
        <v>KN-170</v>
      </c>
      <c r="AK2178" t="s">
        <v>46</v>
      </c>
      <c r="AL2178" s="1">
        <v>44816.555891203701</v>
      </c>
      <c r="AM2178" t="s">
        <v>44</v>
      </c>
    </row>
    <row r="2179" spans="1:39" x14ac:dyDescent="0.2">
      <c r="A2179" t="s">
        <v>2109</v>
      </c>
      <c r="B2179" t="s">
        <v>40</v>
      </c>
      <c r="C2179" t="s">
        <v>2104</v>
      </c>
      <c r="D2179" t="s">
        <v>42</v>
      </c>
      <c r="E2179" t="s">
        <v>43</v>
      </c>
      <c r="F2179" t="s">
        <v>44</v>
      </c>
      <c r="G2179" t="s">
        <v>45</v>
      </c>
      <c r="AH2179" t="s">
        <v>42</v>
      </c>
      <c r="AI2179" t="str">
        <f>"66298882966865"</f>
        <v>66298882966865</v>
      </c>
      <c r="AJ2179" t="str">
        <f>"FFC039"</f>
        <v>FFC039</v>
      </c>
      <c r="AK2179" t="s">
        <v>46</v>
      </c>
      <c r="AL2179" s="1">
        <v>44816.555891203701</v>
      </c>
      <c r="AM2179" t="s">
        <v>44</v>
      </c>
    </row>
    <row r="2180" spans="1:39" x14ac:dyDescent="0.2">
      <c r="A2180" t="s">
        <v>2109</v>
      </c>
      <c r="B2180" t="s">
        <v>40</v>
      </c>
      <c r="C2180" t="s">
        <v>2104</v>
      </c>
      <c r="D2180" t="s">
        <v>42</v>
      </c>
      <c r="E2180" t="s">
        <v>43</v>
      </c>
      <c r="F2180" t="s">
        <v>44</v>
      </c>
      <c r="G2180" t="s">
        <v>45</v>
      </c>
      <c r="AH2180" t="s">
        <v>42</v>
      </c>
      <c r="AI2180" t="str">
        <f>"11357"</f>
        <v>11357</v>
      </c>
      <c r="AJ2180" t="str">
        <f>"11357"</f>
        <v>11357</v>
      </c>
      <c r="AK2180" t="s">
        <v>46</v>
      </c>
      <c r="AL2180" s="1">
        <v>45107.759375000001</v>
      </c>
      <c r="AM2180" t="s">
        <v>44</v>
      </c>
    </row>
    <row r="2181" spans="1:39" x14ac:dyDescent="0.2">
      <c r="A2181" t="s">
        <v>2110</v>
      </c>
      <c r="B2181" t="s">
        <v>40</v>
      </c>
      <c r="C2181" t="s">
        <v>2104</v>
      </c>
      <c r="D2181" t="s">
        <v>42</v>
      </c>
      <c r="E2181" t="s">
        <v>43</v>
      </c>
      <c r="F2181" t="s">
        <v>44</v>
      </c>
      <c r="G2181" t="s">
        <v>45</v>
      </c>
      <c r="AH2181" t="s">
        <v>42</v>
      </c>
      <c r="AI2181" t="str">
        <f>"12194"</f>
        <v>12194</v>
      </c>
      <c r="AJ2181" t="str">
        <f>"12194"</f>
        <v>12194</v>
      </c>
      <c r="AK2181" t="s">
        <v>46</v>
      </c>
      <c r="AL2181" s="1">
        <v>44936.674641203703</v>
      </c>
      <c r="AM2181" t="s">
        <v>44</v>
      </c>
    </row>
    <row r="2182" spans="1:39" x14ac:dyDescent="0.2">
      <c r="A2182" t="s">
        <v>2111</v>
      </c>
      <c r="B2182" t="s">
        <v>40</v>
      </c>
      <c r="C2182" t="s">
        <v>2104</v>
      </c>
      <c r="D2182" t="s">
        <v>42</v>
      </c>
      <c r="E2182" t="s">
        <v>43</v>
      </c>
      <c r="F2182" t="s">
        <v>44</v>
      </c>
      <c r="G2182" t="s">
        <v>45</v>
      </c>
      <c r="AH2182" t="s">
        <v>42</v>
      </c>
      <c r="AI2182" t="str">
        <f>"66298883007613"</f>
        <v>66298883007613</v>
      </c>
      <c r="AJ2182" t="str">
        <f>"SD004"</f>
        <v>SD004</v>
      </c>
      <c r="AK2182" t="s">
        <v>46</v>
      </c>
      <c r="AL2182" s="1">
        <v>44816.555902777778</v>
      </c>
      <c r="AM2182" t="s">
        <v>44</v>
      </c>
    </row>
    <row r="2183" spans="1:39" x14ac:dyDescent="0.2">
      <c r="A2183" t="s">
        <v>2112</v>
      </c>
      <c r="B2183" t="s">
        <v>40</v>
      </c>
      <c r="C2183" t="s">
        <v>2104</v>
      </c>
      <c r="D2183" t="s">
        <v>42</v>
      </c>
      <c r="E2183" t="s">
        <v>43</v>
      </c>
      <c r="F2183" t="s">
        <v>44</v>
      </c>
      <c r="G2183" t="s">
        <v>45</v>
      </c>
      <c r="AH2183" t="s">
        <v>42</v>
      </c>
      <c r="AI2183" t="str">
        <f>"11359"</f>
        <v>11359</v>
      </c>
      <c r="AJ2183" t="str">
        <f>"11359"</f>
        <v>11359</v>
      </c>
      <c r="AK2183" t="s">
        <v>46</v>
      </c>
      <c r="AL2183" s="1">
        <v>44922.673032407409</v>
      </c>
      <c r="AM2183" t="s">
        <v>44</v>
      </c>
    </row>
    <row r="2184" spans="1:39" x14ac:dyDescent="0.2">
      <c r="A2184" t="s">
        <v>2113</v>
      </c>
      <c r="B2184" t="s">
        <v>40</v>
      </c>
      <c r="C2184" t="s">
        <v>2104</v>
      </c>
      <c r="D2184" t="s">
        <v>42</v>
      </c>
      <c r="E2184" t="s">
        <v>43</v>
      </c>
      <c r="F2184" t="s">
        <v>44</v>
      </c>
      <c r="G2184" t="s">
        <v>45</v>
      </c>
      <c r="AH2184" t="s">
        <v>42</v>
      </c>
      <c r="AI2184" t="str">
        <f>"11353"</f>
        <v>11353</v>
      </c>
      <c r="AJ2184" t="str">
        <f>"11353"</f>
        <v>11353</v>
      </c>
      <c r="AK2184" t="s">
        <v>46</v>
      </c>
      <c r="AL2184" s="1">
        <v>45019.873078703706</v>
      </c>
      <c r="AM2184" t="s">
        <v>44</v>
      </c>
    </row>
    <row r="2185" spans="1:39" x14ac:dyDescent="0.2">
      <c r="A2185" t="s">
        <v>2114</v>
      </c>
      <c r="B2185" t="s">
        <v>40</v>
      </c>
      <c r="C2185" t="s">
        <v>2104</v>
      </c>
      <c r="D2185" t="s">
        <v>42</v>
      </c>
      <c r="E2185" t="s">
        <v>43</v>
      </c>
      <c r="F2185" t="s">
        <v>44</v>
      </c>
      <c r="G2185" t="s">
        <v>45</v>
      </c>
      <c r="AH2185" t="s">
        <v>42</v>
      </c>
      <c r="AI2185" t="str">
        <f>"66298883047007"</f>
        <v>66298883047007</v>
      </c>
      <c r="AJ2185" t="str">
        <f>"11427-673-541"</f>
        <v>11427-673-541</v>
      </c>
      <c r="AK2185" t="s">
        <v>46</v>
      </c>
      <c r="AL2185" s="1">
        <v>44816.555902777778</v>
      </c>
      <c r="AM2185" t="s">
        <v>44</v>
      </c>
    </row>
    <row r="2186" spans="1:39" x14ac:dyDescent="0.2">
      <c r="A2186" t="s">
        <v>2115</v>
      </c>
      <c r="B2186" t="s">
        <v>40</v>
      </c>
      <c r="C2186" t="s">
        <v>2104</v>
      </c>
      <c r="D2186" t="s">
        <v>42</v>
      </c>
      <c r="E2186" t="s">
        <v>43</v>
      </c>
      <c r="F2186" t="s">
        <v>44</v>
      </c>
      <c r="G2186" t="s">
        <v>45</v>
      </c>
      <c r="AH2186" t="s">
        <v>42</v>
      </c>
      <c r="AI2186" t="str">
        <f>"66298883087002"</f>
        <v>66298883087002</v>
      </c>
      <c r="AJ2186" t="str">
        <f>"15412-300-325BR"</f>
        <v>15412-300-325BR</v>
      </c>
      <c r="AK2186" t="s">
        <v>46</v>
      </c>
      <c r="AL2186" s="1">
        <v>44816.555902777778</v>
      </c>
      <c r="AM2186" t="s">
        <v>44</v>
      </c>
    </row>
    <row r="2187" spans="1:39" x14ac:dyDescent="0.2">
      <c r="A2187" t="s">
        <v>2116</v>
      </c>
      <c r="B2187" t="s">
        <v>40</v>
      </c>
      <c r="C2187" t="s">
        <v>2104</v>
      </c>
      <c r="D2187" t="s">
        <v>42</v>
      </c>
      <c r="E2187" t="s">
        <v>43</v>
      </c>
      <c r="F2187" t="s">
        <v>44</v>
      </c>
      <c r="G2187" t="s">
        <v>45</v>
      </c>
      <c r="AH2187" t="s">
        <v>42</v>
      </c>
      <c r="AI2187" t="str">
        <f>"66298883130265"</f>
        <v>66298883130265</v>
      </c>
      <c r="AJ2187" t="str">
        <f>"SD001"</f>
        <v>SD001</v>
      </c>
      <c r="AK2187" t="s">
        <v>46</v>
      </c>
      <c r="AL2187" s="1">
        <v>44816.555914351855</v>
      </c>
      <c r="AM2187" t="s">
        <v>44</v>
      </c>
    </row>
    <row r="2188" spans="1:39" x14ac:dyDescent="0.2">
      <c r="A2188" t="s">
        <v>2117</v>
      </c>
      <c r="B2188" t="s">
        <v>40</v>
      </c>
      <c r="C2188" t="s">
        <v>2104</v>
      </c>
      <c r="D2188" t="s">
        <v>42</v>
      </c>
      <c r="E2188" t="s">
        <v>43</v>
      </c>
      <c r="F2188" t="s">
        <v>44</v>
      </c>
      <c r="G2188" t="s">
        <v>45</v>
      </c>
      <c r="AH2188" t="s">
        <v>42</v>
      </c>
      <c r="AI2188" t="str">
        <f>"66298883173248"</f>
        <v>66298883173248</v>
      </c>
      <c r="AJ2188" t="str">
        <f>"80747"</f>
        <v>80747</v>
      </c>
      <c r="AK2188" t="s">
        <v>46</v>
      </c>
      <c r="AL2188" s="1">
        <v>44816.555914351855</v>
      </c>
      <c r="AM2188" t="s">
        <v>44</v>
      </c>
    </row>
    <row r="2189" spans="1:39" x14ac:dyDescent="0.2">
      <c r="A2189" t="s">
        <v>2117</v>
      </c>
      <c r="B2189" t="s">
        <v>40</v>
      </c>
      <c r="C2189" t="s">
        <v>2104</v>
      </c>
      <c r="D2189" t="s">
        <v>42</v>
      </c>
      <c r="E2189" t="s">
        <v>43</v>
      </c>
      <c r="F2189" t="s">
        <v>44</v>
      </c>
      <c r="G2189" t="s">
        <v>45</v>
      </c>
      <c r="AH2189" t="s">
        <v>42</v>
      </c>
      <c r="AI2189" t="str">
        <f>"B040"</f>
        <v>B040</v>
      </c>
      <c r="AJ2189" t="str">
        <f>"B040"</f>
        <v>B040</v>
      </c>
      <c r="AK2189" t="s">
        <v>46</v>
      </c>
      <c r="AL2189" s="1">
        <v>45092.836296296293</v>
      </c>
      <c r="AM2189" t="s">
        <v>44</v>
      </c>
    </row>
    <row r="2190" spans="1:39" x14ac:dyDescent="0.2">
      <c r="A2190" t="s">
        <v>2118</v>
      </c>
      <c r="B2190" t="s">
        <v>40</v>
      </c>
      <c r="C2190" t="s">
        <v>2104</v>
      </c>
      <c r="D2190" t="s">
        <v>42</v>
      </c>
      <c r="E2190" t="s">
        <v>43</v>
      </c>
      <c r="F2190" t="s">
        <v>44</v>
      </c>
      <c r="G2190" t="s">
        <v>45</v>
      </c>
      <c r="AH2190" t="s">
        <v>42</v>
      </c>
      <c r="AI2190" t="str">
        <f>"66298883212201"</f>
        <v>66298883212201</v>
      </c>
      <c r="AJ2190" t="str">
        <f>"400191"</f>
        <v>400191</v>
      </c>
      <c r="AK2190" t="s">
        <v>46</v>
      </c>
      <c r="AL2190" s="1">
        <v>44816.555925925924</v>
      </c>
      <c r="AM2190" t="s">
        <v>44</v>
      </c>
    </row>
    <row r="2191" spans="1:39" x14ac:dyDescent="0.2">
      <c r="A2191" t="s">
        <v>2119</v>
      </c>
      <c r="B2191" t="s">
        <v>40</v>
      </c>
      <c r="C2191" t="s">
        <v>2104</v>
      </c>
      <c r="D2191" t="s">
        <v>42</v>
      </c>
      <c r="E2191" t="s">
        <v>43</v>
      </c>
      <c r="F2191" t="s">
        <v>44</v>
      </c>
      <c r="G2191" t="s">
        <v>45</v>
      </c>
      <c r="AH2191" t="s">
        <v>42</v>
      </c>
      <c r="AI2191" t="str">
        <f>"66298883257864"</f>
        <v>66298883257864</v>
      </c>
      <c r="AJ2191" t="str">
        <f>"16510-25C00HB"</f>
        <v>16510-25C00HB</v>
      </c>
      <c r="AK2191" t="s">
        <v>46</v>
      </c>
      <c r="AL2191" s="1">
        <v>44816.555925925924</v>
      </c>
      <c r="AM2191" t="s">
        <v>44</v>
      </c>
    </row>
    <row r="2192" spans="1:39" x14ac:dyDescent="0.2">
      <c r="A2192" t="s">
        <v>2120</v>
      </c>
      <c r="B2192" t="s">
        <v>40</v>
      </c>
      <c r="C2192" t="s">
        <v>2104</v>
      </c>
      <c r="D2192" t="s">
        <v>42</v>
      </c>
      <c r="E2192" t="s">
        <v>43</v>
      </c>
      <c r="F2192" t="s">
        <v>44</v>
      </c>
      <c r="G2192" t="s">
        <v>45</v>
      </c>
      <c r="AH2192" t="s">
        <v>42</v>
      </c>
      <c r="AI2192" t="str">
        <f>"16510-37450HB"</f>
        <v>16510-37450HB</v>
      </c>
      <c r="AJ2192" t="str">
        <f>"16510-37450HB"</f>
        <v>16510-37450HB</v>
      </c>
      <c r="AK2192" t="s">
        <v>46</v>
      </c>
      <c r="AL2192" s="1">
        <v>45092.744375000002</v>
      </c>
      <c r="AM2192" t="s">
        <v>44</v>
      </c>
    </row>
    <row r="2193" spans="1:39" x14ac:dyDescent="0.2">
      <c r="A2193" t="s">
        <v>2121</v>
      </c>
      <c r="B2193" t="s">
        <v>40</v>
      </c>
      <c r="C2193" t="s">
        <v>2104</v>
      </c>
      <c r="D2193" t="s">
        <v>42</v>
      </c>
      <c r="E2193" t="s">
        <v>43</v>
      </c>
      <c r="F2193" t="s">
        <v>44</v>
      </c>
      <c r="G2193" t="s">
        <v>45</v>
      </c>
      <c r="AH2193" t="s">
        <v>42</v>
      </c>
      <c r="AI2193" t="str">
        <f>"4347"</f>
        <v>4347</v>
      </c>
      <c r="AJ2193" t="str">
        <f>"4347"</f>
        <v>4347</v>
      </c>
      <c r="AK2193" t="s">
        <v>46</v>
      </c>
      <c r="AL2193" s="1">
        <v>45056.738171296296</v>
      </c>
      <c r="AM2193" t="s">
        <v>44</v>
      </c>
    </row>
    <row r="2194" spans="1:39" x14ac:dyDescent="0.2">
      <c r="A2194" t="s">
        <v>2122</v>
      </c>
      <c r="B2194" t="s">
        <v>40</v>
      </c>
      <c r="C2194" t="s">
        <v>2104</v>
      </c>
      <c r="D2194" t="s">
        <v>42</v>
      </c>
      <c r="E2194" t="s">
        <v>43</v>
      </c>
      <c r="F2194" t="s">
        <v>44</v>
      </c>
      <c r="G2194" t="s">
        <v>45</v>
      </c>
      <c r="AH2194" t="s">
        <v>42</v>
      </c>
      <c r="AI2194" t="str">
        <f>"S001"</f>
        <v>S001</v>
      </c>
      <c r="AJ2194" t="str">
        <f>"S001"</f>
        <v>S001</v>
      </c>
      <c r="AK2194" t="s">
        <v>46</v>
      </c>
      <c r="AL2194" s="1">
        <v>44816.555925925924</v>
      </c>
      <c r="AM2194" t="s">
        <v>44</v>
      </c>
    </row>
    <row r="2195" spans="1:39" x14ac:dyDescent="0.2">
      <c r="A2195" t="s">
        <v>2122</v>
      </c>
      <c r="B2195" t="s">
        <v>40</v>
      </c>
      <c r="C2195" t="s">
        <v>2104</v>
      </c>
      <c r="D2195" t="s">
        <v>42</v>
      </c>
      <c r="E2195" t="s">
        <v>43</v>
      </c>
      <c r="F2195" t="s">
        <v>44</v>
      </c>
      <c r="G2195" t="s">
        <v>45</v>
      </c>
      <c r="AH2195" t="s">
        <v>42</v>
      </c>
      <c r="AI2195" t="str">
        <f>"21C-E3440-00"</f>
        <v>21C-E3440-00</v>
      </c>
      <c r="AJ2195" t="str">
        <f>"21C-E3440-00"</f>
        <v>21C-E3440-00</v>
      </c>
      <c r="AK2195" t="s">
        <v>46</v>
      </c>
      <c r="AL2195" s="1">
        <v>45092.76903935185</v>
      </c>
      <c r="AM2195" t="s">
        <v>44</v>
      </c>
    </row>
    <row r="2196" spans="1:39" x14ac:dyDescent="0.2">
      <c r="A2196" t="s">
        <v>2123</v>
      </c>
      <c r="B2196" t="s">
        <v>40</v>
      </c>
      <c r="C2196" t="s">
        <v>2104</v>
      </c>
      <c r="D2196" t="s">
        <v>42</v>
      </c>
      <c r="E2196" t="s">
        <v>43</v>
      </c>
      <c r="F2196" t="s">
        <v>44</v>
      </c>
      <c r="G2196" t="s">
        <v>45</v>
      </c>
      <c r="AH2196" t="s">
        <v>42</v>
      </c>
      <c r="AI2196" t="str">
        <f>"16510-33G00-001HB"</f>
        <v>16510-33G00-001HB</v>
      </c>
      <c r="AJ2196" t="str">
        <f>"16510-33G00-001HB"</f>
        <v>16510-33G00-001HB</v>
      </c>
      <c r="AK2196" t="s">
        <v>46</v>
      </c>
      <c r="AL2196" s="1">
        <v>44902.805289351854</v>
      </c>
      <c r="AM2196" t="s">
        <v>44</v>
      </c>
    </row>
    <row r="2197" spans="1:39" x14ac:dyDescent="0.2">
      <c r="A2197" t="s">
        <v>2124</v>
      </c>
      <c r="B2197" t="s">
        <v>40</v>
      </c>
      <c r="C2197" t="s">
        <v>2104</v>
      </c>
      <c r="D2197" t="s">
        <v>42</v>
      </c>
      <c r="E2197" t="s">
        <v>43</v>
      </c>
      <c r="F2197" t="s">
        <v>44</v>
      </c>
      <c r="G2197" t="s">
        <v>45</v>
      </c>
      <c r="AH2197" t="s">
        <v>42</v>
      </c>
      <c r="AI2197" t="str">
        <f>"66298883338501"</f>
        <v>66298883338501</v>
      </c>
      <c r="AJ2197" t="str">
        <f>"S004"</f>
        <v>S004</v>
      </c>
      <c r="AK2197" t="s">
        <v>46</v>
      </c>
      <c r="AL2197" s="1">
        <v>44816.555937500001</v>
      </c>
      <c r="AM2197" t="s">
        <v>44</v>
      </c>
    </row>
    <row r="2198" spans="1:39" x14ac:dyDescent="0.2">
      <c r="A2198" t="s">
        <v>2124</v>
      </c>
      <c r="B2198" t="s">
        <v>40</v>
      </c>
      <c r="C2198" t="s">
        <v>2104</v>
      </c>
      <c r="D2198" t="s">
        <v>42</v>
      </c>
      <c r="E2198" t="s">
        <v>43</v>
      </c>
      <c r="F2198" t="s">
        <v>44</v>
      </c>
      <c r="G2198" t="s">
        <v>45</v>
      </c>
      <c r="AH2198" t="s">
        <v>42</v>
      </c>
      <c r="AI2198" t="str">
        <f>"66298883375287"</f>
        <v>66298883375287</v>
      </c>
      <c r="AJ2198" t="str">
        <f>"85180"</f>
        <v>85180</v>
      </c>
      <c r="AK2198" t="s">
        <v>46</v>
      </c>
      <c r="AL2198" s="1">
        <v>44816.555937500001</v>
      </c>
      <c r="AM2198" t="s">
        <v>44</v>
      </c>
    </row>
    <row r="2199" spans="1:39" x14ac:dyDescent="0.2">
      <c r="A2199" t="s">
        <v>2124</v>
      </c>
      <c r="B2199" t="s">
        <v>40</v>
      </c>
      <c r="C2199" t="s">
        <v>2104</v>
      </c>
      <c r="D2199" t="s">
        <v>42</v>
      </c>
      <c r="E2199" t="s">
        <v>43</v>
      </c>
      <c r="F2199" t="s">
        <v>44</v>
      </c>
      <c r="G2199" t="s">
        <v>45</v>
      </c>
      <c r="AH2199" t="s">
        <v>42</v>
      </c>
      <c r="AI2199" t="str">
        <f>"1053"</f>
        <v>1053</v>
      </c>
      <c r="AJ2199" t="str">
        <f>"1053"</f>
        <v>1053</v>
      </c>
      <c r="AK2199" t="s">
        <v>46</v>
      </c>
      <c r="AL2199" s="1">
        <v>44972.554895833331</v>
      </c>
      <c r="AM2199" t="s">
        <v>44</v>
      </c>
    </row>
    <row r="2200" spans="1:39" x14ac:dyDescent="0.2">
      <c r="A2200" t="s">
        <v>2124</v>
      </c>
      <c r="B2200" t="s">
        <v>40</v>
      </c>
      <c r="C2200" t="s">
        <v>2104</v>
      </c>
      <c r="D2200" t="s">
        <v>42</v>
      </c>
      <c r="E2200" t="s">
        <v>43</v>
      </c>
      <c r="F2200" t="s">
        <v>44</v>
      </c>
      <c r="G2200" t="s">
        <v>45</v>
      </c>
      <c r="AH2200" t="s">
        <v>42</v>
      </c>
      <c r="AI2200" t="str">
        <f>"B00202"</f>
        <v>B00202</v>
      </c>
      <c r="AJ2200" t="str">
        <f>"B00202"</f>
        <v>B00202</v>
      </c>
      <c r="AK2200" t="s">
        <v>46</v>
      </c>
      <c r="AL2200" s="1">
        <v>45092.770150462966</v>
      </c>
      <c r="AM2200" t="s">
        <v>44</v>
      </c>
    </row>
    <row r="2201" spans="1:39" x14ac:dyDescent="0.2">
      <c r="A2201" t="s">
        <v>2124</v>
      </c>
      <c r="B2201" t="s">
        <v>40</v>
      </c>
      <c r="C2201" t="s">
        <v>2104</v>
      </c>
      <c r="D2201" t="s">
        <v>42</v>
      </c>
      <c r="E2201" t="s">
        <v>43</v>
      </c>
      <c r="F2201" t="s">
        <v>44</v>
      </c>
      <c r="G2201" t="s">
        <v>45</v>
      </c>
      <c r="AH2201" t="s">
        <v>42</v>
      </c>
      <c r="AI2201" t="str">
        <f>"16510-45H10-000"</f>
        <v>16510-45H10-000</v>
      </c>
      <c r="AJ2201" t="str">
        <f>"16510-45H10-000"</f>
        <v>16510-45H10-000</v>
      </c>
      <c r="AK2201" t="s">
        <v>46</v>
      </c>
      <c r="AL2201" s="1">
        <v>45092.774884259263</v>
      </c>
      <c r="AM2201" t="s">
        <v>44</v>
      </c>
    </row>
    <row r="2202" spans="1:39" x14ac:dyDescent="0.2">
      <c r="A2202" t="s">
        <v>2125</v>
      </c>
      <c r="B2202" t="s">
        <v>40</v>
      </c>
      <c r="C2202" t="s">
        <v>2104</v>
      </c>
      <c r="D2202" t="s">
        <v>42</v>
      </c>
      <c r="E2202" t="s">
        <v>43</v>
      </c>
      <c r="F2202" t="s">
        <v>44</v>
      </c>
      <c r="G2202" t="s">
        <v>45</v>
      </c>
      <c r="AH2202" t="s">
        <v>42</v>
      </c>
      <c r="AI2202" t="str">
        <f>"66298883415061"</f>
        <v>66298883415061</v>
      </c>
      <c r="AJ2202" t="str">
        <f>"16510-45040HB"</f>
        <v>16510-45040HB</v>
      </c>
      <c r="AK2202" t="s">
        <v>46</v>
      </c>
      <c r="AL2202" s="1">
        <v>44816.555949074071</v>
      </c>
      <c r="AM2202" t="s">
        <v>44</v>
      </c>
    </row>
    <row r="2203" spans="1:39" x14ac:dyDescent="0.2">
      <c r="A2203" t="s">
        <v>2125</v>
      </c>
      <c r="B2203" t="s">
        <v>40</v>
      </c>
      <c r="C2203" t="s">
        <v>2104</v>
      </c>
      <c r="D2203" t="s">
        <v>42</v>
      </c>
      <c r="E2203" t="s">
        <v>43</v>
      </c>
      <c r="F2203" t="s">
        <v>44</v>
      </c>
      <c r="G2203" t="s">
        <v>45</v>
      </c>
      <c r="AH2203" t="s">
        <v>42</v>
      </c>
      <c r="AI2203" t="str">
        <f>"66298883457442"</f>
        <v>66298883457442</v>
      </c>
      <c r="AJ2203" t="str">
        <f>"16500-45810BR"</f>
        <v>16500-45810BR</v>
      </c>
      <c r="AK2203" t="s">
        <v>46</v>
      </c>
      <c r="AL2203" s="1">
        <v>44816.555949074071</v>
      </c>
      <c r="AM2203" t="s">
        <v>44</v>
      </c>
    </row>
    <row r="2204" spans="1:39" x14ac:dyDescent="0.2">
      <c r="A2204" t="s">
        <v>2126</v>
      </c>
      <c r="B2204" t="s">
        <v>40</v>
      </c>
      <c r="C2204" t="s">
        <v>2104</v>
      </c>
      <c r="D2204" t="s">
        <v>42</v>
      </c>
      <c r="E2204" t="s">
        <v>43</v>
      </c>
      <c r="F2204" t="s">
        <v>44</v>
      </c>
      <c r="G2204" t="s">
        <v>45</v>
      </c>
      <c r="AH2204" t="s">
        <v>42</v>
      </c>
      <c r="AI2204" t="str">
        <f>"16510-07J00HB"</f>
        <v>16510-07J00HB</v>
      </c>
      <c r="AJ2204" t="str">
        <f>"16510-07J00HB"</f>
        <v>16510-07J00HB</v>
      </c>
      <c r="AK2204" t="s">
        <v>46</v>
      </c>
      <c r="AL2204" s="1">
        <v>44900.846284722225</v>
      </c>
      <c r="AM2204" t="s">
        <v>44</v>
      </c>
    </row>
    <row r="2205" spans="1:39" x14ac:dyDescent="0.2">
      <c r="A2205" t="s">
        <v>2127</v>
      </c>
      <c r="B2205" t="s">
        <v>40</v>
      </c>
      <c r="C2205" t="s">
        <v>2104</v>
      </c>
      <c r="D2205" t="s">
        <v>42</v>
      </c>
      <c r="E2205" t="s">
        <v>43</v>
      </c>
      <c r="F2205" t="s">
        <v>44</v>
      </c>
      <c r="G2205" t="s">
        <v>45</v>
      </c>
      <c r="AH2205" t="s">
        <v>42</v>
      </c>
      <c r="AI2205" t="str">
        <f>"66298883496183"</f>
        <v>66298883496183</v>
      </c>
      <c r="AJ2205" t="str">
        <f>"SD002"</f>
        <v>SD002</v>
      </c>
      <c r="AK2205" t="s">
        <v>46</v>
      </c>
      <c r="AL2205" s="1">
        <v>44816.555949074071</v>
      </c>
      <c r="AM2205" t="s">
        <v>44</v>
      </c>
    </row>
    <row r="2206" spans="1:39" x14ac:dyDescent="0.2">
      <c r="A2206" t="s">
        <v>2128</v>
      </c>
      <c r="B2206" t="s">
        <v>40</v>
      </c>
      <c r="C2206" t="s">
        <v>2104</v>
      </c>
      <c r="D2206" t="s">
        <v>42</v>
      </c>
      <c r="E2206" t="s">
        <v>43</v>
      </c>
      <c r="F2206" t="s">
        <v>44</v>
      </c>
      <c r="G2206" t="s">
        <v>45</v>
      </c>
      <c r="AH2206" t="s">
        <v>42</v>
      </c>
      <c r="AI2206" t="str">
        <f>"66298883534870"</f>
        <v>66298883534870</v>
      </c>
      <c r="AJ2206" t="str">
        <f>"16510-HN910"</f>
        <v>16510-HN910</v>
      </c>
      <c r="AK2206" t="s">
        <v>46</v>
      </c>
      <c r="AL2206" s="1">
        <v>44816.555960648147</v>
      </c>
      <c r="AM2206" t="s">
        <v>44</v>
      </c>
    </row>
    <row r="2207" spans="1:39" x14ac:dyDescent="0.2">
      <c r="A2207" t="s">
        <v>2129</v>
      </c>
      <c r="B2207" t="s">
        <v>40</v>
      </c>
      <c r="C2207" t="s">
        <v>2104</v>
      </c>
      <c r="D2207" t="s">
        <v>42</v>
      </c>
      <c r="E2207" t="s">
        <v>43</v>
      </c>
      <c r="F2207" t="s">
        <v>44</v>
      </c>
      <c r="G2207" t="s">
        <v>45</v>
      </c>
      <c r="AH2207" t="s">
        <v>42</v>
      </c>
      <c r="AI2207" t="str">
        <f>"66298883578273"</f>
        <v>66298883578273</v>
      </c>
      <c r="AJ2207" t="str">
        <f>"82637"</f>
        <v>82637</v>
      </c>
      <c r="AK2207" t="s">
        <v>46</v>
      </c>
      <c r="AL2207" s="1">
        <v>44816.555960648147</v>
      </c>
      <c r="AM2207" t="s">
        <v>44</v>
      </c>
    </row>
    <row r="2208" spans="1:39" x14ac:dyDescent="0.2">
      <c r="A2208" t="s">
        <v>2129</v>
      </c>
      <c r="B2208" t="s">
        <v>40</v>
      </c>
      <c r="C2208" t="s">
        <v>2104</v>
      </c>
      <c r="D2208" t="s">
        <v>42</v>
      </c>
      <c r="E2208" t="s">
        <v>43</v>
      </c>
      <c r="F2208" t="s">
        <v>44</v>
      </c>
      <c r="G2208" t="s">
        <v>45</v>
      </c>
      <c r="AH2208" t="s">
        <v>42</v>
      </c>
      <c r="AI2208" t="str">
        <f>"66298883585597"</f>
        <v>66298883585597</v>
      </c>
      <c r="AJ2208" t="str">
        <f>"S003"</f>
        <v>S003</v>
      </c>
      <c r="AK2208" t="s">
        <v>46</v>
      </c>
      <c r="AL2208" s="1">
        <v>44816.555960648147</v>
      </c>
      <c r="AM2208" t="s">
        <v>44</v>
      </c>
    </row>
    <row r="2209" spans="1:39" x14ac:dyDescent="0.2">
      <c r="A2209" t="s">
        <v>2130</v>
      </c>
      <c r="B2209" t="s">
        <v>40</v>
      </c>
      <c r="C2209" t="s">
        <v>2104</v>
      </c>
      <c r="D2209" t="s">
        <v>42</v>
      </c>
      <c r="E2209" t="s">
        <v>43</v>
      </c>
      <c r="F2209" t="s">
        <v>44</v>
      </c>
      <c r="G2209" t="s">
        <v>45</v>
      </c>
      <c r="AH2209" t="s">
        <v>42</v>
      </c>
      <c r="AI2209" t="str">
        <f>"B018"</f>
        <v>B018</v>
      </c>
      <c r="AJ2209" t="str">
        <f>"B018"</f>
        <v>B018</v>
      </c>
      <c r="AK2209" t="s">
        <v>46</v>
      </c>
      <c r="AL2209" s="1">
        <v>45091.916354166664</v>
      </c>
      <c r="AM2209" t="s">
        <v>44</v>
      </c>
    </row>
    <row r="2210" spans="1:39" x14ac:dyDescent="0.2">
      <c r="A2210" t="s">
        <v>2131</v>
      </c>
      <c r="B2210" t="s">
        <v>40</v>
      </c>
      <c r="C2210" t="s">
        <v>2104</v>
      </c>
      <c r="D2210" t="s">
        <v>42</v>
      </c>
      <c r="E2210" t="s">
        <v>43</v>
      </c>
      <c r="F2210" t="s">
        <v>44</v>
      </c>
      <c r="G2210" t="s">
        <v>45</v>
      </c>
      <c r="AH2210" t="s">
        <v>42</v>
      </c>
      <c r="AI2210" t="str">
        <f>"200144"</f>
        <v>200144</v>
      </c>
      <c r="AJ2210" t="str">
        <f>"200144"</f>
        <v>200144</v>
      </c>
      <c r="AK2210" t="s">
        <v>46</v>
      </c>
      <c r="AL2210" s="1">
        <v>45092.775868055556</v>
      </c>
      <c r="AM2210" t="s">
        <v>44</v>
      </c>
    </row>
    <row r="2211" spans="1:39" x14ac:dyDescent="0.2">
      <c r="A2211" t="s">
        <v>2132</v>
      </c>
      <c r="B2211" t="s">
        <v>40</v>
      </c>
      <c r="C2211" t="s">
        <v>2104</v>
      </c>
      <c r="D2211" t="s">
        <v>42</v>
      </c>
      <c r="E2211" t="s">
        <v>43</v>
      </c>
      <c r="F2211" t="s">
        <v>44</v>
      </c>
      <c r="G2211" t="s">
        <v>45</v>
      </c>
      <c r="AH2211" t="s">
        <v>42</v>
      </c>
      <c r="AI2211" t="str">
        <f>"1772"</f>
        <v>1772</v>
      </c>
      <c r="AJ2211" t="str">
        <f>"1772"</f>
        <v>1772</v>
      </c>
      <c r="AK2211" t="s">
        <v>46</v>
      </c>
      <c r="AL2211" s="1">
        <v>44914.5937037037</v>
      </c>
      <c r="AM2211" t="s">
        <v>44</v>
      </c>
    </row>
    <row r="2212" spans="1:39" x14ac:dyDescent="0.2">
      <c r="A2212" t="s">
        <v>2133</v>
      </c>
      <c r="B2212" t="s">
        <v>40</v>
      </c>
      <c r="C2212" t="s">
        <v>2104</v>
      </c>
      <c r="D2212" t="s">
        <v>42</v>
      </c>
      <c r="E2212" t="s">
        <v>43</v>
      </c>
      <c r="F2212" t="s">
        <v>44</v>
      </c>
      <c r="G2212" t="s">
        <v>45</v>
      </c>
      <c r="AH2212" t="s">
        <v>42</v>
      </c>
      <c r="AI2212" t="str">
        <f>"66298884086323"</f>
        <v>66298884086323</v>
      </c>
      <c r="AJ2212" t="str">
        <f>"B021"</f>
        <v>B021</v>
      </c>
      <c r="AK2212" t="s">
        <v>46</v>
      </c>
      <c r="AL2212" s="1">
        <v>44816.556018518517</v>
      </c>
      <c r="AM2212" t="s">
        <v>44</v>
      </c>
    </row>
    <row r="2213" spans="1:39" x14ac:dyDescent="0.2">
      <c r="A2213" t="s">
        <v>2134</v>
      </c>
      <c r="B2213" t="s">
        <v>40</v>
      </c>
      <c r="C2213" t="s">
        <v>2104</v>
      </c>
      <c r="D2213" t="s">
        <v>42</v>
      </c>
      <c r="E2213" t="s">
        <v>43</v>
      </c>
      <c r="F2213" t="s">
        <v>44</v>
      </c>
      <c r="G2213" t="s">
        <v>45</v>
      </c>
      <c r="AH2213" t="s">
        <v>42</v>
      </c>
      <c r="AI2213" t="str">
        <f>"66298883640445"</f>
        <v>66298883640445</v>
      </c>
      <c r="AJ2213" t="str">
        <f>"12080"</f>
        <v>12080</v>
      </c>
      <c r="AK2213" t="s">
        <v>46</v>
      </c>
      <c r="AL2213" s="1">
        <v>44816.555972222224</v>
      </c>
      <c r="AM2213" t="s">
        <v>44</v>
      </c>
    </row>
    <row r="2214" spans="1:39" x14ac:dyDescent="0.2">
      <c r="A2214" t="s">
        <v>2135</v>
      </c>
      <c r="B2214" t="s">
        <v>40</v>
      </c>
      <c r="C2214" t="s">
        <v>2104</v>
      </c>
      <c r="D2214" t="s">
        <v>42</v>
      </c>
      <c r="E2214" t="s">
        <v>43</v>
      </c>
      <c r="F2214" t="s">
        <v>44</v>
      </c>
      <c r="G2214" t="s">
        <v>45</v>
      </c>
      <c r="AH2214" t="s">
        <v>42</v>
      </c>
      <c r="AI2214" t="str">
        <f>"FVC018"</f>
        <v>FVC018</v>
      </c>
      <c r="AJ2214" t="str">
        <f>"FVC018"</f>
        <v>FVC018</v>
      </c>
      <c r="AK2214" t="s">
        <v>46</v>
      </c>
      <c r="AL2214" s="1">
        <v>44995.538993055554</v>
      </c>
      <c r="AM2214" t="s">
        <v>44</v>
      </c>
    </row>
    <row r="2215" spans="1:39" x14ac:dyDescent="0.2">
      <c r="A2215" t="s">
        <v>2136</v>
      </c>
      <c r="B2215" t="s">
        <v>40</v>
      </c>
      <c r="C2215" t="s">
        <v>2104</v>
      </c>
      <c r="D2215" t="s">
        <v>42</v>
      </c>
      <c r="E2215" t="s">
        <v>43</v>
      </c>
      <c r="F2215" t="s">
        <v>44</v>
      </c>
      <c r="G2215" t="s">
        <v>45</v>
      </c>
      <c r="AH2215" t="s">
        <v>42</v>
      </c>
      <c r="AI2215" t="str">
        <f>"66298883676191"</f>
        <v>66298883676191</v>
      </c>
      <c r="AJ2215" t="str">
        <f>"SD005"</f>
        <v>SD005</v>
      </c>
      <c r="AK2215" t="s">
        <v>46</v>
      </c>
      <c r="AL2215" s="1">
        <v>44816.555972222224</v>
      </c>
      <c r="AM2215" t="s">
        <v>44</v>
      </c>
    </row>
    <row r="2216" spans="1:39" x14ac:dyDescent="0.2">
      <c r="A2216" t="s">
        <v>2137</v>
      </c>
      <c r="B2216" t="s">
        <v>40</v>
      </c>
      <c r="C2216" t="s">
        <v>2104</v>
      </c>
      <c r="D2216" t="s">
        <v>42</v>
      </c>
      <c r="E2216" t="s">
        <v>43</v>
      </c>
      <c r="F2216" t="s">
        <v>44</v>
      </c>
      <c r="G2216" t="s">
        <v>45</v>
      </c>
      <c r="AH2216" t="s">
        <v>42</v>
      </c>
      <c r="AI2216" t="str">
        <f>"66298883717881"</f>
        <v>66298883717881</v>
      </c>
      <c r="AJ2216" t="str">
        <f>"SD003"</f>
        <v>SD003</v>
      </c>
      <c r="AK2216" t="s">
        <v>46</v>
      </c>
      <c r="AL2216" s="1">
        <v>44816.555983796294</v>
      </c>
      <c r="AM2216" t="s">
        <v>44</v>
      </c>
    </row>
    <row r="2217" spans="1:39" x14ac:dyDescent="0.2">
      <c r="A2217" t="s">
        <v>2138</v>
      </c>
      <c r="B2217" t="s">
        <v>40</v>
      </c>
      <c r="C2217" t="s">
        <v>2104</v>
      </c>
      <c r="D2217" t="s">
        <v>42</v>
      </c>
      <c r="E2217" t="s">
        <v>43</v>
      </c>
      <c r="F2217" t="s">
        <v>44</v>
      </c>
      <c r="G2217" t="s">
        <v>45</v>
      </c>
      <c r="AH2217" t="s">
        <v>42</v>
      </c>
      <c r="AI2217" t="str">
        <f>"JE-5710-07"</f>
        <v>JE-5710-07</v>
      </c>
      <c r="AJ2217" t="str">
        <f>"JE-5710-07"</f>
        <v>JE-5710-07</v>
      </c>
      <c r="AK2217" t="s">
        <v>46</v>
      </c>
      <c r="AL2217" s="1">
        <v>44900.828993055555</v>
      </c>
      <c r="AM2217" t="s">
        <v>44</v>
      </c>
    </row>
    <row r="2218" spans="1:39" x14ac:dyDescent="0.2">
      <c r="A2218" t="s">
        <v>2139</v>
      </c>
      <c r="B2218" t="s">
        <v>40</v>
      </c>
      <c r="C2218" t="s">
        <v>2104</v>
      </c>
      <c r="D2218" t="s">
        <v>42</v>
      </c>
      <c r="E2218" t="s">
        <v>43</v>
      </c>
      <c r="F2218" t="s">
        <v>44</v>
      </c>
      <c r="G2218" t="s">
        <v>45</v>
      </c>
      <c r="AH2218" t="s">
        <v>42</v>
      </c>
      <c r="AI2218" t="str">
        <f>"66298883764265"</f>
        <v>66298883764265</v>
      </c>
      <c r="AJ2218" t="str">
        <f>"DH-1210-10"</f>
        <v>DH-1210-10</v>
      </c>
      <c r="AK2218" t="s">
        <v>46</v>
      </c>
      <c r="AL2218" s="1">
        <v>44816.555983796294</v>
      </c>
      <c r="AM2218" t="s">
        <v>44</v>
      </c>
    </row>
    <row r="2219" spans="1:39" x14ac:dyDescent="0.2">
      <c r="A2219" t="s">
        <v>2140</v>
      </c>
      <c r="B2219" t="s">
        <v>40</v>
      </c>
      <c r="C2219" t="s">
        <v>2104</v>
      </c>
      <c r="D2219" t="s">
        <v>42</v>
      </c>
      <c r="E2219" t="s">
        <v>43</v>
      </c>
      <c r="F2219" t="s">
        <v>44</v>
      </c>
      <c r="G2219" t="s">
        <v>45</v>
      </c>
      <c r="AH2219" t="s">
        <v>42</v>
      </c>
      <c r="AI2219" t="str">
        <f>"66298883808013"</f>
        <v>66298883808013</v>
      </c>
      <c r="AJ2219" t="str">
        <f>"JG-5710-14HB"</f>
        <v>JG-5710-14HB</v>
      </c>
      <c r="AK2219" t="s">
        <v>46</v>
      </c>
      <c r="AL2219" s="1">
        <v>44816.555995370371</v>
      </c>
      <c r="AM2219" t="s">
        <v>44</v>
      </c>
    </row>
    <row r="2220" spans="1:39" x14ac:dyDescent="0.2">
      <c r="A2220" t="s">
        <v>2140</v>
      </c>
      <c r="B2220" t="s">
        <v>40</v>
      </c>
      <c r="C2220" t="s">
        <v>2104</v>
      </c>
      <c r="D2220" t="s">
        <v>42</v>
      </c>
      <c r="E2220" t="s">
        <v>43</v>
      </c>
      <c r="F2220" t="s">
        <v>44</v>
      </c>
      <c r="G2220" t="s">
        <v>45</v>
      </c>
      <c r="AH2220" t="s">
        <v>42</v>
      </c>
      <c r="AI2220" t="str">
        <f>"1775"</f>
        <v>1775</v>
      </c>
      <c r="AJ2220" t="str">
        <f>"1775"</f>
        <v>1775</v>
      </c>
      <c r="AK2220" t="s">
        <v>46</v>
      </c>
      <c r="AL2220" s="1">
        <v>44974.571828703702</v>
      </c>
      <c r="AM2220" t="s">
        <v>44</v>
      </c>
    </row>
    <row r="2221" spans="1:39" x14ac:dyDescent="0.2">
      <c r="A2221" t="s">
        <v>2141</v>
      </c>
      <c r="B2221" t="s">
        <v>40</v>
      </c>
      <c r="C2221" t="s">
        <v>2104</v>
      </c>
      <c r="D2221" t="s">
        <v>42</v>
      </c>
      <c r="E2221" t="s">
        <v>43</v>
      </c>
      <c r="F2221" t="s">
        <v>44</v>
      </c>
      <c r="G2221" t="s">
        <v>45</v>
      </c>
      <c r="AH2221" t="s">
        <v>42</v>
      </c>
      <c r="AI2221" t="str">
        <f>"66298883845172"</f>
        <v>66298883845172</v>
      </c>
      <c r="AJ2221" t="str">
        <f>"11427-721-779"</f>
        <v>11427-721-779</v>
      </c>
      <c r="AK2221" t="s">
        <v>46</v>
      </c>
      <c r="AL2221" s="1">
        <v>44816.555995370371</v>
      </c>
      <c r="AM2221" t="s">
        <v>44</v>
      </c>
    </row>
    <row r="2222" spans="1:39" x14ac:dyDescent="0.2">
      <c r="A2222" t="s">
        <v>2142</v>
      </c>
      <c r="B2222" t="s">
        <v>40</v>
      </c>
      <c r="C2222" t="s">
        <v>2104</v>
      </c>
      <c r="D2222" t="s">
        <v>42</v>
      </c>
      <c r="E2222" t="s">
        <v>43</v>
      </c>
      <c r="F2222" t="s">
        <v>44</v>
      </c>
      <c r="G2222" t="s">
        <v>45</v>
      </c>
      <c r="AH2222" t="s">
        <v>42</v>
      </c>
      <c r="AI2222" t="str">
        <f>"66298883882424"</f>
        <v>66298883882424</v>
      </c>
      <c r="AJ2222" t="str">
        <f>"16510-24501"</f>
        <v>16510-24501</v>
      </c>
      <c r="AK2222" t="s">
        <v>46</v>
      </c>
      <c r="AL2222" s="1">
        <v>44816.555995370371</v>
      </c>
      <c r="AM2222" t="s">
        <v>44</v>
      </c>
    </row>
    <row r="2223" spans="1:39" x14ac:dyDescent="0.2">
      <c r="A2223" t="s">
        <v>2143</v>
      </c>
      <c r="B2223" t="s">
        <v>40</v>
      </c>
      <c r="C2223" t="s">
        <v>2104</v>
      </c>
      <c r="D2223" t="s">
        <v>42</v>
      </c>
      <c r="E2223" t="s">
        <v>43</v>
      </c>
      <c r="F2223" t="s">
        <v>44</v>
      </c>
      <c r="G2223" t="s">
        <v>45</v>
      </c>
      <c r="AH2223" t="s">
        <v>42</v>
      </c>
      <c r="AI2223" t="str">
        <f>"10178"</f>
        <v>10178</v>
      </c>
      <c r="AJ2223" t="str">
        <f>"10178"</f>
        <v>10178</v>
      </c>
      <c r="AK2223" t="s">
        <v>46</v>
      </c>
      <c r="AL2223" s="1">
        <v>44950.672291666669</v>
      </c>
      <c r="AM2223" t="s">
        <v>44</v>
      </c>
    </row>
    <row r="2224" spans="1:39" x14ac:dyDescent="0.2">
      <c r="A2224" t="s">
        <v>2144</v>
      </c>
      <c r="B2224" t="s">
        <v>40</v>
      </c>
      <c r="C2224" t="s">
        <v>2104</v>
      </c>
      <c r="D2224" t="s">
        <v>42</v>
      </c>
      <c r="E2224" t="s">
        <v>43</v>
      </c>
      <c r="F2224" t="s">
        <v>44</v>
      </c>
      <c r="G2224" t="s">
        <v>45</v>
      </c>
      <c r="AH2224" t="s">
        <v>42</v>
      </c>
      <c r="AI2224" t="str">
        <f>"66298883924501"</f>
        <v>66298883924501</v>
      </c>
      <c r="AJ2224" t="str">
        <f>"15410-MB0-003"</f>
        <v>15410-MB0-003</v>
      </c>
      <c r="AK2224" t="s">
        <v>46</v>
      </c>
      <c r="AL2224" s="1">
        <v>44816.556006944447</v>
      </c>
      <c r="AM2224" t="s">
        <v>44</v>
      </c>
    </row>
    <row r="2225" spans="1:39" x14ac:dyDescent="0.2">
      <c r="A2225" t="s">
        <v>2145</v>
      </c>
      <c r="B2225" t="s">
        <v>40</v>
      </c>
      <c r="C2225" t="s">
        <v>2104</v>
      </c>
      <c r="D2225" t="s">
        <v>42</v>
      </c>
      <c r="E2225" t="s">
        <v>43</v>
      </c>
      <c r="F2225" t="s">
        <v>44</v>
      </c>
      <c r="G2225" t="s">
        <v>45</v>
      </c>
      <c r="AH2225" t="s">
        <v>42</v>
      </c>
      <c r="AI2225" t="str">
        <f>"16510-26H00-000"</f>
        <v>16510-26H00-000</v>
      </c>
      <c r="AJ2225" t="str">
        <f>"16510-26H00-000"</f>
        <v>16510-26H00-000</v>
      </c>
      <c r="AK2225" t="s">
        <v>46</v>
      </c>
      <c r="AL2225" s="1">
        <v>44875.616122685184</v>
      </c>
      <c r="AM2225" t="s">
        <v>44</v>
      </c>
    </row>
    <row r="2226" spans="1:39" x14ac:dyDescent="0.2">
      <c r="A2226" t="s">
        <v>2146</v>
      </c>
      <c r="B2226" t="s">
        <v>40</v>
      </c>
      <c r="C2226" t="s">
        <v>2104</v>
      </c>
      <c r="D2226" t="s">
        <v>42</v>
      </c>
      <c r="E2226" t="s">
        <v>43</v>
      </c>
      <c r="F2226" t="s">
        <v>44</v>
      </c>
      <c r="G2226" t="s">
        <v>45</v>
      </c>
      <c r="AH2226" t="s">
        <v>42</v>
      </c>
      <c r="AI2226" t="str">
        <f>"66298883964095"</f>
        <v>66298883964095</v>
      </c>
      <c r="AJ2226" t="str">
        <f>"15410-KF0-315"</f>
        <v>15410-KF0-315</v>
      </c>
      <c r="AK2226" t="s">
        <v>46</v>
      </c>
      <c r="AL2226" s="1">
        <v>44816.556006944447</v>
      </c>
      <c r="AM2226" t="s">
        <v>44</v>
      </c>
    </row>
    <row r="2227" spans="1:39" x14ac:dyDescent="0.2">
      <c r="A2227" t="s">
        <v>2147</v>
      </c>
      <c r="B2227" t="s">
        <v>40</v>
      </c>
      <c r="C2227" t="s">
        <v>2104</v>
      </c>
      <c r="D2227" t="s">
        <v>42</v>
      </c>
      <c r="E2227" t="s">
        <v>43</v>
      </c>
      <c r="F2227" t="s">
        <v>44</v>
      </c>
      <c r="G2227" t="s">
        <v>45</v>
      </c>
      <c r="AH2227" t="s">
        <v>42</v>
      </c>
      <c r="AI2227" t="str">
        <f>"1995"</f>
        <v>1995</v>
      </c>
      <c r="AJ2227" t="str">
        <f>"1995"</f>
        <v>1995</v>
      </c>
      <c r="AK2227" t="s">
        <v>46</v>
      </c>
      <c r="AL2227" s="1">
        <v>44972.764108796298</v>
      </c>
      <c r="AM2227" t="s">
        <v>44</v>
      </c>
    </row>
    <row r="2228" spans="1:39" x14ac:dyDescent="0.2">
      <c r="A2228" t="s">
        <v>2148</v>
      </c>
      <c r="B2228" t="s">
        <v>40</v>
      </c>
      <c r="C2228" t="s">
        <v>2104</v>
      </c>
      <c r="D2228" t="s">
        <v>42</v>
      </c>
      <c r="E2228" t="s">
        <v>43</v>
      </c>
      <c r="F2228" t="s">
        <v>44</v>
      </c>
      <c r="G2228" t="s">
        <v>45</v>
      </c>
      <c r="AH2228" t="s">
        <v>42</v>
      </c>
      <c r="AI2228" t="str">
        <f>"66298884005785"</f>
        <v>66298884005785</v>
      </c>
      <c r="AJ2228" t="str">
        <f>"S056"</f>
        <v>S056</v>
      </c>
      <c r="AK2228" t="s">
        <v>46</v>
      </c>
      <c r="AL2228" s="1">
        <v>44816.556018518517</v>
      </c>
      <c r="AM2228" t="s">
        <v>44</v>
      </c>
    </row>
    <row r="2229" spans="1:39" x14ac:dyDescent="0.2">
      <c r="A2229" t="s">
        <v>2149</v>
      </c>
      <c r="B2229" t="s">
        <v>40</v>
      </c>
      <c r="C2229" t="s">
        <v>2104</v>
      </c>
      <c r="D2229" t="s">
        <v>42</v>
      </c>
      <c r="E2229" t="s">
        <v>43</v>
      </c>
      <c r="F2229" t="s">
        <v>44</v>
      </c>
      <c r="G2229" t="s">
        <v>45</v>
      </c>
      <c r="AH2229" t="s">
        <v>42</v>
      </c>
      <c r="AI2229" t="str">
        <f>"B045"</f>
        <v>B045</v>
      </c>
      <c r="AJ2229" t="str">
        <f>"B045"</f>
        <v>B045</v>
      </c>
      <c r="AK2229" t="s">
        <v>46</v>
      </c>
      <c r="AL2229" s="1">
        <v>45091.91128472222</v>
      </c>
      <c r="AM2229" t="s">
        <v>44</v>
      </c>
    </row>
    <row r="2230" spans="1:39" x14ac:dyDescent="0.2">
      <c r="A2230" t="s">
        <v>2150</v>
      </c>
      <c r="B2230" t="s">
        <v>40</v>
      </c>
      <c r="C2230" t="s">
        <v>2104</v>
      </c>
      <c r="D2230" t="s">
        <v>42</v>
      </c>
      <c r="E2230" t="s">
        <v>43</v>
      </c>
      <c r="F2230" t="s">
        <v>44</v>
      </c>
      <c r="G2230" t="s">
        <v>45</v>
      </c>
      <c r="AH2230" t="s">
        <v>42</v>
      </c>
      <c r="AI2230" t="str">
        <f>"66298884046349"</f>
        <v>66298884046349</v>
      </c>
      <c r="AJ2230" t="str">
        <f>"JB025"</f>
        <v>JB025</v>
      </c>
      <c r="AK2230" t="s">
        <v>46</v>
      </c>
      <c r="AL2230" s="1">
        <v>44816.556018518517</v>
      </c>
      <c r="AM2230" t="s">
        <v>44</v>
      </c>
    </row>
    <row r="2231" spans="1:39" x14ac:dyDescent="0.2">
      <c r="A2231" t="s">
        <v>2151</v>
      </c>
      <c r="B2231" t="s">
        <v>40</v>
      </c>
      <c r="C2231" t="s">
        <v>2104</v>
      </c>
      <c r="D2231" t="s">
        <v>42</v>
      </c>
      <c r="E2231" t="s">
        <v>43</v>
      </c>
      <c r="F2231" t="s">
        <v>44</v>
      </c>
      <c r="G2231" t="s">
        <v>45</v>
      </c>
      <c r="AH2231" t="s">
        <v>42</v>
      </c>
      <c r="AI2231" t="str">
        <f>"66298884127410"</f>
        <v>66298884127410</v>
      </c>
      <c r="AJ2231" t="str">
        <f>"80750"</f>
        <v>80750</v>
      </c>
      <c r="AK2231" t="s">
        <v>46</v>
      </c>
      <c r="AL2231" s="1">
        <v>44816.556030092594</v>
      </c>
      <c r="AM2231" t="s">
        <v>44</v>
      </c>
    </row>
    <row r="2232" spans="1:39" x14ac:dyDescent="0.2">
      <c r="A2232" t="s">
        <v>2152</v>
      </c>
      <c r="B2232" t="s">
        <v>40</v>
      </c>
      <c r="C2232" t="s">
        <v>2104</v>
      </c>
      <c r="D2232" t="s">
        <v>42</v>
      </c>
      <c r="E2232" t="s">
        <v>43</v>
      </c>
      <c r="F2232" t="s">
        <v>44</v>
      </c>
      <c r="G2232" t="s">
        <v>45</v>
      </c>
      <c r="AH2232" t="s">
        <v>42</v>
      </c>
      <c r="AI2232" t="str">
        <f>"66298884164680"</f>
        <v>66298884164680</v>
      </c>
      <c r="AJ2232" t="str">
        <f>"400195"</f>
        <v>400195</v>
      </c>
      <c r="AK2232" t="s">
        <v>46</v>
      </c>
      <c r="AL2232" s="1">
        <v>44816.556030092594</v>
      </c>
      <c r="AM2232" t="s">
        <v>44</v>
      </c>
    </row>
    <row r="2233" spans="1:39" x14ac:dyDescent="0.2">
      <c r="A2233" t="s">
        <v>2153</v>
      </c>
      <c r="B2233" t="s">
        <v>40</v>
      </c>
      <c r="C2233" t="s">
        <v>2104</v>
      </c>
      <c r="D2233" t="s">
        <v>42</v>
      </c>
      <c r="E2233" t="s">
        <v>43</v>
      </c>
      <c r="F2233" t="s">
        <v>44</v>
      </c>
      <c r="G2233" t="s">
        <v>45</v>
      </c>
      <c r="AH2233" t="s">
        <v>42</v>
      </c>
      <c r="AI2233" t="str">
        <f>"66298884201679"</f>
        <v>66298884201679</v>
      </c>
      <c r="AJ2233" t="str">
        <f>"FFC006"</f>
        <v>FFC006</v>
      </c>
      <c r="AK2233" t="s">
        <v>46</v>
      </c>
      <c r="AL2233" s="1">
        <v>44816.556041666663</v>
      </c>
      <c r="AM2233" t="s">
        <v>44</v>
      </c>
    </row>
    <row r="2234" spans="1:39" x14ac:dyDescent="0.2">
      <c r="A2234" t="s">
        <v>2154</v>
      </c>
      <c r="B2234" t="s">
        <v>40</v>
      </c>
      <c r="C2234" t="s">
        <v>2104</v>
      </c>
      <c r="D2234" t="s">
        <v>42</v>
      </c>
      <c r="E2234" t="s">
        <v>43</v>
      </c>
      <c r="F2234" t="s">
        <v>44</v>
      </c>
      <c r="G2234" t="s">
        <v>45</v>
      </c>
      <c r="AH2234" t="s">
        <v>42</v>
      </c>
      <c r="AI2234" t="str">
        <f>"66298884242609"</f>
        <v>66298884242609</v>
      </c>
      <c r="AJ2234" t="str">
        <f>"85179"</f>
        <v>85179</v>
      </c>
      <c r="AK2234" t="s">
        <v>46</v>
      </c>
      <c r="AL2234" s="1">
        <v>44816.556041666663</v>
      </c>
      <c r="AM2234" t="s">
        <v>44</v>
      </c>
    </row>
    <row r="2235" spans="1:39" x14ac:dyDescent="0.2">
      <c r="A2235" t="s">
        <v>2154</v>
      </c>
      <c r="B2235" t="s">
        <v>40</v>
      </c>
      <c r="C2235" t="s">
        <v>2104</v>
      </c>
      <c r="D2235" t="s">
        <v>42</v>
      </c>
      <c r="E2235" t="s">
        <v>43</v>
      </c>
      <c r="F2235" t="s">
        <v>44</v>
      </c>
      <c r="G2235" t="s">
        <v>45</v>
      </c>
      <c r="AH2235" t="s">
        <v>42</v>
      </c>
      <c r="AI2235" t="str">
        <f>"157-F3440-00HB"</f>
        <v>157-F3440-00HB</v>
      </c>
      <c r="AJ2235" t="str">
        <f>"157-F3440-00HB"</f>
        <v>157-F3440-00HB</v>
      </c>
      <c r="AK2235" t="s">
        <v>46</v>
      </c>
      <c r="AL2235" s="1">
        <v>45092.776828703703</v>
      </c>
      <c r="AM2235" t="s">
        <v>44</v>
      </c>
    </row>
    <row r="2236" spans="1:39" x14ac:dyDescent="0.2">
      <c r="A2236" t="s">
        <v>2155</v>
      </c>
      <c r="B2236" t="s">
        <v>40</v>
      </c>
      <c r="C2236" t="s">
        <v>2104</v>
      </c>
      <c r="D2236" t="s">
        <v>42</v>
      </c>
      <c r="E2236" t="s">
        <v>43</v>
      </c>
      <c r="F2236" t="s">
        <v>44</v>
      </c>
      <c r="G2236" t="s">
        <v>45</v>
      </c>
      <c r="AH2236" t="s">
        <v>42</v>
      </c>
      <c r="AI2236" t="str">
        <f>"66298884283102"</f>
        <v>66298884283102</v>
      </c>
      <c r="AJ2236" t="str">
        <f>"HA-2511"</f>
        <v>HA-2511</v>
      </c>
      <c r="AK2236" t="s">
        <v>46</v>
      </c>
      <c r="AL2236" s="1">
        <v>44816.556041666663</v>
      </c>
      <c r="AM2236" t="s">
        <v>44</v>
      </c>
    </row>
    <row r="2237" spans="1:39" x14ac:dyDescent="0.2">
      <c r="A2237" t="s">
        <v>2156</v>
      </c>
      <c r="B2237" t="s">
        <v>40</v>
      </c>
      <c r="C2237" t="s">
        <v>2104</v>
      </c>
      <c r="D2237" t="s">
        <v>42</v>
      </c>
      <c r="E2237" t="s">
        <v>43</v>
      </c>
      <c r="F2237" t="s">
        <v>44</v>
      </c>
      <c r="G2237" t="s">
        <v>45</v>
      </c>
      <c r="AH2237" t="s">
        <v>42</v>
      </c>
      <c r="AI2237" t="str">
        <f>"66298884325557"</f>
        <v>66298884325557</v>
      </c>
      <c r="AJ2237" t="str">
        <f>"KA-2508"</f>
        <v>KA-2508</v>
      </c>
      <c r="AK2237" t="s">
        <v>46</v>
      </c>
      <c r="AL2237" s="1">
        <v>44816.55605324074</v>
      </c>
      <c r="AM2237" t="s">
        <v>44</v>
      </c>
    </row>
    <row r="2238" spans="1:39" x14ac:dyDescent="0.2">
      <c r="A2238" t="s">
        <v>2157</v>
      </c>
      <c r="B2238" t="s">
        <v>40</v>
      </c>
      <c r="C2238" t="s">
        <v>2104</v>
      </c>
      <c r="D2238" t="s">
        <v>42</v>
      </c>
      <c r="E2238" t="s">
        <v>43</v>
      </c>
      <c r="F2238" t="s">
        <v>44</v>
      </c>
      <c r="G2238" t="s">
        <v>45</v>
      </c>
      <c r="AH2238" t="s">
        <v>42</v>
      </c>
      <c r="AI2238" t="str">
        <f>"66298884365876"</f>
        <v>66298884365876</v>
      </c>
      <c r="AJ2238" t="str">
        <f>"BA-2012"</f>
        <v>BA-2012</v>
      </c>
      <c r="AK2238" t="s">
        <v>46</v>
      </c>
      <c r="AL2238" s="1">
        <v>44816.55605324074</v>
      </c>
      <c r="AM2238" t="s">
        <v>44</v>
      </c>
    </row>
    <row r="2239" spans="1:39" x14ac:dyDescent="0.2">
      <c r="A2239" t="s">
        <v>2158</v>
      </c>
      <c r="B2239" t="s">
        <v>40</v>
      </c>
      <c r="C2239" t="s">
        <v>2104</v>
      </c>
      <c r="D2239" t="s">
        <v>42</v>
      </c>
      <c r="E2239" t="s">
        <v>43</v>
      </c>
      <c r="F2239" t="s">
        <v>44</v>
      </c>
      <c r="G2239" t="s">
        <v>45</v>
      </c>
      <c r="AH2239" t="s">
        <v>42</v>
      </c>
      <c r="AI2239" t="str">
        <f>"66298884408576"</f>
        <v>66298884408576</v>
      </c>
      <c r="AJ2239" t="str">
        <f>"YA-1208"</f>
        <v>YA-1208</v>
      </c>
      <c r="AK2239" t="s">
        <v>46</v>
      </c>
      <c r="AL2239" s="1">
        <v>44816.556064814817</v>
      </c>
      <c r="AM2239" t="s">
        <v>44</v>
      </c>
    </row>
    <row r="2240" spans="1:39" x14ac:dyDescent="0.2">
      <c r="A2240" t="s">
        <v>2159</v>
      </c>
      <c r="B2240" t="s">
        <v>40</v>
      </c>
      <c r="C2240" t="s">
        <v>2104</v>
      </c>
      <c r="D2240" t="s">
        <v>42</v>
      </c>
      <c r="E2240" t="s">
        <v>43</v>
      </c>
      <c r="F2240" t="s">
        <v>44</v>
      </c>
      <c r="G2240" t="s">
        <v>45</v>
      </c>
      <c r="AH2240" t="s">
        <v>42</v>
      </c>
      <c r="AI2240" t="str">
        <f>"66298884447663"</f>
        <v>66298884447663</v>
      </c>
      <c r="AJ2240" t="str">
        <f>"54S-E4450-00HB"</f>
        <v>54S-E4450-00HB</v>
      </c>
      <c r="AK2240" t="s">
        <v>46</v>
      </c>
      <c r="AL2240" s="1">
        <v>44816.556064814817</v>
      </c>
      <c r="AM2240" t="s">
        <v>44</v>
      </c>
    </row>
    <row r="2241" spans="1:39" x14ac:dyDescent="0.2">
      <c r="A2241" t="s">
        <v>2159</v>
      </c>
      <c r="B2241" t="s">
        <v>40</v>
      </c>
      <c r="C2241" t="s">
        <v>2104</v>
      </c>
      <c r="D2241" t="s">
        <v>42</v>
      </c>
      <c r="E2241" t="s">
        <v>43</v>
      </c>
      <c r="F2241" t="s">
        <v>44</v>
      </c>
      <c r="G2241" t="s">
        <v>45</v>
      </c>
      <c r="AH2241" t="s">
        <v>42</v>
      </c>
      <c r="AI2241" t="str">
        <f>"66298884488185"</f>
        <v>66298884488185</v>
      </c>
      <c r="AJ2241" t="str">
        <f>"4D0-E4450-00HB"</f>
        <v>4D0-E4450-00HB</v>
      </c>
      <c r="AK2241" t="s">
        <v>46</v>
      </c>
      <c r="AL2241" s="1">
        <v>44816.556064814817</v>
      </c>
      <c r="AM2241" t="s">
        <v>44</v>
      </c>
    </row>
    <row r="2242" spans="1:39" x14ac:dyDescent="0.2">
      <c r="A2242" t="s">
        <v>2160</v>
      </c>
      <c r="B2242" t="s">
        <v>40</v>
      </c>
      <c r="C2242" t="s">
        <v>2104</v>
      </c>
      <c r="D2242" t="s">
        <v>42</v>
      </c>
      <c r="E2242" t="s">
        <v>43</v>
      </c>
      <c r="F2242" t="s">
        <v>44</v>
      </c>
      <c r="G2242" t="s">
        <v>45</v>
      </c>
      <c r="AH2242" t="s">
        <v>42</v>
      </c>
      <c r="AI2242" t="str">
        <f>"12483"</f>
        <v>12483</v>
      </c>
      <c r="AJ2242" t="str">
        <f>"12483"</f>
        <v>12483</v>
      </c>
      <c r="AK2242" t="s">
        <v>46</v>
      </c>
      <c r="AL2242" s="1">
        <v>44922.673738425925</v>
      </c>
      <c r="AM2242" t="s">
        <v>44</v>
      </c>
    </row>
    <row r="2243" spans="1:39" x14ac:dyDescent="0.2">
      <c r="A2243" t="s">
        <v>2161</v>
      </c>
      <c r="B2243" t="s">
        <v>40</v>
      </c>
      <c r="C2243" t="s">
        <v>2104</v>
      </c>
      <c r="D2243" t="s">
        <v>42</v>
      </c>
      <c r="E2243" t="s">
        <v>43</v>
      </c>
      <c r="F2243" t="s">
        <v>44</v>
      </c>
      <c r="G2243" t="s">
        <v>45</v>
      </c>
      <c r="AH2243" t="s">
        <v>42</v>
      </c>
      <c r="AI2243" t="str">
        <f>"49CC24"</f>
        <v>49CC24</v>
      </c>
      <c r="AJ2243" t="str">
        <f>"49CC24"</f>
        <v>49CC24</v>
      </c>
      <c r="AK2243" t="s">
        <v>46</v>
      </c>
      <c r="AL2243" s="1">
        <v>45091.911990740744</v>
      </c>
      <c r="AM2243" t="s">
        <v>44</v>
      </c>
    </row>
    <row r="2244" spans="1:39" x14ac:dyDescent="0.2">
      <c r="A2244" t="s">
        <v>2162</v>
      </c>
      <c r="B2244" t="s">
        <v>40</v>
      </c>
      <c r="C2244" t="s">
        <v>2104</v>
      </c>
      <c r="D2244" t="s">
        <v>42</v>
      </c>
      <c r="E2244" t="s">
        <v>43</v>
      </c>
      <c r="F2244" t="s">
        <v>44</v>
      </c>
      <c r="G2244" t="s">
        <v>45</v>
      </c>
      <c r="AH2244" t="s">
        <v>42</v>
      </c>
      <c r="AI2244" t="str">
        <f>"66298884529568"</f>
        <v>66298884529568</v>
      </c>
      <c r="AJ2244" t="str">
        <f>"17211-K70-600HB"</f>
        <v>17211-K70-600HB</v>
      </c>
      <c r="AK2244" t="s">
        <v>46</v>
      </c>
      <c r="AL2244" s="1">
        <v>44816.556076388886</v>
      </c>
      <c r="AM2244" t="s">
        <v>44</v>
      </c>
    </row>
    <row r="2245" spans="1:39" x14ac:dyDescent="0.2">
      <c r="A2245" t="s">
        <v>2162</v>
      </c>
      <c r="B2245" t="s">
        <v>40</v>
      </c>
      <c r="C2245" t="s">
        <v>2104</v>
      </c>
      <c r="D2245" t="s">
        <v>42</v>
      </c>
      <c r="E2245" t="s">
        <v>43</v>
      </c>
      <c r="F2245" t="s">
        <v>44</v>
      </c>
      <c r="G2245" t="s">
        <v>45</v>
      </c>
      <c r="AH2245" t="s">
        <v>42</v>
      </c>
      <c r="AI2245" t="str">
        <f>"66298884571731"</f>
        <v>66298884571731</v>
      </c>
      <c r="AJ2245" t="str">
        <f>"S038"</f>
        <v>S038</v>
      </c>
      <c r="AK2245" t="s">
        <v>46</v>
      </c>
      <c r="AL2245" s="1">
        <v>44816.556076388886</v>
      </c>
      <c r="AM2245" t="s">
        <v>44</v>
      </c>
    </row>
    <row r="2246" spans="1:39" x14ac:dyDescent="0.2">
      <c r="A2246" t="s">
        <v>2163</v>
      </c>
      <c r="B2246" t="s">
        <v>40</v>
      </c>
      <c r="C2246" t="s">
        <v>2104</v>
      </c>
      <c r="D2246" t="s">
        <v>42</v>
      </c>
      <c r="E2246" t="s">
        <v>43</v>
      </c>
      <c r="F2246" t="s">
        <v>44</v>
      </c>
      <c r="G2246" t="s">
        <v>45</v>
      </c>
      <c r="AH2246" t="s">
        <v>42</v>
      </c>
      <c r="AI2246" t="str">
        <f>"66298884613812"</f>
        <v>66298884613812</v>
      </c>
      <c r="AJ2246" t="str">
        <f>"17211-KWF-950HB"</f>
        <v>17211-KWF-950HB</v>
      </c>
      <c r="AK2246" t="s">
        <v>46</v>
      </c>
      <c r="AL2246" s="1">
        <v>44816.556087962963</v>
      </c>
      <c r="AM2246" t="s">
        <v>44</v>
      </c>
    </row>
    <row r="2247" spans="1:39" x14ac:dyDescent="0.2">
      <c r="A2247" t="s">
        <v>2164</v>
      </c>
      <c r="B2247" t="s">
        <v>40</v>
      </c>
      <c r="C2247" t="s">
        <v>2104</v>
      </c>
      <c r="D2247" t="s">
        <v>42</v>
      </c>
      <c r="E2247" t="s">
        <v>43</v>
      </c>
      <c r="F2247" t="s">
        <v>44</v>
      </c>
      <c r="G2247" t="s">
        <v>45</v>
      </c>
      <c r="AH2247" t="s">
        <v>42</v>
      </c>
      <c r="AI2247" t="str">
        <f>"66298884654202"</f>
        <v>66298884654202</v>
      </c>
      <c r="AJ2247" t="str">
        <f>"400172"</f>
        <v>400172</v>
      </c>
      <c r="AK2247" t="s">
        <v>46</v>
      </c>
      <c r="AL2247" s="1">
        <v>44816.556087962963</v>
      </c>
      <c r="AM2247" t="s">
        <v>44</v>
      </c>
    </row>
    <row r="2248" spans="1:39" x14ac:dyDescent="0.2">
      <c r="A2248" t="s">
        <v>2165</v>
      </c>
      <c r="B2248" t="s">
        <v>40</v>
      </c>
      <c r="C2248" t="s">
        <v>2104</v>
      </c>
      <c r="D2248" t="s">
        <v>42</v>
      </c>
      <c r="E2248" t="s">
        <v>43</v>
      </c>
      <c r="F2248" t="s">
        <v>44</v>
      </c>
      <c r="G2248" t="s">
        <v>45</v>
      </c>
      <c r="AH2248" t="s">
        <v>42</v>
      </c>
      <c r="AI2248" t="str">
        <f>"66298884692045"</f>
        <v>66298884692045</v>
      </c>
      <c r="AJ2248" t="str">
        <f>"17211-KSP-900HB"</f>
        <v>17211-KSP-900HB</v>
      </c>
      <c r="AK2248" t="s">
        <v>46</v>
      </c>
      <c r="AL2248" s="1">
        <v>44816.556087962963</v>
      </c>
      <c r="AM2248" t="s">
        <v>44</v>
      </c>
    </row>
    <row r="2249" spans="1:39" x14ac:dyDescent="0.2">
      <c r="A2249" t="s">
        <v>2166</v>
      </c>
      <c r="B2249" t="s">
        <v>40</v>
      </c>
      <c r="C2249" t="s">
        <v>2104</v>
      </c>
      <c r="D2249" t="s">
        <v>42</v>
      </c>
      <c r="E2249" t="s">
        <v>43</v>
      </c>
      <c r="F2249" t="s">
        <v>44</v>
      </c>
      <c r="G2249" t="s">
        <v>45</v>
      </c>
      <c r="AH2249" t="s">
        <v>42</v>
      </c>
      <c r="AI2249" t="str">
        <f>"66298884781917"</f>
        <v>66298884781917</v>
      </c>
      <c r="AJ2249" t="str">
        <f>"17211-KYJ-640HB"</f>
        <v>17211-KYJ-640HB</v>
      </c>
      <c r="AK2249" t="s">
        <v>46</v>
      </c>
      <c r="AL2249" s="1">
        <v>44816.55609953704</v>
      </c>
      <c r="AM2249" t="s">
        <v>44</v>
      </c>
    </row>
    <row r="2250" spans="1:39" x14ac:dyDescent="0.2">
      <c r="A2250" t="s">
        <v>2167</v>
      </c>
      <c r="B2250" t="s">
        <v>40</v>
      </c>
      <c r="C2250" t="s">
        <v>2104</v>
      </c>
      <c r="D2250" t="s">
        <v>42</v>
      </c>
      <c r="E2250" t="s">
        <v>43</v>
      </c>
      <c r="F2250" t="s">
        <v>44</v>
      </c>
      <c r="G2250" t="s">
        <v>45</v>
      </c>
      <c r="AH2250" t="s">
        <v>42</v>
      </c>
      <c r="AI2250" t="str">
        <f>"66298884736504"</f>
        <v>66298884736504</v>
      </c>
      <c r="AJ2250" t="str">
        <f>"S024"</f>
        <v>S024</v>
      </c>
      <c r="AK2250" t="s">
        <v>46</v>
      </c>
      <c r="AL2250" s="1">
        <v>44816.55609953704</v>
      </c>
      <c r="AM2250" t="s">
        <v>44</v>
      </c>
    </row>
    <row r="2251" spans="1:39" x14ac:dyDescent="0.2">
      <c r="A2251" t="s">
        <v>2168</v>
      </c>
      <c r="B2251" t="s">
        <v>40</v>
      </c>
      <c r="C2251" t="s">
        <v>2104</v>
      </c>
      <c r="D2251" t="s">
        <v>42</v>
      </c>
      <c r="E2251" t="s">
        <v>43</v>
      </c>
      <c r="F2251" t="s">
        <v>44</v>
      </c>
      <c r="G2251" t="s">
        <v>45</v>
      </c>
      <c r="AH2251" t="s">
        <v>42</v>
      </c>
      <c r="AI2251" t="str">
        <f>"66298884830308"</f>
        <v>66298884830308</v>
      </c>
      <c r="AJ2251" t="str">
        <f>"17213-KPF-960HB"</f>
        <v>17213-KPF-960HB</v>
      </c>
      <c r="AK2251" t="s">
        <v>46</v>
      </c>
      <c r="AL2251" s="1">
        <v>44816.556111111109</v>
      </c>
      <c r="AM2251" t="s">
        <v>44</v>
      </c>
    </row>
    <row r="2252" spans="1:39" x14ac:dyDescent="0.2">
      <c r="A2252" t="s">
        <v>2168</v>
      </c>
      <c r="B2252" t="s">
        <v>40</v>
      </c>
      <c r="C2252" t="s">
        <v>2104</v>
      </c>
      <c r="D2252" t="s">
        <v>42</v>
      </c>
      <c r="E2252" t="s">
        <v>43</v>
      </c>
      <c r="F2252" t="s">
        <v>44</v>
      </c>
      <c r="G2252" t="s">
        <v>45</v>
      </c>
      <c r="AH2252" t="s">
        <v>42</v>
      </c>
      <c r="AI2252" t="str">
        <f>"66298884836635"</f>
        <v>66298884836635</v>
      </c>
      <c r="AJ2252" t="str">
        <f>"82020"</f>
        <v>82020</v>
      </c>
      <c r="AK2252" t="s">
        <v>46</v>
      </c>
      <c r="AL2252" s="1">
        <v>44816.556111111109</v>
      </c>
      <c r="AM2252" t="s">
        <v>44</v>
      </c>
    </row>
    <row r="2253" spans="1:39" x14ac:dyDescent="0.2">
      <c r="A2253" t="s">
        <v>2169</v>
      </c>
      <c r="B2253" t="s">
        <v>40</v>
      </c>
      <c r="C2253" t="s">
        <v>2104</v>
      </c>
      <c r="D2253" t="s">
        <v>42</v>
      </c>
      <c r="E2253" t="s">
        <v>43</v>
      </c>
      <c r="F2253" t="s">
        <v>44</v>
      </c>
      <c r="G2253" t="s">
        <v>45</v>
      </c>
      <c r="AH2253" t="s">
        <v>42</v>
      </c>
      <c r="AI2253" t="str">
        <f>"66298884888679"</f>
        <v>66298884888679</v>
      </c>
      <c r="AJ2253" t="str">
        <f>"17213-397-003"</f>
        <v>17213-397-003</v>
      </c>
      <c r="AK2253" t="s">
        <v>46</v>
      </c>
      <c r="AL2253" s="1">
        <v>44816.556111111109</v>
      </c>
      <c r="AM2253" t="s">
        <v>44</v>
      </c>
    </row>
    <row r="2254" spans="1:39" x14ac:dyDescent="0.2">
      <c r="A2254" t="s">
        <v>2170</v>
      </c>
      <c r="B2254" t="s">
        <v>40</v>
      </c>
      <c r="C2254" t="s">
        <v>2104</v>
      </c>
      <c r="D2254" t="s">
        <v>42</v>
      </c>
      <c r="E2254" t="s">
        <v>43</v>
      </c>
      <c r="F2254" t="s">
        <v>44</v>
      </c>
      <c r="G2254" t="s">
        <v>45</v>
      </c>
      <c r="AH2254" t="s">
        <v>42</v>
      </c>
      <c r="AI2254" t="str">
        <f>"66298884934540"</f>
        <v>66298884934540</v>
      </c>
      <c r="AJ2254" t="str">
        <f>"13538"</f>
        <v>13538</v>
      </c>
      <c r="AK2254" t="s">
        <v>46</v>
      </c>
      <c r="AL2254" s="1">
        <v>44816.556122685186</v>
      </c>
      <c r="AM2254" t="s">
        <v>44</v>
      </c>
    </row>
    <row r="2255" spans="1:39" x14ac:dyDescent="0.2">
      <c r="A2255" t="s">
        <v>2171</v>
      </c>
      <c r="B2255" t="s">
        <v>40</v>
      </c>
      <c r="C2255" t="s">
        <v>2104</v>
      </c>
      <c r="D2255" t="s">
        <v>42</v>
      </c>
      <c r="E2255" t="s">
        <v>43</v>
      </c>
      <c r="F2255" t="s">
        <v>44</v>
      </c>
      <c r="G2255" t="s">
        <v>45</v>
      </c>
      <c r="AH2255" t="s">
        <v>42</v>
      </c>
      <c r="AI2255" t="str">
        <f>"66298884976362"</f>
        <v>66298884976362</v>
      </c>
      <c r="AJ2255" t="str">
        <f>"1535R"</f>
        <v>1535R</v>
      </c>
      <c r="AK2255" t="s">
        <v>46</v>
      </c>
      <c r="AL2255" s="1">
        <v>44816.556122685186</v>
      </c>
      <c r="AM2255" t="s">
        <v>44</v>
      </c>
    </row>
    <row r="2256" spans="1:39" x14ac:dyDescent="0.2">
      <c r="A2256" t="s">
        <v>2172</v>
      </c>
      <c r="B2256" t="s">
        <v>40</v>
      </c>
      <c r="C2256" t="s">
        <v>2104</v>
      </c>
      <c r="D2256" t="s">
        <v>42</v>
      </c>
      <c r="E2256" t="s">
        <v>43</v>
      </c>
      <c r="F2256" t="s">
        <v>44</v>
      </c>
      <c r="G2256" t="s">
        <v>45</v>
      </c>
      <c r="AH2256" t="s">
        <v>42</v>
      </c>
      <c r="AI2256" t="str">
        <f>"1435C"</f>
        <v>1435C</v>
      </c>
      <c r="AJ2256" t="str">
        <f>"1435C"</f>
        <v>1435C</v>
      </c>
      <c r="AK2256" t="s">
        <v>46</v>
      </c>
      <c r="AL2256" s="1">
        <v>45091.915335648147</v>
      </c>
      <c r="AM2256" t="s">
        <v>44</v>
      </c>
    </row>
    <row r="2257" spans="1:39" x14ac:dyDescent="0.2">
      <c r="A2257" t="s">
        <v>2173</v>
      </c>
      <c r="B2257" t="s">
        <v>40</v>
      </c>
      <c r="C2257" t="s">
        <v>2104</v>
      </c>
      <c r="D2257" t="s">
        <v>42</v>
      </c>
      <c r="E2257" t="s">
        <v>43</v>
      </c>
      <c r="F2257" t="s">
        <v>44</v>
      </c>
      <c r="G2257" t="s">
        <v>45</v>
      </c>
      <c r="AH2257" t="s">
        <v>42</v>
      </c>
      <c r="AI2257" t="str">
        <f>"66298885015660"</f>
        <v>66298885015660</v>
      </c>
      <c r="AJ2257" t="str">
        <f>"400794"</f>
        <v>400794</v>
      </c>
      <c r="AK2257" t="s">
        <v>46</v>
      </c>
      <c r="AL2257" s="1">
        <v>44816.556134259263</v>
      </c>
      <c r="AM2257" t="s">
        <v>44</v>
      </c>
    </row>
    <row r="2258" spans="1:39" x14ac:dyDescent="0.2">
      <c r="A2258" t="s">
        <v>2174</v>
      </c>
      <c r="B2258" t="s">
        <v>40</v>
      </c>
      <c r="C2258" t="s">
        <v>2104</v>
      </c>
      <c r="D2258" t="s">
        <v>42</v>
      </c>
      <c r="E2258" t="s">
        <v>43</v>
      </c>
      <c r="F2258" t="s">
        <v>44</v>
      </c>
      <c r="G2258" t="s">
        <v>45</v>
      </c>
      <c r="AH2258" t="s">
        <v>42</v>
      </c>
      <c r="AI2258" t="str">
        <f>"12895-F"</f>
        <v>12895-F</v>
      </c>
      <c r="AJ2258" t="str">
        <f>"12895-F"</f>
        <v>12895-F</v>
      </c>
      <c r="AK2258" t="s">
        <v>46</v>
      </c>
      <c r="AL2258" s="1">
        <v>45148.63140046296</v>
      </c>
      <c r="AM2258" t="s">
        <v>44</v>
      </c>
    </row>
    <row r="2259" spans="1:39" x14ac:dyDescent="0.2">
      <c r="A2259" t="s">
        <v>2175</v>
      </c>
      <c r="B2259" t="s">
        <v>40</v>
      </c>
      <c r="C2259" t="s">
        <v>2104</v>
      </c>
      <c r="D2259" t="s">
        <v>42</v>
      </c>
      <c r="E2259" t="s">
        <v>43</v>
      </c>
      <c r="F2259" t="s">
        <v>44</v>
      </c>
      <c r="G2259" t="s">
        <v>45</v>
      </c>
      <c r="AH2259" t="s">
        <v>42</v>
      </c>
      <c r="AI2259" t="str">
        <f>"66298885056060"</f>
        <v>66298885056060</v>
      </c>
      <c r="AJ2259" t="str">
        <f>"DX-1210-10"</f>
        <v>DX-1210-10</v>
      </c>
      <c r="AK2259" t="s">
        <v>46</v>
      </c>
      <c r="AL2259" s="1">
        <v>44816.556134259263</v>
      </c>
      <c r="AM2259" t="s">
        <v>44</v>
      </c>
    </row>
    <row r="2260" spans="1:39" x14ac:dyDescent="0.2">
      <c r="A2260" t="s">
        <v>2176</v>
      </c>
      <c r="B2260" t="s">
        <v>40</v>
      </c>
      <c r="C2260" t="s">
        <v>2104</v>
      </c>
      <c r="D2260" t="s">
        <v>42</v>
      </c>
      <c r="E2260" t="s">
        <v>43</v>
      </c>
      <c r="F2260" t="s">
        <v>44</v>
      </c>
      <c r="G2260" t="s">
        <v>45</v>
      </c>
      <c r="AH2260" t="s">
        <v>42</v>
      </c>
      <c r="AI2260" t="str">
        <f>"66298885095983"</f>
        <v>66298885095983</v>
      </c>
      <c r="AJ2260" t="str">
        <f>"13780-27G10HB"</f>
        <v>13780-27G10HB</v>
      </c>
      <c r="AK2260" t="s">
        <v>46</v>
      </c>
      <c r="AL2260" s="1">
        <v>44816.556134259263</v>
      </c>
      <c r="AM2260" t="s">
        <v>44</v>
      </c>
    </row>
    <row r="2261" spans="1:39" x14ac:dyDescent="0.2">
      <c r="A2261" t="s">
        <v>2177</v>
      </c>
      <c r="B2261" t="s">
        <v>40</v>
      </c>
      <c r="C2261" t="s">
        <v>2104</v>
      </c>
      <c r="D2261" t="s">
        <v>42</v>
      </c>
      <c r="E2261" t="s">
        <v>43</v>
      </c>
      <c r="F2261" t="s">
        <v>44</v>
      </c>
      <c r="G2261" t="s">
        <v>45</v>
      </c>
      <c r="AH2261" t="s">
        <v>42</v>
      </c>
      <c r="AI2261" t="str">
        <f>"13780H2J000H000"</f>
        <v>13780H2J000H000</v>
      </c>
      <c r="AJ2261" t="str">
        <f>"13780H2J000H000"</f>
        <v>13780H2J000H000</v>
      </c>
      <c r="AK2261" t="s">
        <v>46</v>
      </c>
      <c r="AL2261" s="1">
        <v>45021.882418981484</v>
      </c>
      <c r="AM2261" t="s">
        <v>44</v>
      </c>
    </row>
    <row r="2262" spans="1:39" x14ac:dyDescent="0.2">
      <c r="A2262" t="s">
        <v>2178</v>
      </c>
      <c r="B2262" t="s">
        <v>40</v>
      </c>
      <c r="C2262" t="s">
        <v>2104</v>
      </c>
      <c r="D2262" t="s">
        <v>42</v>
      </c>
      <c r="E2262" t="s">
        <v>43</v>
      </c>
      <c r="F2262" t="s">
        <v>44</v>
      </c>
      <c r="G2262" t="s">
        <v>45</v>
      </c>
      <c r="AH2262" t="s">
        <v>42</v>
      </c>
      <c r="AI2262" t="str">
        <f>"66298885135465"</f>
        <v>66298885135465</v>
      </c>
      <c r="AJ2262" t="str">
        <f>"13780-42A01HB"</f>
        <v>13780-42A01HB</v>
      </c>
      <c r="AK2262" t="s">
        <v>46</v>
      </c>
      <c r="AL2262" s="1">
        <v>44816.556145833332</v>
      </c>
      <c r="AM2262" t="s">
        <v>44</v>
      </c>
    </row>
    <row r="2263" spans="1:39" x14ac:dyDescent="0.2">
      <c r="A2263" t="s">
        <v>2179</v>
      </c>
      <c r="B2263" t="s">
        <v>40</v>
      </c>
      <c r="C2263" t="s">
        <v>2104</v>
      </c>
      <c r="D2263" t="s">
        <v>42</v>
      </c>
      <c r="E2263" t="s">
        <v>43</v>
      </c>
      <c r="F2263" t="s">
        <v>44</v>
      </c>
      <c r="G2263" t="s">
        <v>45</v>
      </c>
      <c r="AH2263" t="s">
        <v>42</v>
      </c>
      <c r="AI2263" t="str">
        <f>"66298885174021"</f>
        <v>66298885174021</v>
      </c>
      <c r="AJ2263" t="str">
        <f>"13780-32E00HB"</f>
        <v>13780-32E00HB</v>
      </c>
      <c r="AK2263" t="s">
        <v>46</v>
      </c>
      <c r="AL2263" s="1">
        <v>44816.556145833332</v>
      </c>
      <c r="AM2263" t="s">
        <v>44</v>
      </c>
    </row>
    <row r="2264" spans="1:39" x14ac:dyDescent="0.2">
      <c r="A2264" t="s">
        <v>2180</v>
      </c>
      <c r="B2264" t="s">
        <v>40</v>
      </c>
      <c r="C2264" t="s">
        <v>2104</v>
      </c>
      <c r="D2264" t="s">
        <v>42</v>
      </c>
      <c r="E2264" t="s">
        <v>43</v>
      </c>
      <c r="F2264" t="s">
        <v>44</v>
      </c>
      <c r="G2264" t="s">
        <v>45</v>
      </c>
      <c r="AH2264" t="s">
        <v>42</v>
      </c>
      <c r="AI2264" t="str">
        <f>"12216"</f>
        <v>12216</v>
      </c>
      <c r="AJ2264" t="str">
        <f>"12216"</f>
        <v>12216</v>
      </c>
      <c r="AK2264" t="s">
        <v>46</v>
      </c>
      <c r="AL2264" s="1">
        <v>44952.864571759259</v>
      </c>
      <c r="AM2264" t="s">
        <v>44</v>
      </c>
    </row>
    <row r="2265" spans="1:39" x14ac:dyDescent="0.2">
      <c r="A2265" t="s">
        <v>2181</v>
      </c>
      <c r="B2265" t="s">
        <v>40</v>
      </c>
      <c r="C2265" t="s">
        <v>2104</v>
      </c>
      <c r="D2265" t="s">
        <v>42</v>
      </c>
      <c r="E2265" t="s">
        <v>43</v>
      </c>
      <c r="F2265" t="s">
        <v>44</v>
      </c>
      <c r="G2265" t="s">
        <v>45</v>
      </c>
      <c r="AH2265" t="s">
        <v>42</v>
      </c>
      <c r="AI2265" t="str">
        <f>"66298885212952"</f>
        <v>66298885212952</v>
      </c>
      <c r="AJ2265" t="str">
        <f>"17211-KSY-900HB"</f>
        <v>17211-KSY-900HB</v>
      </c>
      <c r="AK2265" t="s">
        <v>46</v>
      </c>
      <c r="AL2265" s="1">
        <v>44816.556157407409</v>
      </c>
      <c r="AM2265" t="s">
        <v>44</v>
      </c>
    </row>
    <row r="2266" spans="1:39" x14ac:dyDescent="0.2">
      <c r="A2266" t="s">
        <v>2182</v>
      </c>
      <c r="B2266" t="s">
        <v>40</v>
      </c>
      <c r="C2266" t="s">
        <v>2104</v>
      </c>
      <c r="D2266" t="s">
        <v>42</v>
      </c>
      <c r="E2266" t="s">
        <v>43</v>
      </c>
      <c r="F2266" t="s">
        <v>44</v>
      </c>
      <c r="G2266" t="s">
        <v>45</v>
      </c>
      <c r="AH2266" t="s">
        <v>42</v>
      </c>
      <c r="AI2266" t="str">
        <f>"10550"</f>
        <v>10550</v>
      </c>
      <c r="AJ2266" t="str">
        <f>"10550"</f>
        <v>10550</v>
      </c>
      <c r="AK2266" t="s">
        <v>46</v>
      </c>
      <c r="AL2266" s="1">
        <v>45069.582708333335</v>
      </c>
      <c r="AM2266" t="s">
        <v>44</v>
      </c>
    </row>
    <row r="2267" spans="1:39" x14ac:dyDescent="0.2">
      <c r="A2267" t="s">
        <v>2183</v>
      </c>
      <c r="B2267" t="s">
        <v>40</v>
      </c>
      <c r="C2267" t="s">
        <v>2104</v>
      </c>
      <c r="D2267" t="s">
        <v>42</v>
      </c>
      <c r="E2267" t="s">
        <v>43</v>
      </c>
      <c r="F2267" t="s">
        <v>44</v>
      </c>
      <c r="G2267" t="s">
        <v>45</v>
      </c>
      <c r="AH2267" t="s">
        <v>42</v>
      </c>
      <c r="AI2267" t="str">
        <f>"66298885294715"</f>
        <v>66298885294715</v>
      </c>
      <c r="AJ2267" t="str">
        <f>"21C-E4450-00"</f>
        <v>21C-E4450-00</v>
      </c>
      <c r="AK2267" t="s">
        <v>46</v>
      </c>
      <c r="AL2267" s="1">
        <v>44816.556157407409</v>
      </c>
      <c r="AM2267" t="s">
        <v>44</v>
      </c>
    </row>
    <row r="2268" spans="1:39" x14ac:dyDescent="0.2">
      <c r="A2268" t="s">
        <v>2184</v>
      </c>
      <c r="B2268" t="s">
        <v>40</v>
      </c>
      <c r="C2268" t="s">
        <v>2104</v>
      </c>
      <c r="D2268" t="s">
        <v>42</v>
      </c>
      <c r="E2268" t="s">
        <v>43</v>
      </c>
      <c r="F2268" t="s">
        <v>44</v>
      </c>
      <c r="G2268" t="s">
        <v>45</v>
      </c>
      <c r="AH2268" t="s">
        <v>42</v>
      </c>
      <c r="AI2268" t="str">
        <f>"66298885343080"</f>
        <v>66298885343080</v>
      </c>
      <c r="AJ2268" t="str">
        <f>"400173"</f>
        <v>400173</v>
      </c>
      <c r="AK2268" t="s">
        <v>46</v>
      </c>
      <c r="AL2268" s="1">
        <v>44816.556168981479</v>
      </c>
      <c r="AM2268" t="s">
        <v>44</v>
      </c>
    </row>
    <row r="2269" spans="1:39" x14ac:dyDescent="0.2">
      <c r="A2269" t="s">
        <v>2185</v>
      </c>
      <c r="B2269" t="s">
        <v>40</v>
      </c>
      <c r="C2269" t="s">
        <v>2104</v>
      </c>
      <c r="D2269" t="s">
        <v>42</v>
      </c>
      <c r="E2269" t="s">
        <v>43</v>
      </c>
      <c r="F2269" t="s">
        <v>44</v>
      </c>
      <c r="G2269" t="s">
        <v>45</v>
      </c>
      <c r="AH2269" t="s">
        <v>42</v>
      </c>
      <c r="AI2269" t="str">
        <f>"66298885252434"</f>
        <v>66298885252434</v>
      </c>
      <c r="AJ2269" t="str">
        <f>"S002"</f>
        <v>S002</v>
      </c>
      <c r="AK2269" t="s">
        <v>46</v>
      </c>
      <c r="AL2269" s="1">
        <v>44816.556157407409</v>
      </c>
      <c r="AM2269" t="s">
        <v>44</v>
      </c>
    </row>
    <row r="2270" spans="1:39" x14ac:dyDescent="0.2">
      <c r="A2270" t="s">
        <v>2185</v>
      </c>
      <c r="B2270" t="s">
        <v>40</v>
      </c>
      <c r="C2270" t="s">
        <v>2104</v>
      </c>
      <c r="D2270" t="s">
        <v>42</v>
      </c>
      <c r="E2270" t="s">
        <v>43</v>
      </c>
      <c r="F2270" t="s">
        <v>44</v>
      </c>
      <c r="G2270" t="s">
        <v>45</v>
      </c>
      <c r="AH2270" t="s">
        <v>42</v>
      </c>
      <c r="AI2270" t="str">
        <f>"13540"</f>
        <v>13540</v>
      </c>
      <c r="AJ2270" t="str">
        <f>"13540"</f>
        <v>13540</v>
      </c>
      <c r="AK2270" t="s">
        <v>46</v>
      </c>
      <c r="AL2270" s="1">
        <v>45091.912731481483</v>
      </c>
      <c r="AM2270" t="s">
        <v>44</v>
      </c>
    </row>
    <row r="2271" spans="1:39" x14ac:dyDescent="0.2">
      <c r="A2271" t="s">
        <v>2186</v>
      </c>
      <c r="B2271" t="s">
        <v>40</v>
      </c>
      <c r="C2271" t="s">
        <v>2104</v>
      </c>
      <c r="D2271" t="s">
        <v>42</v>
      </c>
      <c r="E2271" t="s">
        <v>43</v>
      </c>
      <c r="F2271" t="s">
        <v>44</v>
      </c>
      <c r="G2271" t="s">
        <v>45</v>
      </c>
      <c r="AH2271" t="s">
        <v>42</v>
      </c>
      <c r="AI2271" t="str">
        <f>"S4V0485200066"</f>
        <v>S4V0485200066</v>
      </c>
      <c r="AJ2271" t="str">
        <f>"S4V0485200066"</f>
        <v>S4V0485200066</v>
      </c>
      <c r="AK2271" t="s">
        <v>46</v>
      </c>
      <c r="AL2271" s="1">
        <v>44943.545335648145</v>
      </c>
      <c r="AM2271" t="s">
        <v>44</v>
      </c>
    </row>
    <row r="2272" spans="1:39" x14ac:dyDescent="0.2">
      <c r="A2272" t="s">
        <v>2187</v>
      </c>
      <c r="B2272" t="s">
        <v>40</v>
      </c>
      <c r="C2272" t="s">
        <v>2104</v>
      </c>
      <c r="D2272" t="s">
        <v>42</v>
      </c>
      <c r="E2272" t="s">
        <v>43</v>
      </c>
      <c r="F2272" t="s">
        <v>44</v>
      </c>
      <c r="G2272" t="s">
        <v>45</v>
      </c>
      <c r="AH2272" t="s">
        <v>42</v>
      </c>
      <c r="AI2272" t="str">
        <f>"66298885382653"</f>
        <v>66298885382653</v>
      </c>
      <c r="AJ2272" t="str">
        <f>"5VX-14451-00HB"</f>
        <v>5VX-14451-00HB</v>
      </c>
      <c r="AK2272" t="s">
        <v>46</v>
      </c>
      <c r="AL2272" s="1">
        <v>44816.556168981479</v>
      </c>
      <c r="AM2272" t="s">
        <v>44</v>
      </c>
    </row>
    <row r="2273" spans="1:39" x14ac:dyDescent="0.2">
      <c r="A2273" t="s">
        <v>2188</v>
      </c>
      <c r="B2273" t="s">
        <v>40</v>
      </c>
      <c r="C2273" t="s">
        <v>2104</v>
      </c>
      <c r="D2273" t="s">
        <v>42</v>
      </c>
      <c r="E2273" t="s">
        <v>43</v>
      </c>
      <c r="F2273" t="s">
        <v>44</v>
      </c>
      <c r="G2273" t="s">
        <v>45</v>
      </c>
      <c r="AH2273" t="s">
        <v>42</v>
      </c>
      <c r="AI2273" t="str">
        <f>"66298885468255"</f>
        <v>66298885468255</v>
      </c>
      <c r="AJ2273" t="str">
        <f>"S026"</f>
        <v>S026</v>
      </c>
      <c r="AK2273" t="s">
        <v>46</v>
      </c>
      <c r="AL2273" s="1">
        <v>44816.556180555555</v>
      </c>
      <c r="AM2273" t="s">
        <v>44</v>
      </c>
    </row>
    <row r="2274" spans="1:39" x14ac:dyDescent="0.2">
      <c r="A2274" t="s">
        <v>2189</v>
      </c>
      <c r="B2274" t="s">
        <v>40</v>
      </c>
      <c r="C2274" t="s">
        <v>2104</v>
      </c>
      <c r="D2274" t="s">
        <v>42</v>
      </c>
      <c r="E2274" t="s">
        <v>43</v>
      </c>
      <c r="F2274" t="s">
        <v>44</v>
      </c>
      <c r="G2274" t="s">
        <v>45</v>
      </c>
      <c r="AH2274" t="s">
        <v>42</v>
      </c>
      <c r="AI2274" t="str">
        <f>"66298885426943"</f>
        <v>66298885426943</v>
      </c>
      <c r="AJ2274" t="str">
        <f>"2GS-E4450-00HB"</f>
        <v>2GS-E4450-00HB</v>
      </c>
      <c r="AK2274" t="s">
        <v>46</v>
      </c>
      <c r="AL2274" s="1">
        <v>44816.556180555555</v>
      </c>
      <c r="AM2274" t="s">
        <v>44</v>
      </c>
    </row>
    <row r="2275" spans="1:39" x14ac:dyDescent="0.2">
      <c r="A2275" t="s">
        <v>2190</v>
      </c>
      <c r="B2275" t="s">
        <v>40</v>
      </c>
      <c r="C2275" t="s">
        <v>2104</v>
      </c>
      <c r="D2275" t="s">
        <v>42</v>
      </c>
      <c r="E2275" t="s">
        <v>43</v>
      </c>
      <c r="F2275" t="s">
        <v>44</v>
      </c>
      <c r="G2275" t="s">
        <v>45</v>
      </c>
      <c r="AH2275" t="s">
        <v>42</v>
      </c>
      <c r="AI2275" t="str">
        <f>"66298885511699"</f>
        <v>66298885511699</v>
      </c>
      <c r="AJ2275" t="str">
        <f>"13780-34J00HB"</f>
        <v>13780-34J00HB</v>
      </c>
      <c r="AK2275" t="s">
        <v>46</v>
      </c>
      <c r="AL2275" s="1">
        <v>44816.556192129632</v>
      </c>
      <c r="AM2275" t="s">
        <v>44</v>
      </c>
    </row>
    <row r="2276" spans="1:39" x14ac:dyDescent="0.2">
      <c r="A2276" t="s">
        <v>2190</v>
      </c>
      <c r="B2276" t="s">
        <v>40</v>
      </c>
      <c r="C2276" t="s">
        <v>2104</v>
      </c>
      <c r="D2276" t="s">
        <v>42</v>
      </c>
      <c r="E2276" t="s">
        <v>43</v>
      </c>
      <c r="F2276" t="s">
        <v>44</v>
      </c>
      <c r="G2276" t="s">
        <v>45</v>
      </c>
      <c r="AH2276" t="s">
        <v>42</v>
      </c>
      <c r="AI2276" t="str">
        <f>"66298885518040"</f>
        <v>66298885518040</v>
      </c>
      <c r="AJ2276" t="str">
        <f>"S037"</f>
        <v>S037</v>
      </c>
      <c r="AK2276" t="s">
        <v>46</v>
      </c>
      <c r="AL2276" s="1">
        <v>44816.556192129632</v>
      </c>
      <c r="AM2276" t="s">
        <v>44</v>
      </c>
    </row>
    <row r="2277" spans="1:39" x14ac:dyDescent="0.2">
      <c r="A2277" t="s">
        <v>2191</v>
      </c>
      <c r="B2277" t="s">
        <v>40</v>
      </c>
      <c r="C2277" t="s">
        <v>2104</v>
      </c>
      <c r="D2277" t="s">
        <v>42</v>
      </c>
      <c r="E2277" t="s">
        <v>43</v>
      </c>
      <c r="F2277" t="s">
        <v>44</v>
      </c>
      <c r="G2277" t="s">
        <v>45</v>
      </c>
      <c r="AH2277" t="s">
        <v>42</v>
      </c>
      <c r="AI2277" t="str">
        <f>"66298885568867"</f>
        <v>66298885568867</v>
      </c>
      <c r="AJ2277" t="str">
        <f>"13780-45F00-000"</f>
        <v>13780-45F00-000</v>
      </c>
      <c r="AK2277" t="s">
        <v>46</v>
      </c>
      <c r="AL2277" s="1">
        <v>44816.556192129632</v>
      </c>
      <c r="AM2277" t="s">
        <v>44</v>
      </c>
    </row>
    <row r="2278" spans="1:39" x14ac:dyDescent="0.2">
      <c r="A2278" t="s">
        <v>2192</v>
      </c>
      <c r="B2278" t="s">
        <v>40</v>
      </c>
      <c r="C2278" t="s">
        <v>2104</v>
      </c>
      <c r="D2278" t="s">
        <v>42</v>
      </c>
      <c r="E2278" t="s">
        <v>43</v>
      </c>
      <c r="F2278" t="s">
        <v>44</v>
      </c>
      <c r="G2278" t="s">
        <v>45</v>
      </c>
      <c r="AH2278" t="s">
        <v>42</v>
      </c>
      <c r="AI2278" t="str">
        <f>"13780-38301-000"</f>
        <v>13780-38301-000</v>
      </c>
      <c r="AJ2278" t="str">
        <f>"13780-38301-000"</f>
        <v>13780-38301-000</v>
      </c>
      <c r="AK2278" t="s">
        <v>46</v>
      </c>
      <c r="AL2278" s="1">
        <v>44816.556203703702</v>
      </c>
      <c r="AM2278" t="s">
        <v>44</v>
      </c>
    </row>
    <row r="2279" spans="1:39" x14ac:dyDescent="0.2">
      <c r="A2279" t="s">
        <v>2193</v>
      </c>
      <c r="B2279" t="s">
        <v>40</v>
      </c>
      <c r="C2279" t="s">
        <v>2104</v>
      </c>
      <c r="D2279" t="s">
        <v>42</v>
      </c>
      <c r="E2279" t="s">
        <v>43</v>
      </c>
      <c r="F2279" t="s">
        <v>44</v>
      </c>
      <c r="G2279" t="s">
        <v>45</v>
      </c>
      <c r="AH2279" t="s">
        <v>42</v>
      </c>
      <c r="AI2279" t="str">
        <f>"66298885609302"</f>
        <v>66298885609302</v>
      </c>
      <c r="AJ2279" t="str">
        <f>"A048"</f>
        <v>A048</v>
      </c>
      <c r="AK2279" t="s">
        <v>46</v>
      </c>
      <c r="AL2279" s="1">
        <v>44816.556203703702</v>
      </c>
      <c r="AM2279" t="s">
        <v>44</v>
      </c>
    </row>
    <row r="2280" spans="1:39" x14ac:dyDescent="0.2">
      <c r="A2280" t="s">
        <v>2194</v>
      </c>
      <c r="B2280" t="s">
        <v>40</v>
      </c>
      <c r="C2280" t="s">
        <v>2104</v>
      </c>
      <c r="D2280" t="s">
        <v>42</v>
      </c>
      <c r="E2280" t="s">
        <v>43</v>
      </c>
      <c r="F2280" t="s">
        <v>44</v>
      </c>
      <c r="G2280" t="s">
        <v>45</v>
      </c>
      <c r="AH2280" t="s">
        <v>42</v>
      </c>
      <c r="AI2280" t="str">
        <f>"13780-30H10-00HB"</f>
        <v>13780-30H10-00HB</v>
      </c>
      <c r="AJ2280" t="str">
        <f>"13780-30H10-00HB"</f>
        <v>13780-30H10-00HB</v>
      </c>
      <c r="AK2280" t="s">
        <v>46</v>
      </c>
      <c r="AL2280" s="1">
        <v>45091.913437499999</v>
      </c>
      <c r="AM2280" t="s">
        <v>44</v>
      </c>
    </row>
    <row r="2281" spans="1:39" x14ac:dyDescent="0.2">
      <c r="A2281" t="s">
        <v>2195</v>
      </c>
      <c r="B2281" t="s">
        <v>40</v>
      </c>
      <c r="C2281" t="s">
        <v>2104</v>
      </c>
      <c r="D2281" t="s">
        <v>42</v>
      </c>
      <c r="E2281" t="s">
        <v>43</v>
      </c>
      <c r="F2281" t="s">
        <v>44</v>
      </c>
      <c r="G2281" t="s">
        <v>45</v>
      </c>
      <c r="AH2281" t="s">
        <v>42</v>
      </c>
      <c r="AI2281" t="str">
        <f>"66298885688082"</f>
        <v>66298885688082</v>
      </c>
      <c r="AJ2281" t="str">
        <f>"82636"</f>
        <v>82636</v>
      </c>
      <c r="AK2281" t="s">
        <v>46</v>
      </c>
      <c r="AL2281" s="1">
        <v>44816.556203703702</v>
      </c>
      <c r="AM2281" t="s">
        <v>44</v>
      </c>
    </row>
    <row r="2282" spans="1:39" x14ac:dyDescent="0.2">
      <c r="A2282" t="s">
        <v>2196</v>
      </c>
      <c r="B2282" t="s">
        <v>40</v>
      </c>
      <c r="C2282" t="s">
        <v>2104</v>
      </c>
      <c r="D2282" t="s">
        <v>42</v>
      </c>
      <c r="E2282" t="s">
        <v>43</v>
      </c>
      <c r="F2282" t="s">
        <v>44</v>
      </c>
      <c r="G2282" t="s">
        <v>45</v>
      </c>
      <c r="AH2282" t="s">
        <v>42</v>
      </c>
      <c r="AI2282" t="str">
        <f>"66298885730990"</f>
        <v>66298885730990</v>
      </c>
      <c r="AJ2282" t="str">
        <f>"A037"</f>
        <v>A037</v>
      </c>
      <c r="AK2282" t="s">
        <v>46</v>
      </c>
      <c r="AL2282" s="1">
        <v>44816.556215277778</v>
      </c>
      <c r="AM2282" t="s">
        <v>44</v>
      </c>
    </row>
    <row r="2283" spans="1:39" x14ac:dyDescent="0.2">
      <c r="A2283" t="s">
        <v>2197</v>
      </c>
      <c r="B2283" t="s">
        <v>40</v>
      </c>
      <c r="C2283" t="s">
        <v>2104</v>
      </c>
      <c r="D2283" t="s">
        <v>42</v>
      </c>
      <c r="E2283" t="s">
        <v>43</v>
      </c>
      <c r="F2283" t="s">
        <v>44</v>
      </c>
      <c r="G2283" t="s">
        <v>45</v>
      </c>
      <c r="AH2283" t="s">
        <v>42</v>
      </c>
      <c r="AI2283" t="str">
        <f>"13780-25H00-000"</f>
        <v>13780-25H00-000</v>
      </c>
      <c r="AJ2283" t="str">
        <f>"13780-25H00-000"</f>
        <v>13780-25H00-000</v>
      </c>
      <c r="AK2283" t="s">
        <v>46</v>
      </c>
      <c r="AL2283" s="1">
        <v>44816.556215277778</v>
      </c>
      <c r="AM2283" t="s">
        <v>44</v>
      </c>
    </row>
    <row r="2284" spans="1:39" x14ac:dyDescent="0.2">
      <c r="A2284" t="s">
        <v>2198</v>
      </c>
      <c r="B2284" t="s">
        <v>40</v>
      </c>
      <c r="C2284" t="s">
        <v>2104</v>
      </c>
      <c r="D2284" t="s">
        <v>42</v>
      </c>
      <c r="E2284" t="s">
        <v>43</v>
      </c>
      <c r="F2284" t="s">
        <v>44</v>
      </c>
      <c r="G2284" t="s">
        <v>45</v>
      </c>
      <c r="AH2284" t="s">
        <v>42</v>
      </c>
      <c r="AI2284" t="str">
        <f>"EMJM20278"</f>
        <v>EMJM20278</v>
      </c>
      <c r="AJ2284" t="str">
        <f>"EMJM20278"</f>
        <v>EMJM20278</v>
      </c>
      <c r="AK2284" t="s">
        <v>46</v>
      </c>
      <c r="AL2284" s="1">
        <v>45022.666932870372</v>
      </c>
      <c r="AM2284" t="s">
        <v>44</v>
      </c>
    </row>
    <row r="2285" spans="1:39" x14ac:dyDescent="0.2">
      <c r="A2285" t="s">
        <v>2199</v>
      </c>
      <c r="B2285" t="s">
        <v>40</v>
      </c>
      <c r="C2285" t="s">
        <v>2104</v>
      </c>
      <c r="D2285" t="s">
        <v>42</v>
      </c>
      <c r="E2285" t="s">
        <v>43</v>
      </c>
      <c r="F2285" t="s">
        <v>44</v>
      </c>
      <c r="G2285" t="s">
        <v>45</v>
      </c>
      <c r="AH2285" t="s">
        <v>42</v>
      </c>
      <c r="AI2285" t="str">
        <f>"12366"</f>
        <v>12366</v>
      </c>
      <c r="AJ2285" t="str">
        <f>"12366"</f>
        <v>12366</v>
      </c>
      <c r="AK2285" t="s">
        <v>46</v>
      </c>
      <c r="AL2285" s="1">
        <v>44950.861909722225</v>
      </c>
      <c r="AM2285" t="s">
        <v>44</v>
      </c>
    </row>
    <row r="2286" spans="1:39" x14ac:dyDescent="0.2">
      <c r="A2286" t="s">
        <v>2200</v>
      </c>
      <c r="B2286" t="s">
        <v>40</v>
      </c>
      <c r="C2286" t="s">
        <v>2104</v>
      </c>
      <c r="D2286" t="s">
        <v>42</v>
      </c>
      <c r="E2286" t="s">
        <v>43</v>
      </c>
      <c r="F2286" t="s">
        <v>44</v>
      </c>
      <c r="G2286" t="s">
        <v>45</v>
      </c>
      <c r="AH2286" t="s">
        <v>42</v>
      </c>
      <c r="AI2286" t="str">
        <f>"66298885808861"</f>
        <v>66298885808861</v>
      </c>
      <c r="AJ2286" t="str">
        <f>"PP-30615-000HB"</f>
        <v>PP-30615-000HB</v>
      </c>
      <c r="AK2286" t="s">
        <v>46</v>
      </c>
      <c r="AL2286" s="1">
        <v>44816.556226851855</v>
      </c>
      <c r="AM2286" t="s">
        <v>44</v>
      </c>
    </row>
    <row r="2287" spans="1:39" x14ac:dyDescent="0.2">
      <c r="A2287" t="s">
        <v>2201</v>
      </c>
      <c r="B2287" t="s">
        <v>40</v>
      </c>
      <c r="C2287" t="s">
        <v>2104</v>
      </c>
      <c r="D2287" t="s">
        <v>42</v>
      </c>
      <c r="E2287" t="s">
        <v>43</v>
      </c>
      <c r="F2287" t="s">
        <v>44</v>
      </c>
      <c r="G2287" t="s">
        <v>45</v>
      </c>
      <c r="AH2287" t="s">
        <v>42</v>
      </c>
      <c r="AI2287" t="str">
        <f>"13781H2C001H000"</f>
        <v>13781H2C001H000</v>
      </c>
      <c r="AJ2287" t="str">
        <f>"13781H2C001H000"</f>
        <v>13781H2C001H000</v>
      </c>
      <c r="AK2287" t="s">
        <v>46</v>
      </c>
      <c r="AL2287" s="1">
        <v>44875.764444444445</v>
      </c>
      <c r="AM2287" t="s">
        <v>44</v>
      </c>
    </row>
    <row r="2288" spans="1:39" x14ac:dyDescent="0.2">
      <c r="A2288" t="s">
        <v>2201</v>
      </c>
      <c r="B2288" t="s">
        <v>40</v>
      </c>
      <c r="C2288" t="s">
        <v>2104</v>
      </c>
      <c r="D2288" t="s">
        <v>42</v>
      </c>
      <c r="E2288" t="s">
        <v>43</v>
      </c>
      <c r="F2288" t="s">
        <v>44</v>
      </c>
      <c r="G2288" t="s">
        <v>45</v>
      </c>
      <c r="AH2288" t="s">
        <v>42</v>
      </c>
      <c r="AI2288" t="str">
        <f>"11993"</f>
        <v>11993</v>
      </c>
      <c r="AJ2288" t="str">
        <f>"11993"</f>
        <v>11993</v>
      </c>
      <c r="AK2288" t="s">
        <v>46</v>
      </c>
      <c r="AL2288" s="1">
        <v>45001.82744212963</v>
      </c>
      <c r="AM2288" t="s">
        <v>44</v>
      </c>
    </row>
    <row r="2289" spans="1:39" x14ac:dyDescent="0.2">
      <c r="A2289" t="s">
        <v>2202</v>
      </c>
      <c r="B2289" t="s">
        <v>40</v>
      </c>
      <c r="C2289" t="s">
        <v>2104</v>
      </c>
      <c r="D2289" t="s">
        <v>42</v>
      </c>
      <c r="E2289" t="s">
        <v>43</v>
      </c>
      <c r="F2289" t="s">
        <v>44</v>
      </c>
      <c r="G2289" t="s">
        <v>45</v>
      </c>
      <c r="AH2289" t="s">
        <v>42</v>
      </c>
      <c r="AI2289" t="str">
        <f>"66298885849228"</f>
        <v>66298885849228</v>
      </c>
      <c r="AJ2289" t="str">
        <f>"11013-0025JP"</f>
        <v>11013-0025JP</v>
      </c>
      <c r="AK2289" t="s">
        <v>46</v>
      </c>
      <c r="AL2289" s="1">
        <v>44816.556226851855</v>
      </c>
      <c r="AM2289" t="s">
        <v>44</v>
      </c>
    </row>
    <row r="2290" spans="1:39" x14ac:dyDescent="0.2">
      <c r="A2290" t="s">
        <v>2203</v>
      </c>
      <c r="B2290" t="s">
        <v>40</v>
      </c>
      <c r="C2290" t="s">
        <v>2104</v>
      </c>
      <c r="D2290" t="s">
        <v>42</v>
      </c>
      <c r="E2290" t="s">
        <v>43</v>
      </c>
      <c r="F2290" t="s">
        <v>44</v>
      </c>
      <c r="G2290" t="s">
        <v>45</v>
      </c>
      <c r="AH2290" t="s">
        <v>42</v>
      </c>
      <c r="AI2290" t="str">
        <f>"66298885893652"</f>
        <v>66298885893652</v>
      </c>
      <c r="AJ2290" t="str">
        <f>"90106015000"</f>
        <v>90106015000</v>
      </c>
      <c r="AK2290" t="s">
        <v>46</v>
      </c>
      <c r="AL2290" s="1">
        <v>44816.556226851855</v>
      </c>
      <c r="AM2290" t="s">
        <v>44</v>
      </c>
    </row>
    <row r="2291" spans="1:39" x14ac:dyDescent="0.2">
      <c r="A2291" t="s">
        <v>2204</v>
      </c>
      <c r="B2291" t="s">
        <v>40</v>
      </c>
      <c r="C2291" t="s">
        <v>2104</v>
      </c>
      <c r="D2291" t="s">
        <v>42</v>
      </c>
      <c r="E2291" t="s">
        <v>43</v>
      </c>
      <c r="F2291" t="s">
        <v>44</v>
      </c>
      <c r="G2291" t="s">
        <v>45</v>
      </c>
      <c r="AH2291" t="s">
        <v>42</v>
      </c>
      <c r="AI2291" t="str">
        <f>"K353352900"</f>
        <v>K353352900</v>
      </c>
      <c r="AJ2291" t="str">
        <f>"K353352900"</f>
        <v>K353352900</v>
      </c>
      <c r="AK2291" t="s">
        <v>46</v>
      </c>
      <c r="AL2291" s="1">
        <v>45069.873252314814</v>
      </c>
      <c r="AM2291" t="s">
        <v>44</v>
      </c>
    </row>
    <row r="2292" spans="1:39" x14ac:dyDescent="0.2">
      <c r="A2292" t="s">
        <v>2205</v>
      </c>
      <c r="B2292" t="s">
        <v>40</v>
      </c>
      <c r="C2292" t="s">
        <v>2104</v>
      </c>
      <c r="D2292" t="s">
        <v>42</v>
      </c>
      <c r="E2292" t="s">
        <v>43</v>
      </c>
      <c r="F2292" t="s">
        <v>44</v>
      </c>
      <c r="G2292" t="s">
        <v>45</v>
      </c>
      <c r="AH2292" t="s">
        <v>42</v>
      </c>
      <c r="AI2292" t="str">
        <f>"7889"</f>
        <v>7889</v>
      </c>
      <c r="AJ2292" t="str">
        <f>"7889"</f>
        <v>7889</v>
      </c>
      <c r="AK2292" t="s">
        <v>46</v>
      </c>
      <c r="AL2292" s="1">
        <v>44929.70113425926</v>
      </c>
      <c r="AM2292" t="s">
        <v>44</v>
      </c>
    </row>
    <row r="2293" spans="1:39" x14ac:dyDescent="0.2">
      <c r="A2293" t="s">
        <v>2206</v>
      </c>
      <c r="B2293" t="s">
        <v>40</v>
      </c>
      <c r="C2293" t="s">
        <v>2104</v>
      </c>
      <c r="D2293" t="s">
        <v>42</v>
      </c>
      <c r="E2293" t="s">
        <v>43</v>
      </c>
      <c r="F2293" t="s">
        <v>44</v>
      </c>
      <c r="G2293" t="s">
        <v>45</v>
      </c>
      <c r="AH2293" t="s">
        <v>42</v>
      </c>
      <c r="AI2293" t="str">
        <f>"1RC-14451-00HB"</f>
        <v>1RC-14451-00HB</v>
      </c>
      <c r="AJ2293" t="str">
        <f>"1RC-14451-00HB"</f>
        <v>1RC-14451-00HB</v>
      </c>
      <c r="AK2293" t="s">
        <v>46</v>
      </c>
      <c r="AL2293" s="1">
        <v>44900.858356481483</v>
      </c>
      <c r="AM2293" t="s">
        <v>44</v>
      </c>
    </row>
    <row r="2294" spans="1:39" x14ac:dyDescent="0.2">
      <c r="A2294" t="s">
        <v>2207</v>
      </c>
      <c r="B2294" t="s">
        <v>40</v>
      </c>
      <c r="C2294" t="s">
        <v>2104</v>
      </c>
      <c r="D2294" t="s">
        <v>42</v>
      </c>
      <c r="E2294" t="s">
        <v>43</v>
      </c>
      <c r="F2294" t="s">
        <v>44</v>
      </c>
      <c r="G2294" t="s">
        <v>45</v>
      </c>
      <c r="AH2294" t="s">
        <v>42</v>
      </c>
      <c r="AI2294" t="str">
        <f>"66298885934567"</f>
        <v>66298885934567</v>
      </c>
      <c r="AJ2294" t="str">
        <f>"S022"</f>
        <v>S022</v>
      </c>
      <c r="AK2294" t="s">
        <v>46</v>
      </c>
      <c r="AL2294" s="1">
        <v>44816.556238425925</v>
      </c>
      <c r="AM2294" t="s">
        <v>44</v>
      </c>
    </row>
    <row r="2295" spans="1:39" x14ac:dyDescent="0.2">
      <c r="A2295" t="s">
        <v>2208</v>
      </c>
      <c r="B2295" t="s">
        <v>40</v>
      </c>
      <c r="C2295" t="s">
        <v>2104</v>
      </c>
      <c r="D2295" t="s">
        <v>42</v>
      </c>
      <c r="E2295" t="s">
        <v>43</v>
      </c>
      <c r="F2295" t="s">
        <v>44</v>
      </c>
      <c r="G2295" t="s">
        <v>45</v>
      </c>
      <c r="AH2295" t="s">
        <v>42</v>
      </c>
      <c r="AI2295" t="str">
        <f>"17211-KVX-600"</f>
        <v>17211-KVX-600</v>
      </c>
      <c r="AJ2295" t="str">
        <f>"17211-KVX-600"</f>
        <v>17211-KVX-600</v>
      </c>
      <c r="AK2295" t="s">
        <v>46</v>
      </c>
      <c r="AL2295" s="1">
        <v>44898.614398148151</v>
      </c>
      <c r="AM2295" t="s">
        <v>44</v>
      </c>
    </row>
    <row r="2296" spans="1:39" x14ac:dyDescent="0.2">
      <c r="A2296" t="s">
        <v>2208</v>
      </c>
      <c r="B2296" t="s">
        <v>40</v>
      </c>
      <c r="C2296" t="s">
        <v>2104</v>
      </c>
      <c r="D2296" t="s">
        <v>42</v>
      </c>
      <c r="E2296" t="s">
        <v>43</v>
      </c>
      <c r="F2296" t="s">
        <v>44</v>
      </c>
      <c r="G2296" t="s">
        <v>45</v>
      </c>
      <c r="AH2296" t="s">
        <v>42</v>
      </c>
      <c r="AI2296" t="str">
        <f>"3080"</f>
        <v>3080</v>
      </c>
      <c r="AJ2296" t="str">
        <f>"3080"</f>
        <v>3080</v>
      </c>
      <c r="AK2296" t="s">
        <v>46</v>
      </c>
      <c r="AL2296" s="1">
        <v>45078.707314814812</v>
      </c>
      <c r="AM2296" t="s">
        <v>44</v>
      </c>
    </row>
    <row r="2297" spans="1:39" x14ac:dyDescent="0.2">
      <c r="A2297" t="s">
        <v>2208</v>
      </c>
      <c r="B2297" t="s">
        <v>40</v>
      </c>
      <c r="C2297" t="s">
        <v>2104</v>
      </c>
      <c r="D2297" t="s">
        <v>42</v>
      </c>
      <c r="E2297" t="s">
        <v>43</v>
      </c>
      <c r="F2297" t="s">
        <v>44</v>
      </c>
      <c r="G2297" t="s">
        <v>45</v>
      </c>
      <c r="AH2297" t="s">
        <v>42</v>
      </c>
      <c r="AI2297" t="str">
        <f>"7001"</f>
        <v>7001</v>
      </c>
      <c r="AJ2297" t="str">
        <f>"7001"</f>
        <v>7001</v>
      </c>
      <c r="AK2297" t="s">
        <v>46</v>
      </c>
      <c r="AL2297" s="1">
        <v>45153.733460648145</v>
      </c>
      <c r="AM2297" t="s">
        <v>44</v>
      </c>
    </row>
    <row r="2298" spans="1:39" x14ac:dyDescent="0.2">
      <c r="A2298" t="s">
        <v>2209</v>
      </c>
      <c r="B2298" t="s">
        <v>40</v>
      </c>
      <c r="C2298" t="s">
        <v>2104</v>
      </c>
      <c r="D2298" t="s">
        <v>42</v>
      </c>
      <c r="E2298" t="s">
        <v>43</v>
      </c>
      <c r="F2298" t="s">
        <v>44</v>
      </c>
      <c r="G2298" t="s">
        <v>45</v>
      </c>
      <c r="AH2298" t="s">
        <v>42</v>
      </c>
      <c r="AI2298" t="str">
        <f>"EMHJ52407"</f>
        <v>EMHJ52407</v>
      </c>
      <c r="AJ2298" t="str">
        <f>"EMHJ52407"</f>
        <v>EMHJ52407</v>
      </c>
      <c r="AK2298" t="s">
        <v>46</v>
      </c>
      <c r="AL2298" s="1">
        <v>44900.749976851854</v>
      </c>
      <c r="AM2298" t="s">
        <v>44</v>
      </c>
    </row>
    <row r="2299" spans="1:39" x14ac:dyDescent="0.2">
      <c r="A2299" t="s">
        <v>2210</v>
      </c>
      <c r="B2299" t="s">
        <v>40</v>
      </c>
      <c r="C2299" t="s">
        <v>2104</v>
      </c>
      <c r="D2299" t="s">
        <v>42</v>
      </c>
      <c r="E2299" t="s">
        <v>43</v>
      </c>
      <c r="F2299" t="s">
        <v>44</v>
      </c>
      <c r="G2299" t="s">
        <v>45</v>
      </c>
      <c r="AH2299" t="s">
        <v>43</v>
      </c>
      <c r="AI2299" t="str">
        <f>"13781H40100H000"</f>
        <v>13781H40100H000</v>
      </c>
      <c r="AJ2299" t="str">
        <f>"13781H40100H000"</f>
        <v>13781H40100H000</v>
      </c>
      <c r="AK2299" t="s">
        <v>46</v>
      </c>
      <c r="AL2299" s="1">
        <v>44875.817719907405</v>
      </c>
      <c r="AM2299" t="s">
        <v>44</v>
      </c>
    </row>
    <row r="2300" spans="1:39" x14ac:dyDescent="0.2">
      <c r="A2300" t="s">
        <v>2210</v>
      </c>
      <c r="B2300" t="s">
        <v>40</v>
      </c>
      <c r="C2300" t="s">
        <v>2104</v>
      </c>
      <c r="D2300" t="s">
        <v>42</v>
      </c>
      <c r="E2300" t="s">
        <v>43</v>
      </c>
      <c r="F2300" t="s">
        <v>44</v>
      </c>
      <c r="G2300" t="s">
        <v>45</v>
      </c>
      <c r="AH2300" t="s">
        <v>42</v>
      </c>
      <c r="AI2300" t="str">
        <f>"12893"</f>
        <v>12893</v>
      </c>
      <c r="AJ2300" t="str">
        <f>"12893"</f>
        <v>12893</v>
      </c>
      <c r="AK2300" t="s">
        <v>46</v>
      </c>
      <c r="AL2300" s="1">
        <v>45001.827847222223</v>
      </c>
      <c r="AM2300" t="s">
        <v>44</v>
      </c>
    </row>
    <row r="2301" spans="1:39" x14ac:dyDescent="0.2">
      <c r="A2301" t="s">
        <v>2211</v>
      </c>
      <c r="B2301" t="s">
        <v>40</v>
      </c>
      <c r="C2301" t="s">
        <v>2104</v>
      </c>
      <c r="D2301" t="s">
        <v>42</v>
      </c>
      <c r="E2301" t="s">
        <v>43</v>
      </c>
      <c r="F2301" t="s">
        <v>44</v>
      </c>
      <c r="G2301" t="s">
        <v>45</v>
      </c>
      <c r="AH2301" t="s">
        <v>42</v>
      </c>
      <c r="AI2301" t="str">
        <f>"66298886021071"</f>
        <v>66298886021071</v>
      </c>
      <c r="AJ2301" t="str">
        <f>"400174"</f>
        <v>400174</v>
      </c>
      <c r="AK2301" t="s">
        <v>46</v>
      </c>
      <c r="AL2301" s="1">
        <v>44816.556250000001</v>
      </c>
      <c r="AM2301" t="s">
        <v>44</v>
      </c>
    </row>
    <row r="2302" spans="1:39" x14ac:dyDescent="0.2">
      <c r="A2302" t="s">
        <v>2212</v>
      </c>
      <c r="B2302" t="s">
        <v>40</v>
      </c>
      <c r="C2302" t="s">
        <v>2104</v>
      </c>
      <c r="D2302" t="s">
        <v>42</v>
      </c>
      <c r="E2302" t="s">
        <v>43</v>
      </c>
      <c r="F2302" t="s">
        <v>44</v>
      </c>
      <c r="G2302" t="s">
        <v>45</v>
      </c>
      <c r="AH2302" t="s">
        <v>42</v>
      </c>
      <c r="AI2302" t="str">
        <f>"66298885972280"</f>
        <v>66298885972280</v>
      </c>
      <c r="AJ2302" t="str">
        <f>"17211-KRE-900HB"</f>
        <v>17211-KRE-900HB</v>
      </c>
      <c r="AK2302" t="s">
        <v>46</v>
      </c>
      <c r="AL2302" s="1">
        <v>44816.556238425925</v>
      </c>
      <c r="AM2302" t="s">
        <v>44</v>
      </c>
    </row>
    <row r="2303" spans="1:39" x14ac:dyDescent="0.2">
      <c r="A2303" t="s">
        <v>2213</v>
      </c>
      <c r="B2303" t="s">
        <v>40</v>
      </c>
      <c r="C2303" t="s">
        <v>2104</v>
      </c>
      <c r="D2303" t="s">
        <v>42</v>
      </c>
      <c r="E2303" t="s">
        <v>43</v>
      </c>
      <c r="F2303" t="s">
        <v>44</v>
      </c>
      <c r="G2303" t="s">
        <v>45</v>
      </c>
      <c r="AH2303" t="s">
        <v>42</v>
      </c>
      <c r="AI2303" t="str">
        <f>"66298886061186"</f>
        <v>66298886061186</v>
      </c>
      <c r="AJ2303" t="str">
        <f>"D073"</f>
        <v>D073</v>
      </c>
      <c r="AK2303" t="s">
        <v>46</v>
      </c>
      <c r="AL2303" s="1">
        <v>44816.556250000001</v>
      </c>
      <c r="AM2303" t="s">
        <v>44</v>
      </c>
    </row>
    <row r="2304" spans="1:39" x14ac:dyDescent="0.2">
      <c r="A2304" t="s">
        <v>2214</v>
      </c>
      <c r="B2304" t="s">
        <v>40</v>
      </c>
      <c r="C2304" t="s">
        <v>2104</v>
      </c>
      <c r="D2304" t="s">
        <v>42</v>
      </c>
      <c r="E2304" t="s">
        <v>43</v>
      </c>
      <c r="F2304" t="s">
        <v>44</v>
      </c>
      <c r="G2304" t="s">
        <v>45</v>
      </c>
      <c r="AH2304" t="s">
        <v>42</v>
      </c>
      <c r="AI2304" t="str">
        <f>"JA-5810-05HB"</f>
        <v>JA-5810-05HB</v>
      </c>
      <c r="AJ2304" t="str">
        <f>"JA-5810-05HB"</f>
        <v>JA-5810-05HB</v>
      </c>
      <c r="AK2304" t="s">
        <v>46</v>
      </c>
      <c r="AL2304" s="1">
        <v>44816.556261574071</v>
      </c>
      <c r="AM2304" t="s">
        <v>44</v>
      </c>
    </row>
    <row r="2305" spans="1:39" x14ac:dyDescent="0.2">
      <c r="A2305" t="s">
        <v>2215</v>
      </c>
      <c r="B2305" t="s">
        <v>40</v>
      </c>
      <c r="C2305" t="s">
        <v>2104</v>
      </c>
      <c r="D2305" t="s">
        <v>42</v>
      </c>
      <c r="E2305" t="s">
        <v>43</v>
      </c>
      <c r="F2305" t="s">
        <v>44</v>
      </c>
      <c r="G2305" t="s">
        <v>45</v>
      </c>
      <c r="AH2305" t="s">
        <v>42</v>
      </c>
      <c r="AI2305" t="str">
        <f>"66298886145679"</f>
        <v>66298886145679</v>
      </c>
      <c r="AJ2305" t="str">
        <f>"DK-1210-09"</f>
        <v>DK-1210-09</v>
      </c>
      <c r="AK2305" t="s">
        <v>46</v>
      </c>
      <c r="AL2305" s="1">
        <v>44816.556261574071</v>
      </c>
      <c r="AM2305" t="s">
        <v>44</v>
      </c>
    </row>
    <row r="2306" spans="1:39" x14ac:dyDescent="0.2">
      <c r="A2306" t="s">
        <v>2216</v>
      </c>
      <c r="B2306" t="s">
        <v>40</v>
      </c>
      <c r="C2306" t="s">
        <v>2104</v>
      </c>
      <c r="D2306" t="s">
        <v>42</v>
      </c>
      <c r="E2306" t="s">
        <v>43</v>
      </c>
      <c r="F2306" t="s">
        <v>44</v>
      </c>
      <c r="G2306" t="s">
        <v>45</v>
      </c>
      <c r="AH2306" t="s">
        <v>42</v>
      </c>
      <c r="AI2306" t="str">
        <f>"66298886189016"</f>
        <v>66298886189016</v>
      </c>
      <c r="AJ2306" t="str">
        <f>"36-DK00-15"</f>
        <v>36-DK00-15</v>
      </c>
      <c r="AK2306" t="s">
        <v>46</v>
      </c>
      <c r="AL2306" s="1">
        <v>44816.556261574071</v>
      </c>
      <c r="AM2306" t="s">
        <v>44</v>
      </c>
    </row>
    <row r="2307" spans="1:39" x14ac:dyDescent="0.2">
      <c r="A2307" t="s">
        <v>2217</v>
      </c>
      <c r="B2307" t="s">
        <v>40</v>
      </c>
      <c r="C2307" t="s">
        <v>2104</v>
      </c>
      <c r="D2307" t="s">
        <v>42</v>
      </c>
      <c r="E2307" t="s">
        <v>43</v>
      </c>
      <c r="F2307" t="s">
        <v>44</v>
      </c>
      <c r="G2307" t="s">
        <v>45</v>
      </c>
      <c r="AH2307" t="s">
        <v>42</v>
      </c>
      <c r="AI2307" t="str">
        <f>"66298886284807"</f>
        <v>66298886284807</v>
      </c>
      <c r="AJ2307" t="str">
        <f>"JL-5810-09HB"</f>
        <v>JL-5810-09HB</v>
      </c>
      <c r="AK2307" t="s">
        <v>46</v>
      </c>
      <c r="AL2307" s="1">
        <v>44816.556273148148</v>
      </c>
      <c r="AM2307" t="s">
        <v>44</v>
      </c>
    </row>
    <row r="2308" spans="1:39" x14ac:dyDescent="0.2">
      <c r="A2308" t="s">
        <v>2218</v>
      </c>
      <c r="B2308" t="s">
        <v>40</v>
      </c>
      <c r="C2308" t="s">
        <v>2104</v>
      </c>
      <c r="D2308" t="s">
        <v>42</v>
      </c>
      <c r="E2308" t="s">
        <v>43</v>
      </c>
      <c r="F2308" t="s">
        <v>44</v>
      </c>
      <c r="G2308" t="s">
        <v>45</v>
      </c>
      <c r="AH2308" t="s">
        <v>42</v>
      </c>
      <c r="AI2308" t="str">
        <f>"9421"</f>
        <v>9421</v>
      </c>
      <c r="AJ2308" t="str">
        <f>"9421"</f>
        <v>9421</v>
      </c>
      <c r="AK2308" t="s">
        <v>46</v>
      </c>
      <c r="AL2308" s="1">
        <v>44880.840138888889</v>
      </c>
      <c r="AM2308" t="s">
        <v>44</v>
      </c>
    </row>
    <row r="2309" spans="1:39" x14ac:dyDescent="0.2">
      <c r="A2309" t="s">
        <v>2219</v>
      </c>
      <c r="B2309" t="s">
        <v>40</v>
      </c>
      <c r="C2309" t="s">
        <v>2104</v>
      </c>
      <c r="D2309" t="s">
        <v>42</v>
      </c>
      <c r="E2309" t="s">
        <v>43</v>
      </c>
      <c r="F2309" t="s">
        <v>44</v>
      </c>
      <c r="G2309" t="s">
        <v>45</v>
      </c>
      <c r="AH2309" t="s">
        <v>42</v>
      </c>
      <c r="AI2309" t="str">
        <f>"66298886242274"</f>
        <v>66298886242274</v>
      </c>
      <c r="AJ2309" t="str">
        <f>"S028"</f>
        <v>S028</v>
      </c>
      <c r="AK2309" t="s">
        <v>46</v>
      </c>
      <c r="AL2309" s="1">
        <v>44816.556273148148</v>
      </c>
      <c r="AM2309" t="s">
        <v>44</v>
      </c>
    </row>
    <row r="2310" spans="1:39" x14ac:dyDescent="0.2">
      <c r="A2310" t="s">
        <v>2219</v>
      </c>
      <c r="B2310" t="s">
        <v>40</v>
      </c>
      <c r="C2310" t="s">
        <v>2104</v>
      </c>
      <c r="D2310" t="s">
        <v>42</v>
      </c>
      <c r="E2310" t="s">
        <v>43</v>
      </c>
      <c r="F2310" t="s">
        <v>44</v>
      </c>
      <c r="G2310" t="s">
        <v>45</v>
      </c>
      <c r="AH2310" t="s">
        <v>42</v>
      </c>
      <c r="AI2310" t="str">
        <f>"7885"</f>
        <v>7885</v>
      </c>
      <c r="AJ2310" t="str">
        <f>"7885"</f>
        <v>7885</v>
      </c>
      <c r="AK2310" t="s">
        <v>46</v>
      </c>
      <c r="AL2310" s="1">
        <v>44950.863229166665</v>
      </c>
      <c r="AM2310" t="s">
        <v>44</v>
      </c>
    </row>
    <row r="2311" spans="1:39" x14ac:dyDescent="0.2">
      <c r="A2311" t="s">
        <v>2220</v>
      </c>
      <c r="B2311" t="s">
        <v>40</v>
      </c>
      <c r="C2311" t="s">
        <v>2104</v>
      </c>
      <c r="D2311" t="s">
        <v>42</v>
      </c>
      <c r="E2311" t="s">
        <v>43</v>
      </c>
      <c r="F2311" t="s">
        <v>44</v>
      </c>
      <c r="G2311" t="s">
        <v>45</v>
      </c>
      <c r="AH2311" t="s">
        <v>42</v>
      </c>
      <c r="AI2311" t="str">
        <f>"7011"</f>
        <v>7011</v>
      </c>
      <c r="AJ2311" t="str">
        <f>"7011"</f>
        <v>7011</v>
      </c>
      <c r="AK2311" t="s">
        <v>46</v>
      </c>
      <c r="AL2311" s="1">
        <v>45083.687928240739</v>
      </c>
      <c r="AM2311" t="s">
        <v>44</v>
      </c>
    </row>
    <row r="2312" spans="1:39" x14ac:dyDescent="0.2">
      <c r="A2312" t="s">
        <v>2221</v>
      </c>
      <c r="B2312" t="s">
        <v>40</v>
      </c>
      <c r="C2312" t="s">
        <v>2104</v>
      </c>
      <c r="D2312" t="s">
        <v>42</v>
      </c>
      <c r="E2312" t="s">
        <v>43</v>
      </c>
      <c r="F2312" t="s">
        <v>44</v>
      </c>
      <c r="G2312" t="s">
        <v>45</v>
      </c>
      <c r="AH2312" t="s">
        <v>42</v>
      </c>
      <c r="AI2312" t="str">
        <f>"66298886329024"</f>
        <v>66298886329024</v>
      </c>
      <c r="AJ2312" t="str">
        <f>"17211-M9Q-0001HB"</f>
        <v>17211-M9Q-0001HB</v>
      </c>
      <c r="AK2312" t="s">
        <v>46</v>
      </c>
      <c r="AL2312" s="1">
        <v>44816.556284722225</v>
      </c>
      <c r="AM2312" t="s">
        <v>44</v>
      </c>
    </row>
    <row r="2313" spans="1:39" x14ac:dyDescent="0.2">
      <c r="A2313" t="s">
        <v>2221</v>
      </c>
      <c r="B2313" t="s">
        <v>40</v>
      </c>
      <c r="C2313" t="s">
        <v>2104</v>
      </c>
      <c r="D2313" t="s">
        <v>42</v>
      </c>
      <c r="E2313" t="s">
        <v>43</v>
      </c>
      <c r="F2313" t="s">
        <v>44</v>
      </c>
      <c r="G2313" t="s">
        <v>45</v>
      </c>
      <c r="AH2313" t="s">
        <v>42</v>
      </c>
      <c r="AI2313" t="str">
        <f>"66298886335213"</f>
        <v>66298886335213</v>
      </c>
      <c r="AJ2313" t="str">
        <f>"S052"</f>
        <v>S052</v>
      </c>
      <c r="AK2313" t="s">
        <v>46</v>
      </c>
      <c r="AL2313" s="1">
        <v>44816.556284722225</v>
      </c>
      <c r="AM2313" t="s">
        <v>44</v>
      </c>
    </row>
    <row r="2314" spans="1:39" x14ac:dyDescent="0.2">
      <c r="A2314" t="s">
        <v>2221</v>
      </c>
      <c r="B2314" t="s">
        <v>40</v>
      </c>
      <c r="C2314" t="s">
        <v>2104</v>
      </c>
      <c r="D2314" t="s">
        <v>42</v>
      </c>
      <c r="E2314" t="s">
        <v>43</v>
      </c>
      <c r="F2314" t="s">
        <v>44</v>
      </c>
      <c r="G2314" t="s">
        <v>45</v>
      </c>
      <c r="AH2314" t="s">
        <v>42</v>
      </c>
      <c r="AI2314" t="str">
        <f>"66298886342105"</f>
        <v>66298886342105</v>
      </c>
      <c r="AJ2314" t="str">
        <f>"S005"</f>
        <v>S005</v>
      </c>
      <c r="AK2314" t="s">
        <v>46</v>
      </c>
      <c r="AL2314" s="1">
        <v>44816.556284722225</v>
      </c>
      <c r="AM2314" t="s">
        <v>44</v>
      </c>
    </row>
    <row r="2315" spans="1:39" x14ac:dyDescent="0.2">
      <c r="A2315" t="s">
        <v>2221</v>
      </c>
      <c r="B2315" t="s">
        <v>40</v>
      </c>
      <c r="C2315" t="s">
        <v>2104</v>
      </c>
      <c r="D2315" t="s">
        <v>42</v>
      </c>
      <c r="E2315" t="s">
        <v>43</v>
      </c>
      <c r="F2315" t="s">
        <v>44</v>
      </c>
      <c r="G2315" t="s">
        <v>45</v>
      </c>
      <c r="AH2315" t="s">
        <v>42</v>
      </c>
      <c r="AI2315" t="str">
        <f>"A010"</f>
        <v>A010</v>
      </c>
      <c r="AJ2315" t="str">
        <f>"A010"</f>
        <v>A010</v>
      </c>
      <c r="AK2315" t="s">
        <v>46</v>
      </c>
      <c r="AL2315" s="1">
        <v>45091.914247685185</v>
      </c>
      <c r="AM2315" t="s">
        <v>44</v>
      </c>
    </row>
    <row r="2316" spans="1:39" x14ac:dyDescent="0.2">
      <c r="A2316" t="s">
        <v>2222</v>
      </c>
      <c r="B2316" t="s">
        <v>40</v>
      </c>
      <c r="C2316" t="s">
        <v>2104</v>
      </c>
      <c r="D2316" t="s">
        <v>42</v>
      </c>
      <c r="E2316" t="s">
        <v>43</v>
      </c>
      <c r="F2316" t="s">
        <v>44</v>
      </c>
      <c r="G2316" t="s">
        <v>45</v>
      </c>
      <c r="AH2316" t="s">
        <v>42</v>
      </c>
      <c r="AI2316" t="str">
        <f>"66298886414116"</f>
        <v>66298886414116</v>
      </c>
      <c r="AJ2316" t="str">
        <f>"80499"</f>
        <v>80499</v>
      </c>
      <c r="AK2316" t="s">
        <v>46</v>
      </c>
      <c r="AL2316" s="1">
        <v>44816.556296296294</v>
      </c>
      <c r="AM2316" t="s">
        <v>44</v>
      </c>
    </row>
    <row r="2317" spans="1:39" x14ac:dyDescent="0.2">
      <c r="A2317" t="s">
        <v>2222</v>
      </c>
      <c r="B2317" t="s">
        <v>40</v>
      </c>
      <c r="C2317" t="s">
        <v>2104</v>
      </c>
      <c r="D2317" t="s">
        <v>42</v>
      </c>
      <c r="E2317" t="s">
        <v>43</v>
      </c>
      <c r="F2317" t="s">
        <v>44</v>
      </c>
      <c r="G2317" t="s">
        <v>45</v>
      </c>
      <c r="AH2317" t="s">
        <v>42</v>
      </c>
      <c r="AI2317" t="str">
        <f>"66298886460669"</f>
        <v>66298886460669</v>
      </c>
      <c r="AJ2317" t="str">
        <f>"F00010059HB"</f>
        <v>F00010059HB</v>
      </c>
      <c r="AK2317" t="s">
        <v>46</v>
      </c>
      <c r="AL2317" s="1">
        <v>44816.556296296294</v>
      </c>
      <c r="AM2317" t="s">
        <v>44</v>
      </c>
    </row>
    <row r="2318" spans="1:39" x14ac:dyDescent="0.2">
      <c r="A2318" t="s">
        <v>2222</v>
      </c>
      <c r="B2318" t="s">
        <v>40</v>
      </c>
      <c r="C2318" t="s">
        <v>2104</v>
      </c>
      <c r="D2318" t="s">
        <v>42</v>
      </c>
      <c r="E2318" t="s">
        <v>43</v>
      </c>
      <c r="F2318" t="s">
        <v>44</v>
      </c>
      <c r="G2318" t="s">
        <v>45</v>
      </c>
      <c r="AH2318" t="s">
        <v>42</v>
      </c>
      <c r="AI2318" t="str">
        <f>"66298886466977"</f>
        <v>66298886466977</v>
      </c>
      <c r="AJ2318" t="str">
        <f>"S015"</f>
        <v>S015</v>
      </c>
      <c r="AK2318" t="s">
        <v>46</v>
      </c>
      <c r="AL2318" s="1">
        <v>44816.556296296294</v>
      </c>
      <c r="AM2318" t="s">
        <v>44</v>
      </c>
    </row>
    <row r="2319" spans="1:39" x14ac:dyDescent="0.2">
      <c r="A2319" t="s">
        <v>2223</v>
      </c>
      <c r="B2319" t="s">
        <v>40</v>
      </c>
      <c r="C2319" t="s">
        <v>2104</v>
      </c>
      <c r="D2319" t="s">
        <v>42</v>
      </c>
      <c r="E2319" t="s">
        <v>43</v>
      </c>
      <c r="F2319" t="s">
        <v>44</v>
      </c>
      <c r="G2319" t="s">
        <v>45</v>
      </c>
      <c r="AH2319" t="s">
        <v>42</v>
      </c>
      <c r="AI2319" t="str">
        <f>"66298886525979"</f>
        <v>66298886525979</v>
      </c>
      <c r="AJ2319" t="str">
        <f>"D011"</f>
        <v>D011</v>
      </c>
      <c r="AK2319" t="s">
        <v>46</v>
      </c>
      <c r="AL2319" s="1">
        <v>44816.556307870371</v>
      </c>
      <c r="AM2319" t="s">
        <v>44</v>
      </c>
    </row>
    <row r="2320" spans="1:39" x14ac:dyDescent="0.2">
      <c r="A2320" t="s">
        <v>2224</v>
      </c>
      <c r="B2320" t="s">
        <v>40</v>
      </c>
      <c r="C2320" t="s">
        <v>2104</v>
      </c>
      <c r="D2320" t="s">
        <v>42</v>
      </c>
      <c r="E2320" t="s">
        <v>43</v>
      </c>
      <c r="F2320" t="s">
        <v>44</v>
      </c>
      <c r="G2320" t="s">
        <v>45</v>
      </c>
      <c r="AH2320" t="s">
        <v>42</v>
      </c>
      <c r="AI2320" t="str">
        <f>"66298886569686"</f>
        <v>66298886569686</v>
      </c>
      <c r="AJ2320" t="str">
        <f>"A013"</f>
        <v>A013</v>
      </c>
      <c r="AK2320" t="s">
        <v>46</v>
      </c>
      <c r="AL2320" s="1">
        <v>44816.556307870371</v>
      </c>
      <c r="AM2320" t="s">
        <v>44</v>
      </c>
    </row>
    <row r="2321" spans="1:39" x14ac:dyDescent="0.2">
      <c r="A2321" t="s">
        <v>2224</v>
      </c>
      <c r="B2321" t="s">
        <v>40</v>
      </c>
      <c r="C2321" t="s">
        <v>2104</v>
      </c>
      <c r="D2321" t="s">
        <v>42</v>
      </c>
      <c r="E2321" t="s">
        <v>43</v>
      </c>
      <c r="F2321" t="s">
        <v>44</v>
      </c>
      <c r="G2321" t="s">
        <v>45</v>
      </c>
      <c r="AH2321" t="s">
        <v>42</v>
      </c>
      <c r="AI2321" t="str">
        <f>"66298886613055"</f>
        <v>66298886613055</v>
      </c>
      <c r="AJ2321" t="str">
        <f>"FILTRO-STORM"</f>
        <v>FILTRO-STORM</v>
      </c>
      <c r="AK2321" t="s">
        <v>46</v>
      </c>
      <c r="AL2321" s="1">
        <v>44816.556319444448</v>
      </c>
      <c r="AM2321" t="s">
        <v>44</v>
      </c>
    </row>
    <row r="2322" spans="1:39" x14ac:dyDescent="0.2">
      <c r="A2322" t="s">
        <v>2225</v>
      </c>
      <c r="B2322" t="s">
        <v>40</v>
      </c>
      <c r="C2322" t="s">
        <v>2104</v>
      </c>
      <c r="D2322" t="s">
        <v>42</v>
      </c>
      <c r="E2322" t="s">
        <v>43</v>
      </c>
      <c r="F2322" t="s">
        <v>44</v>
      </c>
      <c r="G2322" t="s">
        <v>45</v>
      </c>
      <c r="AH2322" t="s">
        <v>42</v>
      </c>
      <c r="AI2322" t="str">
        <f>"66298886657025"</f>
        <v>66298886657025</v>
      </c>
      <c r="AJ2322" t="str">
        <f>"17214-KRF-B40HB"</f>
        <v>17214-KRF-B40HB</v>
      </c>
      <c r="AK2322" t="s">
        <v>46</v>
      </c>
      <c r="AL2322" s="1">
        <v>44816.556319444448</v>
      </c>
      <c r="AM2322" t="s">
        <v>44</v>
      </c>
    </row>
    <row r="2323" spans="1:39" x14ac:dyDescent="0.2">
      <c r="A2323" t="s">
        <v>2226</v>
      </c>
      <c r="B2323" t="s">
        <v>40</v>
      </c>
      <c r="C2323" t="s">
        <v>2104</v>
      </c>
      <c r="D2323" t="s">
        <v>42</v>
      </c>
      <c r="E2323" t="s">
        <v>43</v>
      </c>
      <c r="F2323" t="s">
        <v>44</v>
      </c>
      <c r="G2323" t="s">
        <v>45</v>
      </c>
      <c r="AH2323" t="s">
        <v>42</v>
      </c>
      <c r="AI2323" t="str">
        <f>"66298886700200"</f>
        <v>66298886700200</v>
      </c>
      <c r="AJ2323" t="str">
        <f>"A058"</f>
        <v>A058</v>
      </c>
      <c r="AK2323" t="s">
        <v>46</v>
      </c>
      <c r="AL2323" s="1">
        <v>44816.556331018517</v>
      </c>
      <c r="AM2323" t="s">
        <v>44</v>
      </c>
    </row>
    <row r="2324" spans="1:39" x14ac:dyDescent="0.2">
      <c r="A2324" t="s">
        <v>2227</v>
      </c>
      <c r="B2324" t="s">
        <v>40</v>
      </c>
      <c r="C2324" t="s">
        <v>2104</v>
      </c>
      <c r="D2324" t="s">
        <v>42</v>
      </c>
      <c r="E2324" t="s">
        <v>43</v>
      </c>
      <c r="F2324" t="s">
        <v>44</v>
      </c>
      <c r="G2324" t="s">
        <v>45</v>
      </c>
      <c r="AH2324" t="s">
        <v>42</v>
      </c>
      <c r="AI2324" t="str">
        <f>"66298886741954"</f>
        <v>66298886741954</v>
      </c>
      <c r="AJ2324" t="str">
        <f>"13780H37200H000"</f>
        <v>13780H37200H000</v>
      </c>
      <c r="AK2324" t="s">
        <v>46</v>
      </c>
      <c r="AL2324" s="1">
        <v>44816.556331018517</v>
      </c>
      <c r="AM2324" t="s">
        <v>44</v>
      </c>
    </row>
    <row r="2325" spans="1:39" x14ac:dyDescent="0.2">
      <c r="A2325" t="s">
        <v>2228</v>
      </c>
      <c r="B2325" t="s">
        <v>40</v>
      </c>
      <c r="C2325" t="s">
        <v>2104</v>
      </c>
      <c r="D2325" t="s">
        <v>42</v>
      </c>
      <c r="E2325" t="s">
        <v>43</v>
      </c>
      <c r="F2325" t="s">
        <v>44</v>
      </c>
      <c r="G2325" t="s">
        <v>45</v>
      </c>
      <c r="AH2325" t="s">
        <v>42</v>
      </c>
      <c r="AI2325" t="str">
        <f>"66298886783973"</f>
        <v>66298886783973</v>
      </c>
      <c r="AJ2325" t="str">
        <f>"F002-48MMHB"</f>
        <v>F002-48MMHB</v>
      </c>
      <c r="AK2325" t="s">
        <v>46</v>
      </c>
      <c r="AL2325" s="1">
        <v>44816.556331018517</v>
      </c>
      <c r="AM2325" t="s">
        <v>44</v>
      </c>
    </row>
    <row r="2326" spans="1:39" x14ac:dyDescent="0.2">
      <c r="A2326" t="s">
        <v>2229</v>
      </c>
      <c r="B2326" t="s">
        <v>40</v>
      </c>
      <c r="C2326" t="s">
        <v>2104</v>
      </c>
      <c r="D2326" t="s">
        <v>42</v>
      </c>
      <c r="E2326" t="s">
        <v>43</v>
      </c>
      <c r="F2326" t="s">
        <v>44</v>
      </c>
      <c r="G2326" t="s">
        <v>45</v>
      </c>
      <c r="AH2326" t="s">
        <v>42</v>
      </c>
      <c r="AI2326" t="str">
        <f>"F003-35MMHB"</f>
        <v>F003-35MMHB</v>
      </c>
      <c r="AJ2326" t="str">
        <f>"F003-35MMHB"</f>
        <v>F003-35MMHB</v>
      </c>
      <c r="AK2326" t="s">
        <v>46</v>
      </c>
      <c r="AL2326" s="1">
        <v>44816.556342592594</v>
      </c>
      <c r="AM2326" t="s">
        <v>44</v>
      </c>
    </row>
    <row r="2327" spans="1:39" x14ac:dyDescent="0.2">
      <c r="A2327" t="s">
        <v>2230</v>
      </c>
      <c r="B2327" t="s">
        <v>40</v>
      </c>
      <c r="C2327" t="s">
        <v>2104</v>
      </c>
      <c r="D2327" t="s">
        <v>42</v>
      </c>
      <c r="E2327" t="s">
        <v>43</v>
      </c>
      <c r="F2327" t="s">
        <v>44</v>
      </c>
      <c r="G2327" t="s">
        <v>45</v>
      </c>
      <c r="AH2327" t="s">
        <v>42</v>
      </c>
      <c r="AI2327" t="str">
        <f>"66298886865966"</f>
        <v>66298886865966</v>
      </c>
      <c r="AJ2327" t="str">
        <f>"F001-39MMHB"</f>
        <v>F001-39MMHB</v>
      </c>
      <c r="AK2327" t="s">
        <v>46</v>
      </c>
      <c r="AL2327" s="1">
        <v>44816.556342592594</v>
      </c>
      <c r="AM2327" t="s">
        <v>44</v>
      </c>
    </row>
    <row r="2328" spans="1:39" x14ac:dyDescent="0.2">
      <c r="A2328" t="s">
        <v>2231</v>
      </c>
      <c r="B2328" t="s">
        <v>40</v>
      </c>
      <c r="C2328" t="s">
        <v>2104</v>
      </c>
      <c r="D2328" t="s">
        <v>42</v>
      </c>
      <c r="E2328" t="s">
        <v>43</v>
      </c>
      <c r="F2328" t="s">
        <v>44</v>
      </c>
      <c r="G2328" t="s">
        <v>45</v>
      </c>
      <c r="AH2328" t="s">
        <v>42</v>
      </c>
      <c r="AI2328" t="str">
        <f>"66298886917992"</f>
        <v>66298886917992</v>
      </c>
      <c r="AJ2328" t="str">
        <f>"F002-45MMHB"</f>
        <v>F002-45MMHB</v>
      </c>
      <c r="AK2328" t="s">
        <v>46</v>
      </c>
      <c r="AL2328" s="1">
        <v>44816.556354166663</v>
      </c>
      <c r="AM2328" t="s">
        <v>44</v>
      </c>
    </row>
    <row r="2329" spans="1:39" x14ac:dyDescent="0.2">
      <c r="A2329" t="s">
        <v>2232</v>
      </c>
      <c r="B2329" t="s">
        <v>40</v>
      </c>
      <c r="C2329" t="s">
        <v>2104</v>
      </c>
      <c r="D2329" t="s">
        <v>42</v>
      </c>
      <c r="E2329" t="s">
        <v>43</v>
      </c>
      <c r="F2329" t="s">
        <v>44</v>
      </c>
      <c r="G2329" t="s">
        <v>45</v>
      </c>
      <c r="AH2329" t="s">
        <v>42</v>
      </c>
      <c r="AI2329" t="str">
        <f>"66298886955198"</f>
        <v>66298886955198</v>
      </c>
      <c r="AJ2329" t="str">
        <f>"1548A"</f>
        <v>1548A</v>
      </c>
      <c r="AK2329" t="s">
        <v>46</v>
      </c>
      <c r="AL2329" s="1">
        <v>44816.556354166663</v>
      </c>
      <c r="AM2329" t="s">
        <v>44</v>
      </c>
    </row>
    <row r="2330" spans="1:39" x14ac:dyDescent="0.2">
      <c r="A2330" t="s">
        <v>2233</v>
      </c>
      <c r="B2330" t="s">
        <v>40</v>
      </c>
      <c r="C2330" t="s">
        <v>2104</v>
      </c>
      <c r="D2330" t="s">
        <v>42</v>
      </c>
      <c r="E2330" t="s">
        <v>43</v>
      </c>
      <c r="F2330" t="s">
        <v>44</v>
      </c>
      <c r="G2330" t="s">
        <v>45</v>
      </c>
      <c r="AH2330" t="s">
        <v>42</v>
      </c>
      <c r="AI2330" t="str">
        <f>"66298886993097"</f>
        <v>66298886993097</v>
      </c>
      <c r="AJ2330" t="str">
        <f>"1658"</f>
        <v>1658</v>
      </c>
      <c r="AK2330" t="s">
        <v>46</v>
      </c>
      <c r="AL2330" s="1">
        <v>44816.556354166663</v>
      </c>
      <c r="AM2330" t="s">
        <v>44</v>
      </c>
    </row>
    <row r="2331" spans="1:39" x14ac:dyDescent="0.2">
      <c r="A2331" t="s">
        <v>2234</v>
      </c>
      <c r="B2331" t="s">
        <v>40</v>
      </c>
      <c r="C2331" t="s">
        <v>2104</v>
      </c>
      <c r="D2331" t="s">
        <v>42</v>
      </c>
      <c r="E2331" t="s">
        <v>43</v>
      </c>
      <c r="F2331" t="s">
        <v>44</v>
      </c>
      <c r="G2331" t="s">
        <v>45</v>
      </c>
      <c r="AH2331" t="s">
        <v>42</v>
      </c>
      <c r="AI2331" t="str">
        <f>"66298887041741"</f>
        <v>66298887041741</v>
      </c>
      <c r="AJ2331" t="str">
        <f>"13780H7A001H000"</f>
        <v>13780H7A001H000</v>
      </c>
      <c r="AK2331" t="s">
        <v>46</v>
      </c>
      <c r="AL2331" s="1">
        <v>44816.55636574074</v>
      </c>
      <c r="AM2331" t="s">
        <v>44</v>
      </c>
    </row>
    <row r="2332" spans="1:39" x14ac:dyDescent="0.2">
      <c r="A2332" t="s">
        <v>2235</v>
      </c>
      <c r="B2332" t="s">
        <v>40</v>
      </c>
      <c r="C2332" t="s">
        <v>2104</v>
      </c>
      <c r="D2332" t="s">
        <v>42</v>
      </c>
      <c r="E2332" t="s">
        <v>43</v>
      </c>
      <c r="F2332" t="s">
        <v>44</v>
      </c>
      <c r="G2332" t="s">
        <v>45</v>
      </c>
      <c r="AH2332" t="s">
        <v>42</v>
      </c>
      <c r="AI2332" t="str">
        <f>"12894"</f>
        <v>12894</v>
      </c>
      <c r="AJ2332" t="str">
        <f>"12894"</f>
        <v>12894</v>
      </c>
      <c r="AK2332" t="s">
        <v>46</v>
      </c>
      <c r="AL2332" s="1">
        <v>45001.828310185185</v>
      </c>
      <c r="AM2332" t="s">
        <v>44</v>
      </c>
    </row>
    <row r="2333" spans="1:39" x14ac:dyDescent="0.2">
      <c r="A2333" t="s">
        <v>2236</v>
      </c>
      <c r="B2333" t="s">
        <v>40</v>
      </c>
      <c r="C2333" t="s">
        <v>2104</v>
      </c>
      <c r="D2333" t="s">
        <v>42</v>
      </c>
      <c r="E2333" t="s">
        <v>43</v>
      </c>
      <c r="F2333" t="s">
        <v>44</v>
      </c>
      <c r="G2333" t="s">
        <v>45</v>
      </c>
      <c r="AH2333" t="s">
        <v>42</v>
      </c>
      <c r="AI2333" t="str">
        <f>"66298887095640"</f>
        <v>66298887095640</v>
      </c>
      <c r="AJ2333" t="str">
        <f>"13780-04F00HB"</f>
        <v>13780-04F00HB</v>
      </c>
      <c r="AK2333" t="s">
        <v>46</v>
      </c>
      <c r="AL2333" s="1">
        <v>44816.55636574074</v>
      </c>
      <c r="AM2333" t="s">
        <v>44</v>
      </c>
    </row>
    <row r="2334" spans="1:39" x14ac:dyDescent="0.2">
      <c r="A2334" t="s">
        <v>2237</v>
      </c>
      <c r="B2334" t="s">
        <v>40</v>
      </c>
      <c r="C2334" t="s">
        <v>2104</v>
      </c>
      <c r="D2334" t="s">
        <v>42</v>
      </c>
      <c r="E2334" t="s">
        <v>43</v>
      </c>
      <c r="F2334" t="s">
        <v>44</v>
      </c>
      <c r="G2334" t="s">
        <v>45</v>
      </c>
      <c r="AH2334" t="s">
        <v>42</v>
      </c>
      <c r="AI2334" t="str">
        <f>"66298887136466"</f>
        <v>66298887136466</v>
      </c>
      <c r="AJ2334" t="str">
        <f>"S023"</f>
        <v>S023</v>
      </c>
      <c r="AK2334" t="s">
        <v>46</v>
      </c>
      <c r="AL2334" s="1">
        <v>44816.556377314817</v>
      </c>
      <c r="AM2334" t="s">
        <v>44</v>
      </c>
    </row>
    <row r="2335" spans="1:39" x14ac:dyDescent="0.2">
      <c r="A2335" t="s">
        <v>2237</v>
      </c>
      <c r="B2335" t="s">
        <v>40</v>
      </c>
      <c r="C2335" t="s">
        <v>2104</v>
      </c>
      <c r="D2335" t="s">
        <v>42</v>
      </c>
      <c r="E2335" t="s">
        <v>43</v>
      </c>
      <c r="F2335" t="s">
        <v>44</v>
      </c>
      <c r="G2335" t="s">
        <v>45</v>
      </c>
      <c r="AH2335" t="s">
        <v>42</v>
      </c>
      <c r="AI2335" t="str">
        <f>"8006"</f>
        <v>8006</v>
      </c>
      <c r="AJ2335" t="str">
        <f>"8006"</f>
        <v>8006</v>
      </c>
      <c r="AK2335" t="s">
        <v>46</v>
      </c>
      <c r="AL2335" s="1">
        <v>45118.648900462962</v>
      </c>
      <c r="AM2335" t="s">
        <v>44</v>
      </c>
    </row>
    <row r="2336" spans="1:39" x14ac:dyDescent="0.2">
      <c r="A2336" t="s">
        <v>2238</v>
      </c>
      <c r="B2336" t="s">
        <v>40</v>
      </c>
      <c r="C2336" t="s">
        <v>2104</v>
      </c>
      <c r="D2336" t="s">
        <v>42</v>
      </c>
      <c r="E2336" t="s">
        <v>43</v>
      </c>
      <c r="F2336" t="s">
        <v>44</v>
      </c>
      <c r="G2336" t="s">
        <v>45</v>
      </c>
      <c r="AH2336" t="s">
        <v>42</v>
      </c>
      <c r="AI2336" t="str">
        <f>"66298887173507"</f>
        <v>66298887173507</v>
      </c>
      <c r="AJ2336" t="str">
        <f>"S032"</f>
        <v>S032</v>
      </c>
      <c r="AK2336" t="s">
        <v>46</v>
      </c>
      <c r="AL2336" s="1">
        <v>44816.556377314817</v>
      </c>
      <c r="AM2336" t="s">
        <v>44</v>
      </c>
    </row>
    <row r="2337" spans="1:39" x14ac:dyDescent="0.2">
      <c r="A2337" t="s">
        <v>2239</v>
      </c>
      <c r="B2337" t="s">
        <v>40</v>
      </c>
      <c r="C2337" t="s">
        <v>2104</v>
      </c>
      <c r="D2337" t="s">
        <v>42</v>
      </c>
      <c r="E2337" t="s">
        <v>43</v>
      </c>
      <c r="F2337" t="s">
        <v>44</v>
      </c>
      <c r="G2337" t="s">
        <v>45</v>
      </c>
      <c r="AH2337" t="s">
        <v>42</v>
      </c>
      <c r="AI2337" t="str">
        <f>"66298887269501"</f>
        <v>66298887269501</v>
      </c>
      <c r="AJ2337" t="str">
        <f>"17211-KPE-730"</f>
        <v>17211-KPE-730</v>
      </c>
      <c r="AK2337" t="s">
        <v>46</v>
      </c>
      <c r="AL2337" s="1">
        <v>44816.556388888886</v>
      </c>
      <c r="AM2337" t="s">
        <v>44</v>
      </c>
    </row>
    <row r="2338" spans="1:39" x14ac:dyDescent="0.2">
      <c r="A2338" t="s">
        <v>2240</v>
      </c>
      <c r="B2338" t="s">
        <v>40</v>
      </c>
      <c r="C2338" t="s">
        <v>2104</v>
      </c>
      <c r="D2338" t="s">
        <v>42</v>
      </c>
      <c r="E2338" t="s">
        <v>43</v>
      </c>
      <c r="F2338" t="s">
        <v>44</v>
      </c>
      <c r="G2338" t="s">
        <v>45</v>
      </c>
      <c r="AH2338" t="s">
        <v>42</v>
      </c>
      <c r="AI2338" t="str">
        <f>"66298887220007"</f>
        <v>66298887220007</v>
      </c>
      <c r="AJ2338" t="str">
        <f>"80751"</f>
        <v>80751</v>
      </c>
      <c r="AK2338" t="s">
        <v>46</v>
      </c>
      <c r="AL2338" s="1">
        <v>44816.556388888886</v>
      </c>
      <c r="AM2338" t="s">
        <v>44</v>
      </c>
    </row>
    <row r="2339" spans="1:39" x14ac:dyDescent="0.2">
      <c r="A2339" t="s">
        <v>2241</v>
      </c>
      <c r="B2339" t="s">
        <v>40</v>
      </c>
      <c r="C2339" t="s">
        <v>2104</v>
      </c>
      <c r="D2339" t="s">
        <v>42</v>
      </c>
      <c r="E2339" t="s">
        <v>43</v>
      </c>
      <c r="F2339" t="s">
        <v>44</v>
      </c>
      <c r="G2339" t="s">
        <v>45</v>
      </c>
      <c r="AH2339" t="s">
        <v>42</v>
      </c>
      <c r="AI2339" t="str">
        <f>"7507"</f>
        <v>7507</v>
      </c>
      <c r="AJ2339" t="str">
        <f>"7507"</f>
        <v>7507</v>
      </c>
      <c r="AK2339" t="s">
        <v>46</v>
      </c>
      <c r="AL2339" s="1">
        <v>45117.840474537035</v>
      </c>
      <c r="AM2339" t="s">
        <v>44</v>
      </c>
    </row>
    <row r="2340" spans="1:39" x14ac:dyDescent="0.2">
      <c r="A2340" t="s">
        <v>2242</v>
      </c>
      <c r="B2340" t="s">
        <v>40</v>
      </c>
      <c r="C2340" t="s">
        <v>2104</v>
      </c>
      <c r="D2340" t="s">
        <v>42</v>
      </c>
      <c r="E2340" t="s">
        <v>43</v>
      </c>
      <c r="F2340" t="s">
        <v>44</v>
      </c>
      <c r="G2340" t="s">
        <v>45</v>
      </c>
      <c r="AH2340" t="s">
        <v>42</v>
      </c>
      <c r="AI2340" t="str">
        <f>"66298887347571"</f>
        <v>66298887347571</v>
      </c>
      <c r="AJ2340" t="str">
        <f>"17211-KWT-A20HB"</f>
        <v>17211-KWT-A20HB</v>
      </c>
      <c r="AK2340" t="s">
        <v>46</v>
      </c>
      <c r="AL2340" s="1">
        <v>44816.556400462963</v>
      </c>
      <c r="AM2340" t="s">
        <v>44</v>
      </c>
    </row>
    <row r="2341" spans="1:39" x14ac:dyDescent="0.2">
      <c r="A2341" t="s">
        <v>2243</v>
      </c>
      <c r="B2341" t="s">
        <v>40</v>
      </c>
      <c r="C2341" t="s">
        <v>2104</v>
      </c>
      <c r="D2341" t="s">
        <v>42</v>
      </c>
      <c r="E2341" t="s">
        <v>43</v>
      </c>
      <c r="F2341" t="s">
        <v>44</v>
      </c>
      <c r="G2341" t="s">
        <v>45</v>
      </c>
      <c r="AH2341" t="s">
        <v>42</v>
      </c>
      <c r="AI2341" t="str">
        <f>"66298887309543"</f>
        <v>66298887309543</v>
      </c>
      <c r="AJ2341" t="str">
        <f>"17211-KWT-900BR"</f>
        <v>17211-KWT-900BR</v>
      </c>
      <c r="AK2341" t="s">
        <v>46</v>
      </c>
      <c r="AL2341" s="1">
        <v>44816.556400462963</v>
      </c>
      <c r="AM2341" t="s">
        <v>44</v>
      </c>
    </row>
    <row r="2342" spans="1:39" x14ac:dyDescent="0.2">
      <c r="A2342" t="s">
        <v>2244</v>
      </c>
      <c r="B2342" t="s">
        <v>40</v>
      </c>
      <c r="C2342" t="s">
        <v>2104</v>
      </c>
      <c r="D2342" t="s">
        <v>42</v>
      </c>
      <c r="E2342" t="s">
        <v>43</v>
      </c>
      <c r="F2342" t="s">
        <v>44</v>
      </c>
      <c r="G2342" t="s">
        <v>45</v>
      </c>
      <c r="AH2342" t="s">
        <v>42</v>
      </c>
      <c r="AI2342" t="str">
        <f>"66298887390618"</f>
        <v>66298887390618</v>
      </c>
      <c r="AJ2342" t="str">
        <f>"5RM-14451-00HB"</f>
        <v>5RM-14451-00HB</v>
      </c>
      <c r="AK2342" t="s">
        <v>46</v>
      </c>
      <c r="AL2342" s="1">
        <v>44816.556400462963</v>
      </c>
      <c r="AM2342" t="s">
        <v>44</v>
      </c>
    </row>
    <row r="2343" spans="1:39" x14ac:dyDescent="0.2">
      <c r="A2343" t="s">
        <v>2245</v>
      </c>
      <c r="B2343" t="s">
        <v>40</v>
      </c>
      <c r="C2343" t="s">
        <v>2104</v>
      </c>
      <c r="D2343" t="s">
        <v>42</v>
      </c>
      <c r="E2343" t="s">
        <v>43</v>
      </c>
      <c r="F2343" t="s">
        <v>44</v>
      </c>
      <c r="G2343" t="s">
        <v>45</v>
      </c>
      <c r="AH2343" t="s">
        <v>42</v>
      </c>
      <c r="AI2343" t="str">
        <f>"66298887431910"</f>
        <v>66298887431910</v>
      </c>
      <c r="AJ2343" t="str">
        <f>"1S4-14451-00HB"</f>
        <v>1S4-14451-00HB</v>
      </c>
      <c r="AK2343" t="s">
        <v>46</v>
      </c>
      <c r="AL2343" s="1">
        <v>44816.55641203704</v>
      </c>
      <c r="AM2343" t="s">
        <v>44</v>
      </c>
    </row>
    <row r="2344" spans="1:39" x14ac:dyDescent="0.2">
      <c r="A2344" t="s">
        <v>2246</v>
      </c>
      <c r="B2344" t="s">
        <v>40</v>
      </c>
      <c r="C2344" t="s">
        <v>2104</v>
      </c>
      <c r="D2344" t="s">
        <v>42</v>
      </c>
      <c r="E2344" t="s">
        <v>43</v>
      </c>
      <c r="F2344" t="s">
        <v>44</v>
      </c>
      <c r="G2344" t="s">
        <v>45</v>
      </c>
      <c r="AH2344" t="s">
        <v>42</v>
      </c>
      <c r="AI2344" t="str">
        <f>"66298887512225"</f>
        <v>66298887512225</v>
      </c>
      <c r="AJ2344" t="str">
        <f>"5VL-E4450-00HB"</f>
        <v>5VL-E4450-00HB</v>
      </c>
      <c r="AK2344" t="s">
        <v>46</v>
      </c>
      <c r="AL2344" s="1">
        <v>44816.556423611109</v>
      </c>
      <c r="AM2344" t="s">
        <v>44</v>
      </c>
    </row>
    <row r="2345" spans="1:39" x14ac:dyDescent="0.2">
      <c r="A2345" t="s">
        <v>2247</v>
      </c>
      <c r="B2345" t="s">
        <v>40</v>
      </c>
      <c r="C2345" t="s">
        <v>2104</v>
      </c>
      <c r="D2345" t="s">
        <v>42</v>
      </c>
      <c r="E2345" t="s">
        <v>43</v>
      </c>
      <c r="F2345" t="s">
        <v>44</v>
      </c>
      <c r="G2345" t="s">
        <v>45</v>
      </c>
      <c r="AH2345" t="s">
        <v>42</v>
      </c>
      <c r="AI2345" t="str">
        <f>"66298887552930"</f>
        <v>66298887552930</v>
      </c>
      <c r="AJ2345" t="str">
        <f>"5HH-14450-00HB"</f>
        <v>5HH-14450-00HB</v>
      </c>
      <c r="AK2345" t="s">
        <v>46</v>
      </c>
      <c r="AL2345" s="1">
        <v>44816.556423611109</v>
      </c>
      <c r="AM2345" t="s">
        <v>44</v>
      </c>
    </row>
    <row r="2346" spans="1:39" x14ac:dyDescent="0.2">
      <c r="A2346" t="s">
        <v>2248</v>
      </c>
      <c r="B2346" t="s">
        <v>40</v>
      </c>
      <c r="C2346" t="s">
        <v>2104</v>
      </c>
      <c r="D2346" t="s">
        <v>42</v>
      </c>
      <c r="E2346" t="s">
        <v>43</v>
      </c>
      <c r="F2346" t="s">
        <v>44</v>
      </c>
      <c r="G2346" t="s">
        <v>45</v>
      </c>
      <c r="AH2346" t="s">
        <v>42</v>
      </c>
      <c r="AI2346" t="str">
        <f>"66298887470077"</f>
        <v>66298887470077</v>
      </c>
      <c r="AJ2346" t="str">
        <f>"S010"</f>
        <v>S010</v>
      </c>
      <c r="AK2346" t="s">
        <v>46</v>
      </c>
      <c r="AL2346" s="1">
        <v>44816.55641203704</v>
      </c>
      <c r="AM2346" t="s">
        <v>44</v>
      </c>
    </row>
    <row r="2347" spans="1:39" x14ac:dyDescent="0.2">
      <c r="A2347" t="s">
        <v>2249</v>
      </c>
      <c r="B2347" t="s">
        <v>40</v>
      </c>
      <c r="C2347" t="s">
        <v>2104</v>
      </c>
      <c r="D2347" t="s">
        <v>42</v>
      </c>
      <c r="E2347" t="s">
        <v>43</v>
      </c>
      <c r="F2347" t="s">
        <v>44</v>
      </c>
      <c r="G2347" t="s">
        <v>45</v>
      </c>
      <c r="AH2347" t="s">
        <v>42</v>
      </c>
      <c r="AI2347" t="str">
        <f>"66298887589615"</f>
        <v>66298887589615</v>
      </c>
      <c r="AJ2347" t="str">
        <f>"5KA-E4450-00"</f>
        <v>5KA-E4450-00</v>
      </c>
      <c r="AK2347" t="s">
        <v>46</v>
      </c>
      <c r="AL2347" s="1">
        <v>44816.556423611109</v>
      </c>
      <c r="AM2347" t="s">
        <v>44</v>
      </c>
    </row>
    <row r="2348" spans="1:39" x14ac:dyDescent="0.2">
      <c r="A2348" t="s">
        <v>2250</v>
      </c>
      <c r="B2348" t="s">
        <v>40</v>
      </c>
      <c r="C2348" t="s">
        <v>2104</v>
      </c>
      <c r="D2348" t="s">
        <v>42</v>
      </c>
      <c r="E2348" t="s">
        <v>43</v>
      </c>
      <c r="F2348" t="s">
        <v>44</v>
      </c>
      <c r="G2348" t="s">
        <v>45</v>
      </c>
      <c r="AH2348" t="s">
        <v>42</v>
      </c>
      <c r="AI2348" t="str">
        <f>"66298887628121"</f>
        <v>66298887628121</v>
      </c>
      <c r="AJ2348" t="str">
        <f>"4VP-E4451-00HB"</f>
        <v>4VP-E4451-00HB</v>
      </c>
      <c r="AK2348" t="s">
        <v>46</v>
      </c>
      <c r="AL2348" s="1">
        <v>44816.556435185186</v>
      </c>
      <c r="AM2348" t="s">
        <v>44</v>
      </c>
    </row>
    <row r="2349" spans="1:39" x14ac:dyDescent="0.2">
      <c r="A2349" t="s">
        <v>2251</v>
      </c>
      <c r="B2349" t="s">
        <v>40</v>
      </c>
      <c r="C2349" t="s">
        <v>2104</v>
      </c>
      <c r="D2349" t="s">
        <v>42</v>
      </c>
      <c r="E2349" t="s">
        <v>43</v>
      </c>
      <c r="F2349" t="s">
        <v>44</v>
      </c>
      <c r="G2349" t="s">
        <v>45</v>
      </c>
      <c r="AH2349" t="s">
        <v>42</v>
      </c>
      <c r="AI2349" t="str">
        <f>"66298887670003"</f>
        <v>66298887670003</v>
      </c>
      <c r="AJ2349" t="str">
        <f>"5S9-E4451-00HB"</f>
        <v>5S9-E4451-00HB</v>
      </c>
      <c r="AK2349" t="s">
        <v>46</v>
      </c>
      <c r="AL2349" s="1">
        <v>44816.556435185186</v>
      </c>
      <c r="AM2349" t="s">
        <v>44</v>
      </c>
    </row>
    <row r="2350" spans="1:39" x14ac:dyDescent="0.2">
      <c r="A2350" t="s">
        <v>2252</v>
      </c>
      <c r="B2350" t="s">
        <v>40</v>
      </c>
      <c r="C2350" t="s">
        <v>2104</v>
      </c>
      <c r="D2350" t="s">
        <v>42</v>
      </c>
      <c r="E2350" t="s">
        <v>43</v>
      </c>
      <c r="F2350" t="s">
        <v>44</v>
      </c>
      <c r="G2350" t="s">
        <v>45</v>
      </c>
      <c r="AH2350" t="s">
        <v>42</v>
      </c>
      <c r="AI2350" t="str">
        <f>"66298887722105"</f>
        <v>66298887722105</v>
      </c>
      <c r="AJ2350" t="str">
        <f>"20P-E4450-00HB"</f>
        <v>20P-E4450-00HB</v>
      </c>
      <c r="AK2350" t="s">
        <v>46</v>
      </c>
      <c r="AL2350" s="1">
        <v>44816.556446759256</v>
      </c>
      <c r="AM2350" t="s">
        <v>44</v>
      </c>
    </row>
    <row r="2351" spans="1:39" x14ac:dyDescent="0.2">
      <c r="A2351" t="s">
        <v>2252</v>
      </c>
      <c r="B2351" t="s">
        <v>40</v>
      </c>
      <c r="C2351" t="s">
        <v>2104</v>
      </c>
      <c r="D2351" t="s">
        <v>42</v>
      </c>
      <c r="E2351" t="s">
        <v>43</v>
      </c>
      <c r="F2351" t="s">
        <v>44</v>
      </c>
      <c r="G2351" t="s">
        <v>45</v>
      </c>
      <c r="AH2351" t="s">
        <v>42</v>
      </c>
      <c r="AI2351" t="str">
        <f>"66298887733535"</f>
        <v>66298887733535</v>
      </c>
      <c r="AJ2351" t="str">
        <f>"S055"</f>
        <v>S055</v>
      </c>
      <c r="AK2351" t="s">
        <v>46</v>
      </c>
      <c r="AL2351" s="1">
        <v>44816.556446759256</v>
      </c>
      <c r="AM2351" t="s">
        <v>44</v>
      </c>
    </row>
    <row r="2352" spans="1:39" x14ac:dyDescent="0.2">
      <c r="A2352" t="s">
        <v>2253</v>
      </c>
      <c r="B2352" t="s">
        <v>40</v>
      </c>
      <c r="C2352" t="s">
        <v>2104</v>
      </c>
      <c r="D2352" t="s">
        <v>42</v>
      </c>
      <c r="E2352" t="s">
        <v>43</v>
      </c>
      <c r="F2352" t="s">
        <v>44</v>
      </c>
      <c r="G2352" t="s">
        <v>45</v>
      </c>
      <c r="AH2352" t="s">
        <v>42</v>
      </c>
      <c r="AI2352" t="str">
        <f>"66298887792074"</f>
        <v>66298887792074</v>
      </c>
      <c r="AJ2352" t="str">
        <f>"1WD-E4451-00HB"</f>
        <v>1WD-E4451-00HB</v>
      </c>
      <c r="AK2352" t="s">
        <v>46</v>
      </c>
      <c r="AL2352" s="1">
        <v>44816.556446759256</v>
      </c>
      <c r="AM2352" t="s">
        <v>44</v>
      </c>
    </row>
    <row r="2353" spans="1:39" x14ac:dyDescent="0.2">
      <c r="A2353" t="s">
        <v>2254</v>
      </c>
      <c r="B2353" t="s">
        <v>40</v>
      </c>
      <c r="C2353" t="s">
        <v>2104</v>
      </c>
      <c r="D2353" t="s">
        <v>42</v>
      </c>
      <c r="E2353" t="s">
        <v>43</v>
      </c>
      <c r="F2353" t="s">
        <v>44</v>
      </c>
      <c r="G2353" t="s">
        <v>45</v>
      </c>
      <c r="AH2353" t="s">
        <v>42</v>
      </c>
      <c r="AI2353" t="str">
        <f>"66298887834607"</f>
        <v>66298887834607</v>
      </c>
      <c r="AJ2353" t="str">
        <f>"ZNT22-F14-405"</f>
        <v>ZNT22-F14-405</v>
      </c>
      <c r="AK2353" t="s">
        <v>46</v>
      </c>
      <c r="AL2353" s="1">
        <v>44816.556458333333</v>
      </c>
      <c r="AM2353" t="s">
        <v>44</v>
      </c>
    </row>
    <row r="2354" spans="1:39" x14ac:dyDescent="0.2">
      <c r="A2354" t="s">
        <v>2255</v>
      </c>
      <c r="B2354" t="s">
        <v>40</v>
      </c>
      <c r="C2354" t="s">
        <v>2104</v>
      </c>
      <c r="D2354" t="s">
        <v>42</v>
      </c>
      <c r="E2354" t="s">
        <v>43</v>
      </c>
      <c r="F2354" t="s">
        <v>44</v>
      </c>
      <c r="G2354" t="s">
        <v>45</v>
      </c>
      <c r="AH2354" t="s">
        <v>42</v>
      </c>
      <c r="AI2354" t="str">
        <f>"44360-05760-000"</f>
        <v>44360-05760-000</v>
      </c>
      <c r="AJ2354" t="str">
        <f>"44360-05760-000"</f>
        <v>44360-05760-000</v>
      </c>
      <c r="AK2354" t="s">
        <v>46</v>
      </c>
      <c r="AL2354" s="1">
        <v>44819.587210648147</v>
      </c>
      <c r="AM2354" t="s">
        <v>44</v>
      </c>
    </row>
    <row r="2355" spans="1:39" x14ac:dyDescent="0.2">
      <c r="A2355" t="s">
        <v>2256</v>
      </c>
      <c r="B2355" t="s">
        <v>40</v>
      </c>
      <c r="C2355" t="s">
        <v>2104</v>
      </c>
      <c r="D2355" t="s">
        <v>42</v>
      </c>
      <c r="E2355" t="s">
        <v>43</v>
      </c>
      <c r="F2355" t="s">
        <v>44</v>
      </c>
      <c r="G2355" t="s">
        <v>45</v>
      </c>
      <c r="AH2355" t="s">
        <v>42</v>
      </c>
      <c r="AI2355" t="str">
        <f>"DT171814"</f>
        <v>DT171814</v>
      </c>
      <c r="AJ2355" t="str">
        <f>"DT171814"</f>
        <v>DT171814</v>
      </c>
      <c r="AK2355" t="s">
        <v>46</v>
      </c>
      <c r="AL2355" s="1">
        <v>44904.619456018518</v>
      </c>
      <c r="AM2355" t="s">
        <v>44</v>
      </c>
    </row>
    <row r="2356" spans="1:39" x14ac:dyDescent="0.2">
      <c r="A2356" t="s">
        <v>2257</v>
      </c>
      <c r="B2356" t="s">
        <v>40</v>
      </c>
      <c r="C2356" t="s">
        <v>2104</v>
      </c>
      <c r="D2356" t="s">
        <v>42</v>
      </c>
      <c r="E2356" t="s">
        <v>43</v>
      </c>
      <c r="F2356" t="s">
        <v>44</v>
      </c>
      <c r="G2356" t="s">
        <v>45</v>
      </c>
      <c r="AH2356" t="s">
        <v>42</v>
      </c>
      <c r="AI2356" t="str">
        <f>"67950194117066"</f>
        <v>67950194117066</v>
      </c>
      <c r="AJ2356" t="str">
        <f>"P-AP6S21-01"</f>
        <v>P-AP6S21-01</v>
      </c>
      <c r="AK2356" t="s">
        <v>46</v>
      </c>
      <c r="AL2356" s="1">
        <v>45007.679872685185</v>
      </c>
      <c r="AM2356" t="s">
        <v>44</v>
      </c>
    </row>
    <row r="2357" spans="1:39" x14ac:dyDescent="0.2">
      <c r="A2357" t="s">
        <v>2258</v>
      </c>
      <c r="B2357" t="s">
        <v>40</v>
      </c>
      <c r="C2357" t="s">
        <v>2104</v>
      </c>
      <c r="D2357" t="s">
        <v>42</v>
      </c>
      <c r="E2357" t="s">
        <v>43</v>
      </c>
      <c r="F2357" t="s">
        <v>44</v>
      </c>
      <c r="G2357" t="s">
        <v>45</v>
      </c>
      <c r="AH2357" t="s">
        <v>42</v>
      </c>
      <c r="AI2357" t="str">
        <f>"67950194131162"</f>
        <v>67950194131162</v>
      </c>
      <c r="AJ2357" t="str">
        <f>"P-AP10S16-0R"</f>
        <v>P-AP10S16-0R</v>
      </c>
      <c r="AK2357" t="s">
        <v>46</v>
      </c>
      <c r="AL2357" s="1">
        <v>45007.679872685185</v>
      </c>
      <c r="AM2357" t="s">
        <v>44</v>
      </c>
    </row>
    <row r="2358" spans="1:39" x14ac:dyDescent="0.2">
      <c r="A2358" t="s">
        <v>2259</v>
      </c>
      <c r="B2358" t="s">
        <v>40</v>
      </c>
      <c r="C2358" t="s">
        <v>2104</v>
      </c>
      <c r="D2358" t="s">
        <v>42</v>
      </c>
      <c r="E2358" t="s">
        <v>43</v>
      </c>
      <c r="F2358" t="s">
        <v>44</v>
      </c>
      <c r="G2358" t="s">
        <v>45</v>
      </c>
      <c r="AH2358" t="s">
        <v>42</v>
      </c>
      <c r="AI2358" t="str">
        <f>"67950194190273"</f>
        <v>67950194190273</v>
      </c>
      <c r="AJ2358" t="str">
        <f>"P-BE3N15-01"</f>
        <v>P-BE3N15-01</v>
      </c>
      <c r="AK2358" t="s">
        <v>46</v>
      </c>
      <c r="AL2358" s="1">
        <v>45007.679872685185</v>
      </c>
      <c r="AM2358" t="s">
        <v>44</v>
      </c>
    </row>
    <row r="2359" spans="1:39" x14ac:dyDescent="0.2">
      <c r="A2359" t="s">
        <v>2260</v>
      </c>
      <c r="B2359" t="s">
        <v>40</v>
      </c>
      <c r="C2359" t="s">
        <v>2104</v>
      </c>
      <c r="D2359" t="s">
        <v>42</v>
      </c>
      <c r="E2359" t="s">
        <v>43</v>
      </c>
      <c r="F2359" t="s">
        <v>44</v>
      </c>
      <c r="G2359" t="s">
        <v>45</v>
      </c>
      <c r="AH2359" t="s">
        <v>42</v>
      </c>
      <c r="AI2359" t="str">
        <f>"67950194204556"</f>
        <v>67950194204556</v>
      </c>
      <c r="AJ2359" t="str">
        <f>"P-BE6N15-01"</f>
        <v>P-BE6N15-01</v>
      </c>
      <c r="AK2359" t="s">
        <v>46</v>
      </c>
      <c r="AL2359" s="1">
        <v>45007.679884259262</v>
      </c>
      <c r="AM2359" t="s">
        <v>44</v>
      </c>
    </row>
    <row r="2360" spans="1:39" x14ac:dyDescent="0.2">
      <c r="A2360" t="s">
        <v>2261</v>
      </c>
      <c r="B2360" t="s">
        <v>40</v>
      </c>
      <c r="C2360" t="s">
        <v>2104</v>
      </c>
      <c r="D2360" t="s">
        <v>42</v>
      </c>
      <c r="E2360" t="s">
        <v>43</v>
      </c>
      <c r="F2360" t="s">
        <v>44</v>
      </c>
      <c r="G2360" t="s">
        <v>45</v>
      </c>
      <c r="AH2360" t="s">
        <v>42</v>
      </c>
      <c r="AI2360" t="str">
        <f>"67950194212682"</f>
        <v>67950194212682</v>
      </c>
      <c r="AJ2360" t="str">
        <f>"P-BE5N20-01"</f>
        <v>P-BE5N20-01</v>
      </c>
      <c r="AK2360" t="s">
        <v>46</v>
      </c>
      <c r="AL2360" s="1">
        <v>45007.679884259262</v>
      </c>
      <c r="AM2360" t="s">
        <v>44</v>
      </c>
    </row>
    <row r="2361" spans="1:39" x14ac:dyDescent="0.2">
      <c r="A2361" t="s">
        <v>2262</v>
      </c>
      <c r="B2361" t="s">
        <v>40</v>
      </c>
      <c r="C2361" t="s">
        <v>2104</v>
      </c>
      <c r="D2361" t="s">
        <v>42</v>
      </c>
      <c r="E2361" t="s">
        <v>43</v>
      </c>
      <c r="F2361" t="s">
        <v>44</v>
      </c>
      <c r="G2361" t="s">
        <v>45</v>
      </c>
      <c r="AH2361" t="s">
        <v>42</v>
      </c>
      <c r="AI2361" t="str">
        <f>"67950194243716"</f>
        <v>67950194243716</v>
      </c>
      <c r="AJ2361" t="str">
        <f>"P-BM8E20-01"</f>
        <v>P-BM8E20-01</v>
      </c>
      <c r="AK2361" t="s">
        <v>46</v>
      </c>
      <c r="AL2361" s="1">
        <v>45007.679884259262</v>
      </c>
      <c r="AM2361" t="s">
        <v>44</v>
      </c>
    </row>
    <row r="2362" spans="1:39" x14ac:dyDescent="0.2">
      <c r="A2362" t="s">
        <v>2263</v>
      </c>
      <c r="B2362" t="s">
        <v>40</v>
      </c>
      <c r="C2362" t="s">
        <v>2104</v>
      </c>
      <c r="D2362" t="s">
        <v>42</v>
      </c>
      <c r="E2362" t="s">
        <v>43</v>
      </c>
      <c r="F2362" t="s">
        <v>44</v>
      </c>
      <c r="G2362" t="s">
        <v>45</v>
      </c>
      <c r="AH2362" t="s">
        <v>42</v>
      </c>
      <c r="AI2362" t="str">
        <f>"67950194259721"</f>
        <v>67950194259721</v>
      </c>
      <c r="AJ2362" t="str">
        <f>"P-BM8S09-01"</f>
        <v>P-BM8S09-01</v>
      </c>
      <c r="AK2362" t="s">
        <v>46</v>
      </c>
      <c r="AL2362" s="1">
        <v>45007.679884259262</v>
      </c>
      <c r="AM2362" t="s">
        <v>44</v>
      </c>
    </row>
    <row r="2363" spans="1:39" x14ac:dyDescent="0.2">
      <c r="A2363" t="s">
        <v>2264</v>
      </c>
      <c r="B2363" t="s">
        <v>40</v>
      </c>
      <c r="C2363" t="s">
        <v>2104</v>
      </c>
      <c r="D2363" t="s">
        <v>42</v>
      </c>
      <c r="E2363" t="s">
        <v>43</v>
      </c>
      <c r="F2363" t="s">
        <v>44</v>
      </c>
      <c r="G2363" t="s">
        <v>45</v>
      </c>
      <c r="AH2363" t="s">
        <v>42</v>
      </c>
      <c r="AI2363" t="str">
        <f>"67950194278735"</f>
        <v>67950194278735</v>
      </c>
      <c r="AJ2363" t="str">
        <f>"P-BM3N20-01"</f>
        <v>P-BM3N20-01</v>
      </c>
      <c r="AK2363" t="s">
        <v>46</v>
      </c>
      <c r="AL2363" s="1">
        <v>45007.679884259262</v>
      </c>
      <c r="AM2363" t="s">
        <v>44</v>
      </c>
    </row>
    <row r="2364" spans="1:39" x14ac:dyDescent="0.2">
      <c r="A2364" t="s">
        <v>2265</v>
      </c>
      <c r="B2364" t="s">
        <v>40</v>
      </c>
      <c r="C2364" t="s">
        <v>2104</v>
      </c>
      <c r="D2364" t="s">
        <v>42</v>
      </c>
      <c r="E2364" t="s">
        <v>43</v>
      </c>
      <c r="F2364" t="s">
        <v>44</v>
      </c>
      <c r="G2364" t="s">
        <v>45</v>
      </c>
      <c r="AH2364" t="s">
        <v>42</v>
      </c>
      <c r="AI2364" t="str">
        <f>"67950194340110"</f>
        <v>67950194340110</v>
      </c>
      <c r="AJ2364" t="str">
        <f>"P-BM12E13-01"</f>
        <v>P-BM12E13-01</v>
      </c>
      <c r="AK2364" t="s">
        <v>46</v>
      </c>
      <c r="AL2364" s="1">
        <v>45007.679895833331</v>
      </c>
      <c r="AM2364" t="s">
        <v>44</v>
      </c>
    </row>
    <row r="2365" spans="1:39" x14ac:dyDescent="0.2">
      <c r="A2365" t="s">
        <v>2266</v>
      </c>
      <c r="B2365" t="s">
        <v>40</v>
      </c>
      <c r="C2365" t="s">
        <v>2104</v>
      </c>
      <c r="D2365" t="s">
        <v>42</v>
      </c>
      <c r="E2365" t="s">
        <v>43</v>
      </c>
      <c r="F2365" t="s">
        <v>44</v>
      </c>
      <c r="G2365" t="s">
        <v>45</v>
      </c>
      <c r="AH2365" t="s">
        <v>42</v>
      </c>
      <c r="AI2365" t="str">
        <f>"67950194341651"</f>
        <v>67950194341651</v>
      </c>
      <c r="AJ2365" t="str">
        <f>"P-BM10S10-0R"</f>
        <v>P-BM10S10-0R</v>
      </c>
      <c r="AK2365" t="s">
        <v>46</v>
      </c>
      <c r="AL2365" s="1">
        <v>45007.679895833331</v>
      </c>
      <c r="AM2365" t="s">
        <v>44</v>
      </c>
    </row>
    <row r="2366" spans="1:39" x14ac:dyDescent="0.2">
      <c r="A2366" t="s">
        <v>2267</v>
      </c>
      <c r="B2366" t="s">
        <v>40</v>
      </c>
      <c r="C2366" t="s">
        <v>2104</v>
      </c>
      <c r="D2366" t="s">
        <v>42</v>
      </c>
      <c r="E2366" t="s">
        <v>43</v>
      </c>
      <c r="F2366" t="s">
        <v>44</v>
      </c>
      <c r="G2366" t="s">
        <v>45</v>
      </c>
      <c r="AH2366" t="s">
        <v>42</v>
      </c>
      <c r="AI2366" t="str">
        <f>"67950194344456"</f>
        <v>67950194344456</v>
      </c>
      <c r="AJ2366" t="str">
        <f>"P-BM10S20-0R"</f>
        <v>P-BM10S20-0R</v>
      </c>
      <c r="AK2366" t="s">
        <v>46</v>
      </c>
      <c r="AL2366" s="1">
        <v>45007.679895833331</v>
      </c>
      <c r="AM2366" t="s">
        <v>44</v>
      </c>
    </row>
    <row r="2367" spans="1:39" x14ac:dyDescent="0.2">
      <c r="A2367" t="s">
        <v>2268</v>
      </c>
      <c r="B2367" t="s">
        <v>40</v>
      </c>
      <c r="C2367" t="s">
        <v>2104</v>
      </c>
      <c r="D2367" t="s">
        <v>42</v>
      </c>
      <c r="E2367" t="s">
        <v>43</v>
      </c>
      <c r="F2367" t="s">
        <v>44</v>
      </c>
      <c r="G2367" t="s">
        <v>45</v>
      </c>
      <c r="AH2367" t="s">
        <v>42</v>
      </c>
      <c r="AI2367" t="str">
        <f>"67950194349718"</f>
        <v>67950194349718</v>
      </c>
      <c r="AJ2367" t="str">
        <f>"P-CF2N20-01"</f>
        <v>P-CF2N20-01</v>
      </c>
      <c r="AK2367" t="s">
        <v>46</v>
      </c>
      <c r="AL2367" s="1">
        <v>45007.679895833331</v>
      </c>
      <c r="AM2367" t="s">
        <v>44</v>
      </c>
    </row>
    <row r="2368" spans="1:39" x14ac:dyDescent="0.2">
      <c r="A2368" t="s">
        <v>2269</v>
      </c>
      <c r="B2368" t="s">
        <v>40</v>
      </c>
      <c r="C2368" t="s">
        <v>2104</v>
      </c>
      <c r="D2368" t="s">
        <v>42</v>
      </c>
      <c r="E2368" t="s">
        <v>43</v>
      </c>
      <c r="F2368" t="s">
        <v>44</v>
      </c>
      <c r="G2368" t="s">
        <v>45</v>
      </c>
      <c r="AH2368" t="s">
        <v>42</v>
      </c>
      <c r="AI2368" t="str">
        <f>"67950194407671"</f>
        <v>67950194407671</v>
      </c>
      <c r="AJ2368" t="str">
        <f>"P-CF6N14-01"</f>
        <v>P-CF6N14-01</v>
      </c>
      <c r="AK2368" t="s">
        <v>46</v>
      </c>
      <c r="AL2368" s="1">
        <v>45007.679907407408</v>
      </c>
      <c r="AM2368" t="s">
        <v>44</v>
      </c>
    </row>
    <row r="2369" spans="1:39" x14ac:dyDescent="0.2">
      <c r="A2369" t="s">
        <v>2270</v>
      </c>
      <c r="B2369" t="s">
        <v>40</v>
      </c>
      <c r="C2369" t="s">
        <v>2104</v>
      </c>
      <c r="D2369" t="s">
        <v>42</v>
      </c>
      <c r="E2369" t="s">
        <v>43</v>
      </c>
      <c r="F2369" t="s">
        <v>44</v>
      </c>
      <c r="G2369" t="s">
        <v>45</v>
      </c>
      <c r="AH2369" t="s">
        <v>42</v>
      </c>
      <c r="AI2369" t="str">
        <f>"67950194429895"</f>
        <v>67950194429895</v>
      </c>
      <c r="AJ2369" t="str">
        <f>"P-H65S19-01"</f>
        <v>P-H65S19-01</v>
      </c>
      <c r="AK2369" t="s">
        <v>46</v>
      </c>
      <c r="AL2369" s="1">
        <v>45007.679907407408</v>
      </c>
      <c r="AM2369" t="s">
        <v>44</v>
      </c>
    </row>
    <row r="2370" spans="1:39" x14ac:dyDescent="0.2">
      <c r="A2370" t="s">
        <v>2271</v>
      </c>
      <c r="B2370" t="s">
        <v>40</v>
      </c>
      <c r="C2370" t="s">
        <v>2104</v>
      </c>
      <c r="D2370" t="s">
        <v>42</v>
      </c>
      <c r="E2370" t="s">
        <v>43</v>
      </c>
      <c r="F2370" t="s">
        <v>44</v>
      </c>
      <c r="G2370" t="s">
        <v>45</v>
      </c>
      <c r="AH2370" t="s">
        <v>42</v>
      </c>
      <c r="AI2370" t="str">
        <f>"67950194465823"</f>
        <v>67950194465823</v>
      </c>
      <c r="AJ2370" t="str">
        <f>"P-H10S08-0R"</f>
        <v>P-H10S08-0R</v>
      </c>
      <c r="AK2370" t="s">
        <v>46</v>
      </c>
      <c r="AL2370" s="1">
        <v>45007.679907407408</v>
      </c>
      <c r="AM2370" t="s">
        <v>44</v>
      </c>
    </row>
    <row r="2371" spans="1:39" x14ac:dyDescent="0.2">
      <c r="A2371" t="s">
        <v>2272</v>
      </c>
      <c r="B2371" t="s">
        <v>40</v>
      </c>
      <c r="C2371" t="s">
        <v>2104</v>
      </c>
      <c r="D2371" t="s">
        <v>42</v>
      </c>
      <c r="E2371" t="s">
        <v>43</v>
      </c>
      <c r="F2371" t="s">
        <v>44</v>
      </c>
      <c r="G2371" t="s">
        <v>45</v>
      </c>
      <c r="AH2371" t="s">
        <v>42</v>
      </c>
      <c r="AI2371" t="str">
        <f>"67950194467313"</f>
        <v>67950194467313</v>
      </c>
      <c r="AJ2371" t="str">
        <f>"R-H10S18-0R"</f>
        <v>R-H10S18-0R</v>
      </c>
      <c r="AK2371" t="s">
        <v>46</v>
      </c>
      <c r="AL2371" s="1">
        <v>45007.679907407408</v>
      </c>
      <c r="AM2371" t="s">
        <v>44</v>
      </c>
    </row>
    <row r="2372" spans="1:39" x14ac:dyDescent="0.2">
      <c r="A2372" t="s">
        <v>2273</v>
      </c>
      <c r="B2372" t="s">
        <v>40</v>
      </c>
      <c r="C2372" t="s">
        <v>2104</v>
      </c>
      <c r="D2372" t="s">
        <v>42</v>
      </c>
      <c r="E2372" t="s">
        <v>43</v>
      </c>
      <c r="F2372" t="s">
        <v>44</v>
      </c>
      <c r="G2372" t="s">
        <v>45</v>
      </c>
      <c r="AH2372" t="s">
        <v>42</v>
      </c>
      <c r="AI2372" t="str">
        <f>"67950194477543"</f>
        <v>67950194477543</v>
      </c>
      <c r="AJ2372" t="str">
        <f>"P-H2S11-01"</f>
        <v>P-H2S11-01</v>
      </c>
      <c r="AK2372" t="s">
        <v>46</v>
      </c>
      <c r="AL2372" s="1">
        <v>45007.679907407408</v>
      </c>
      <c r="AM2372" t="s">
        <v>44</v>
      </c>
    </row>
    <row r="2373" spans="1:39" x14ac:dyDescent="0.2">
      <c r="A2373" t="s">
        <v>2274</v>
      </c>
      <c r="B2373" t="s">
        <v>40</v>
      </c>
      <c r="C2373" t="s">
        <v>2104</v>
      </c>
      <c r="D2373" t="s">
        <v>42</v>
      </c>
      <c r="E2373" t="s">
        <v>43</v>
      </c>
      <c r="F2373" t="s">
        <v>44</v>
      </c>
      <c r="G2373" t="s">
        <v>45</v>
      </c>
      <c r="AH2373" t="s">
        <v>42</v>
      </c>
      <c r="AI2373" t="str">
        <f>"67950194518002"</f>
        <v>67950194518002</v>
      </c>
      <c r="AJ2373" t="str">
        <f>"R-H5S13-01"</f>
        <v>R-H5S13-01</v>
      </c>
      <c r="AK2373" t="s">
        <v>46</v>
      </c>
      <c r="AL2373" s="1">
        <v>45007.679918981485</v>
      </c>
      <c r="AM2373" t="s">
        <v>44</v>
      </c>
    </row>
    <row r="2374" spans="1:39" x14ac:dyDescent="0.2">
      <c r="A2374" t="s">
        <v>2275</v>
      </c>
      <c r="B2374" t="s">
        <v>40</v>
      </c>
      <c r="C2374" t="s">
        <v>2104</v>
      </c>
      <c r="D2374" t="s">
        <v>42</v>
      </c>
      <c r="E2374" t="s">
        <v>43</v>
      </c>
      <c r="F2374" t="s">
        <v>44</v>
      </c>
      <c r="G2374" t="s">
        <v>45</v>
      </c>
      <c r="AH2374" t="s">
        <v>42</v>
      </c>
      <c r="AI2374" t="str">
        <f>"67950194542151"</f>
        <v>67950194542151</v>
      </c>
      <c r="AJ2374" t="str">
        <f>"R-H5N20-01"</f>
        <v>R-H5N20-01</v>
      </c>
      <c r="AK2374" t="s">
        <v>46</v>
      </c>
      <c r="AL2374" s="1">
        <v>45007.679918981485</v>
      </c>
      <c r="AM2374" t="s">
        <v>44</v>
      </c>
    </row>
    <row r="2375" spans="1:39" x14ac:dyDescent="0.2">
      <c r="A2375" t="s">
        <v>2276</v>
      </c>
      <c r="B2375" t="s">
        <v>40</v>
      </c>
      <c r="C2375" t="s">
        <v>2104</v>
      </c>
      <c r="D2375" t="s">
        <v>42</v>
      </c>
      <c r="E2375" t="s">
        <v>43</v>
      </c>
      <c r="F2375" t="s">
        <v>44</v>
      </c>
      <c r="G2375" t="s">
        <v>45</v>
      </c>
      <c r="AH2375" t="s">
        <v>42</v>
      </c>
      <c r="AI2375" t="str">
        <f>"67950194560961"</f>
        <v>67950194560961</v>
      </c>
      <c r="AJ2375" t="str">
        <f>"P-H6S07-0R"</f>
        <v>P-H6S07-0R</v>
      </c>
      <c r="AK2375" t="s">
        <v>46</v>
      </c>
      <c r="AL2375" s="1">
        <v>45007.679918981485</v>
      </c>
      <c r="AM2375" t="s">
        <v>44</v>
      </c>
    </row>
    <row r="2376" spans="1:39" x14ac:dyDescent="0.2">
      <c r="A2376" t="s">
        <v>2277</v>
      </c>
      <c r="B2376" t="s">
        <v>40</v>
      </c>
      <c r="C2376" t="s">
        <v>2104</v>
      </c>
      <c r="D2376" t="s">
        <v>42</v>
      </c>
      <c r="E2376" t="s">
        <v>43</v>
      </c>
      <c r="F2376" t="s">
        <v>44</v>
      </c>
      <c r="G2376" t="s">
        <v>45</v>
      </c>
      <c r="AH2376" t="s">
        <v>42</v>
      </c>
      <c r="AI2376" t="str">
        <f>"67950194565206"</f>
        <v>67950194565206</v>
      </c>
      <c r="AJ2376" t="str">
        <f>"P-H75SC21-01"</f>
        <v>P-H75SC21-01</v>
      </c>
      <c r="AK2376" t="s">
        <v>46</v>
      </c>
      <c r="AL2376" s="1">
        <v>45007.679918981485</v>
      </c>
      <c r="AM2376" t="s">
        <v>44</v>
      </c>
    </row>
    <row r="2377" spans="1:39" x14ac:dyDescent="0.2">
      <c r="A2377" t="s">
        <v>2278</v>
      </c>
      <c r="B2377" t="s">
        <v>40</v>
      </c>
      <c r="C2377" t="s">
        <v>2104</v>
      </c>
      <c r="D2377" t="s">
        <v>42</v>
      </c>
      <c r="E2377" t="s">
        <v>43</v>
      </c>
      <c r="F2377" t="s">
        <v>44</v>
      </c>
      <c r="G2377" t="s">
        <v>45</v>
      </c>
      <c r="AH2377" t="s">
        <v>42</v>
      </c>
      <c r="AI2377" t="str">
        <f>"67950194596035"</f>
        <v>67950194596035</v>
      </c>
      <c r="AJ2377" t="str">
        <f>"P-K2S08-01"</f>
        <v>P-K2S08-01</v>
      </c>
      <c r="AK2377" t="s">
        <v>46</v>
      </c>
      <c r="AL2377" s="1">
        <v>45007.679918981485</v>
      </c>
      <c r="AM2377" t="s">
        <v>44</v>
      </c>
    </row>
    <row r="2378" spans="1:39" x14ac:dyDescent="0.2">
      <c r="A2378" t="s">
        <v>2279</v>
      </c>
      <c r="B2378" t="s">
        <v>40</v>
      </c>
      <c r="C2378" t="s">
        <v>2104</v>
      </c>
      <c r="D2378" t="s">
        <v>42</v>
      </c>
      <c r="E2378" t="s">
        <v>43</v>
      </c>
      <c r="F2378" t="s">
        <v>44</v>
      </c>
      <c r="G2378" t="s">
        <v>45</v>
      </c>
      <c r="AH2378" t="s">
        <v>42</v>
      </c>
      <c r="AI2378" t="str">
        <f>"67950194620647"</f>
        <v>67950194620647</v>
      </c>
      <c r="AJ2378" t="str">
        <f>"P-K4S18-01"</f>
        <v>P-K4S18-01</v>
      </c>
      <c r="AK2378" t="s">
        <v>46</v>
      </c>
      <c r="AL2378" s="1">
        <v>45007.679930555554</v>
      </c>
      <c r="AM2378" t="s">
        <v>44</v>
      </c>
    </row>
    <row r="2379" spans="1:39" x14ac:dyDescent="0.2">
      <c r="A2379" t="s">
        <v>2280</v>
      </c>
      <c r="B2379" t="s">
        <v>40</v>
      </c>
      <c r="C2379" t="s">
        <v>2104</v>
      </c>
      <c r="D2379" t="s">
        <v>42</v>
      </c>
      <c r="E2379" t="s">
        <v>43</v>
      </c>
      <c r="F2379" t="s">
        <v>44</v>
      </c>
      <c r="G2379" t="s">
        <v>45</v>
      </c>
      <c r="AH2379" t="s">
        <v>42</v>
      </c>
      <c r="AI2379" t="str">
        <f>"67950194633236"</f>
        <v>67950194633236</v>
      </c>
      <c r="AJ2379" t="str">
        <f>"P-K6N15-01"</f>
        <v>P-K6N15-01</v>
      </c>
      <c r="AK2379" t="s">
        <v>46</v>
      </c>
      <c r="AL2379" s="1">
        <v>45007.679930555554</v>
      </c>
      <c r="AM2379" t="s">
        <v>44</v>
      </c>
    </row>
    <row r="2380" spans="1:39" x14ac:dyDescent="0.2">
      <c r="A2380" t="s">
        <v>2281</v>
      </c>
      <c r="B2380" t="s">
        <v>40</v>
      </c>
      <c r="C2380" t="s">
        <v>2104</v>
      </c>
      <c r="D2380" t="s">
        <v>42</v>
      </c>
      <c r="E2380" t="s">
        <v>43</v>
      </c>
      <c r="F2380" t="s">
        <v>44</v>
      </c>
      <c r="G2380" t="s">
        <v>45</v>
      </c>
      <c r="AH2380" t="s">
        <v>42</v>
      </c>
      <c r="AI2380" t="str">
        <f>"67950194641131"</f>
        <v>67950194641131</v>
      </c>
      <c r="AJ2380" t="str">
        <f>"P-K6N06-01"</f>
        <v>P-K6N06-01</v>
      </c>
      <c r="AK2380" t="s">
        <v>46</v>
      </c>
      <c r="AL2380" s="1">
        <v>45007.679930555554</v>
      </c>
      <c r="AM2380" t="s">
        <v>44</v>
      </c>
    </row>
    <row r="2381" spans="1:39" x14ac:dyDescent="0.2">
      <c r="A2381" t="s">
        <v>2282</v>
      </c>
      <c r="B2381" t="s">
        <v>40</v>
      </c>
      <c r="C2381" t="s">
        <v>2104</v>
      </c>
      <c r="D2381" t="s">
        <v>42</v>
      </c>
      <c r="E2381" t="s">
        <v>43</v>
      </c>
      <c r="F2381" t="s">
        <v>44</v>
      </c>
      <c r="G2381" t="s">
        <v>45</v>
      </c>
      <c r="AH2381" t="s">
        <v>42</v>
      </c>
      <c r="AI2381" t="str">
        <f>"67950194661490"</f>
        <v>67950194661490</v>
      </c>
      <c r="AJ2381" t="str">
        <f>"P-K10S10-0R"</f>
        <v>P-K10S10-0R</v>
      </c>
      <c r="AK2381" t="s">
        <v>46</v>
      </c>
      <c r="AL2381" s="1">
        <v>45007.679930555554</v>
      </c>
      <c r="AM2381" t="s">
        <v>44</v>
      </c>
    </row>
    <row r="2382" spans="1:39" x14ac:dyDescent="0.2">
      <c r="A2382" t="s">
        <v>2283</v>
      </c>
      <c r="B2382" t="s">
        <v>40</v>
      </c>
      <c r="C2382" t="s">
        <v>2104</v>
      </c>
      <c r="D2382" t="s">
        <v>42</v>
      </c>
      <c r="E2382" t="s">
        <v>43</v>
      </c>
      <c r="F2382" t="s">
        <v>44</v>
      </c>
      <c r="G2382" t="s">
        <v>45</v>
      </c>
      <c r="AH2382" t="s">
        <v>42</v>
      </c>
      <c r="AI2382" t="str">
        <f>"67950194694837"</f>
        <v>67950194694837</v>
      </c>
      <c r="AJ2382" t="str">
        <f>"R-K10S03-01"</f>
        <v>R-K10S03-01</v>
      </c>
      <c r="AK2382" t="s">
        <v>46</v>
      </c>
      <c r="AL2382" s="1">
        <v>45007.679930555554</v>
      </c>
      <c r="AM2382" t="s">
        <v>44</v>
      </c>
    </row>
    <row r="2383" spans="1:39" x14ac:dyDescent="0.2">
      <c r="A2383" t="s">
        <v>2284</v>
      </c>
      <c r="B2383" t="s">
        <v>40</v>
      </c>
      <c r="C2383" t="s">
        <v>2104</v>
      </c>
      <c r="D2383" t="s">
        <v>42</v>
      </c>
      <c r="E2383" t="s">
        <v>43</v>
      </c>
      <c r="F2383" t="s">
        <v>44</v>
      </c>
      <c r="G2383" t="s">
        <v>45</v>
      </c>
      <c r="AH2383" t="s">
        <v>42</v>
      </c>
      <c r="AI2383" t="str">
        <f>"67950194731611"</f>
        <v>67950194731611</v>
      </c>
      <c r="AJ2383" t="str">
        <f>"P-K9N18-01"</f>
        <v>P-K9N18-01</v>
      </c>
      <c r="AK2383" t="s">
        <v>46</v>
      </c>
      <c r="AL2383" s="1">
        <v>45007.679942129631</v>
      </c>
      <c r="AM2383" t="s">
        <v>44</v>
      </c>
    </row>
    <row r="2384" spans="1:39" x14ac:dyDescent="0.2">
      <c r="A2384" t="s">
        <v>2285</v>
      </c>
      <c r="B2384" t="s">
        <v>40</v>
      </c>
      <c r="C2384" t="s">
        <v>2104</v>
      </c>
      <c r="D2384" t="s">
        <v>42</v>
      </c>
      <c r="E2384" t="s">
        <v>43</v>
      </c>
      <c r="F2384" t="s">
        <v>44</v>
      </c>
      <c r="G2384" t="s">
        <v>45</v>
      </c>
      <c r="AH2384" t="s">
        <v>42</v>
      </c>
      <c r="AI2384" t="str">
        <f>"67950194767178"</f>
        <v>67950194767178</v>
      </c>
      <c r="AJ2384" t="str">
        <f>"P-K10S16-0R"</f>
        <v>P-K10S16-0R</v>
      </c>
      <c r="AK2384" t="s">
        <v>46</v>
      </c>
      <c r="AL2384" s="1">
        <v>45007.679942129631</v>
      </c>
      <c r="AM2384" t="s">
        <v>44</v>
      </c>
    </row>
    <row r="2385" spans="1:39" x14ac:dyDescent="0.2">
      <c r="A2385" t="s">
        <v>2286</v>
      </c>
      <c r="B2385" t="s">
        <v>40</v>
      </c>
      <c r="C2385" t="s">
        <v>2104</v>
      </c>
      <c r="D2385" t="s">
        <v>42</v>
      </c>
      <c r="E2385" t="s">
        <v>43</v>
      </c>
      <c r="F2385" t="s">
        <v>44</v>
      </c>
      <c r="G2385" t="s">
        <v>45</v>
      </c>
      <c r="AH2385" t="s">
        <v>42</v>
      </c>
      <c r="AI2385" t="str">
        <f>"67950194774072"</f>
        <v>67950194774072</v>
      </c>
      <c r="AJ2385" t="str">
        <f>"P-K6S09-0R"</f>
        <v>P-K6S09-0R</v>
      </c>
      <c r="AK2385" t="s">
        <v>46</v>
      </c>
      <c r="AL2385" s="1">
        <v>45007.679942129631</v>
      </c>
      <c r="AM2385" t="s">
        <v>44</v>
      </c>
    </row>
    <row r="2386" spans="1:39" x14ac:dyDescent="0.2">
      <c r="A2386" t="s">
        <v>2287</v>
      </c>
      <c r="B2386" t="s">
        <v>40</v>
      </c>
      <c r="C2386" t="s">
        <v>2104</v>
      </c>
      <c r="D2386" t="s">
        <v>42</v>
      </c>
      <c r="E2386" t="s">
        <v>43</v>
      </c>
      <c r="F2386" t="s">
        <v>44</v>
      </c>
      <c r="G2386" t="s">
        <v>45</v>
      </c>
      <c r="AH2386" t="s">
        <v>42</v>
      </c>
      <c r="AI2386" t="str">
        <f>"67950194811661"</f>
        <v>67950194811661</v>
      </c>
      <c r="AJ2386" t="str">
        <f>"P-KT3N18-01"</f>
        <v>P-KT3N18-01</v>
      </c>
      <c r="AK2386" t="s">
        <v>46</v>
      </c>
      <c r="AL2386" s="1">
        <v>45007.6799537037</v>
      </c>
      <c r="AM2386" t="s">
        <v>44</v>
      </c>
    </row>
    <row r="2387" spans="1:39" x14ac:dyDescent="0.2">
      <c r="A2387" t="s">
        <v>2288</v>
      </c>
      <c r="B2387" t="s">
        <v>40</v>
      </c>
      <c r="C2387" t="s">
        <v>2104</v>
      </c>
      <c r="D2387" t="s">
        <v>42</v>
      </c>
      <c r="E2387" t="s">
        <v>43</v>
      </c>
      <c r="F2387" t="s">
        <v>44</v>
      </c>
      <c r="G2387" t="s">
        <v>45</v>
      </c>
      <c r="AH2387" t="s">
        <v>42</v>
      </c>
      <c r="AI2387" t="str">
        <f>"67950194860095"</f>
        <v>67950194860095</v>
      </c>
      <c r="AJ2387" t="str">
        <f>"R-KT1SM11-01"</f>
        <v>R-KT1SM11-01</v>
      </c>
      <c r="AK2387" t="s">
        <v>46</v>
      </c>
      <c r="AL2387" s="1">
        <v>45007.6799537037</v>
      </c>
      <c r="AM2387" t="s">
        <v>44</v>
      </c>
    </row>
    <row r="2388" spans="1:39" x14ac:dyDescent="0.2">
      <c r="A2388" t="s">
        <v>2289</v>
      </c>
      <c r="B2388" t="s">
        <v>40</v>
      </c>
      <c r="C2388" t="s">
        <v>2104</v>
      </c>
      <c r="D2388" t="s">
        <v>42</v>
      </c>
      <c r="E2388" t="s">
        <v>43</v>
      </c>
      <c r="F2388" t="s">
        <v>44</v>
      </c>
      <c r="G2388" t="s">
        <v>45</v>
      </c>
      <c r="AH2388" t="s">
        <v>42</v>
      </c>
      <c r="AI2388" t="str">
        <f>"67950194773163"</f>
        <v>67950194773163</v>
      </c>
      <c r="AJ2388" t="str">
        <f>"P-KT12E13-01"</f>
        <v>P-KT12E13-01</v>
      </c>
      <c r="AK2388" t="s">
        <v>46</v>
      </c>
      <c r="AL2388" s="1">
        <v>45007.679942129631</v>
      </c>
      <c r="AM2388" t="s">
        <v>44</v>
      </c>
    </row>
    <row r="2389" spans="1:39" x14ac:dyDescent="0.2">
      <c r="A2389" t="s">
        <v>2290</v>
      </c>
      <c r="B2389" t="s">
        <v>40</v>
      </c>
      <c r="C2389" t="s">
        <v>2104</v>
      </c>
      <c r="D2389" t="s">
        <v>42</v>
      </c>
      <c r="E2389" t="s">
        <v>43</v>
      </c>
      <c r="F2389" t="s">
        <v>44</v>
      </c>
      <c r="G2389" t="s">
        <v>45</v>
      </c>
      <c r="AH2389" t="s">
        <v>42</v>
      </c>
      <c r="AI2389" t="str">
        <f>"67950194872239"</f>
        <v>67950194872239</v>
      </c>
      <c r="AJ2389" t="str">
        <f>"P-Y3S15-01"</f>
        <v>P-Y3S15-01</v>
      </c>
      <c r="AK2389" t="s">
        <v>46</v>
      </c>
      <c r="AL2389" s="1">
        <v>45007.6799537037</v>
      </c>
      <c r="AM2389" t="s">
        <v>44</v>
      </c>
    </row>
    <row r="2390" spans="1:39" x14ac:dyDescent="0.2">
      <c r="A2390" t="s">
        <v>2291</v>
      </c>
      <c r="B2390" t="s">
        <v>40</v>
      </c>
      <c r="C2390" t="s">
        <v>2104</v>
      </c>
      <c r="D2390" t="s">
        <v>42</v>
      </c>
      <c r="E2390" t="s">
        <v>43</v>
      </c>
      <c r="F2390" t="s">
        <v>44</v>
      </c>
      <c r="G2390" t="s">
        <v>45</v>
      </c>
      <c r="AH2390" t="s">
        <v>42</v>
      </c>
      <c r="AI2390" t="str">
        <f>"67950194164490"</f>
        <v>67950194164490</v>
      </c>
      <c r="AJ2390" t="str">
        <f>"P-BJ4N22-01"</f>
        <v>P-BJ4N22-01</v>
      </c>
      <c r="AK2390" t="s">
        <v>46</v>
      </c>
      <c r="AL2390" s="1">
        <v>45007.679872685185</v>
      </c>
      <c r="AM2390" t="s">
        <v>44</v>
      </c>
    </row>
    <row r="2391" spans="1:39" x14ac:dyDescent="0.2">
      <c r="A2391" t="s">
        <v>2292</v>
      </c>
      <c r="B2391" t="s">
        <v>40</v>
      </c>
      <c r="C2391" t="s">
        <v>2104</v>
      </c>
      <c r="D2391" t="s">
        <v>42</v>
      </c>
      <c r="E2391" t="s">
        <v>43</v>
      </c>
      <c r="F2391" t="s">
        <v>44</v>
      </c>
      <c r="G2391" t="s">
        <v>45</v>
      </c>
      <c r="AH2391" t="s">
        <v>42</v>
      </c>
      <c r="AI2391" t="str">
        <f>"67950194873809"</f>
        <v>67950194873809</v>
      </c>
      <c r="AJ2391" t="str">
        <f>"R-RE4N19-01"</f>
        <v>R-RE4N19-01</v>
      </c>
      <c r="AK2391" t="s">
        <v>46</v>
      </c>
      <c r="AL2391" s="1">
        <v>45007.6799537037</v>
      </c>
      <c r="AM2391" t="s">
        <v>44</v>
      </c>
    </row>
    <row r="2392" spans="1:39" x14ac:dyDescent="0.2">
      <c r="A2392" t="s">
        <v>2293</v>
      </c>
      <c r="B2392" t="s">
        <v>40</v>
      </c>
      <c r="C2392" t="s">
        <v>2104</v>
      </c>
      <c r="D2392" t="s">
        <v>42</v>
      </c>
      <c r="E2392" t="s">
        <v>43</v>
      </c>
      <c r="F2392" t="s">
        <v>44</v>
      </c>
      <c r="G2392" t="s">
        <v>45</v>
      </c>
      <c r="AH2392" t="s">
        <v>42</v>
      </c>
      <c r="AI2392" t="str">
        <f>"67950194914910"</f>
        <v>67950194914910</v>
      </c>
      <c r="AJ2392" t="str">
        <f>"R-RE65N18-01"</f>
        <v>R-RE65N18-01</v>
      </c>
      <c r="AK2392" t="s">
        <v>46</v>
      </c>
      <c r="AL2392" s="1">
        <v>45007.679965277777</v>
      </c>
      <c r="AM2392" t="s">
        <v>44</v>
      </c>
    </row>
    <row r="2393" spans="1:39" x14ac:dyDescent="0.2">
      <c r="A2393" t="s">
        <v>2294</v>
      </c>
      <c r="B2393" t="s">
        <v>40</v>
      </c>
      <c r="C2393" t="s">
        <v>2104</v>
      </c>
      <c r="D2393" t="s">
        <v>42</v>
      </c>
      <c r="E2393" t="s">
        <v>43</v>
      </c>
      <c r="F2393" t="s">
        <v>44</v>
      </c>
      <c r="G2393" t="s">
        <v>45</v>
      </c>
      <c r="AH2393" t="s">
        <v>42</v>
      </c>
      <c r="AI2393" t="str">
        <f>"67950195059366"</f>
        <v>67950195059366</v>
      </c>
      <c r="AJ2393" t="str">
        <f>"P-S6S06-01"</f>
        <v>P-S6S06-01</v>
      </c>
      <c r="AK2393" t="s">
        <v>46</v>
      </c>
      <c r="AL2393" s="1">
        <v>45007.679976851854</v>
      </c>
      <c r="AM2393" t="s">
        <v>44</v>
      </c>
    </row>
    <row r="2394" spans="1:39" x14ac:dyDescent="0.2">
      <c r="A2394" t="s">
        <v>2295</v>
      </c>
      <c r="B2394" t="s">
        <v>40</v>
      </c>
      <c r="C2394" t="s">
        <v>2104</v>
      </c>
      <c r="D2394" t="s">
        <v>42</v>
      </c>
      <c r="E2394" t="s">
        <v>43</v>
      </c>
      <c r="F2394" t="s">
        <v>44</v>
      </c>
      <c r="G2394" t="s">
        <v>45</v>
      </c>
      <c r="AH2394" t="s">
        <v>42</v>
      </c>
      <c r="AI2394" t="str">
        <f>"67950194969736"</f>
        <v>67950194969736</v>
      </c>
      <c r="AJ2394" t="str">
        <f>"P-S10S17-01"</f>
        <v>P-S10S17-01</v>
      </c>
      <c r="AK2394" t="s">
        <v>46</v>
      </c>
      <c r="AL2394" s="1">
        <v>45007.679965277777</v>
      </c>
      <c r="AM2394" t="s">
        <v>44</v>
      </c>
    </row>
    <row r="2395" spans="1:39" x14ac:dyDescent="0.2">
      <c r="A2395" t="s">
        <v>2296</v>
      </c>
      <c r="B2395" t="s">
        <v>40</v>
      </c>
      <c r="C2395" t="s">
        <v>2104</v>
      </c>
      <c r="D2395" t="s">
        <v>42</v>
      </c>
      <c r="E2395" t="s">
        <v>43</v>
      </c>
      <c r="F2395" t="s">
        <v>44</v>
      </c>
      <c r="G2395" t="s">
        <v>45</v>
      </c>
      <c r="AH2395" t="s">
        <v>42</v>
      </c>
      <c r="AI2395" t="str">
        <f>"67950194972634"</f>
        <v>67950194972634</v>
      </c>
      <c r="AJ2395" t="str">
        <f>"P-S6S11-0R"</f>
        <v>P-S6S11-0R</v>
      </c>
      <c r="AK2395" t="s">
        <v>46</v>
      </c>
      <c r="AL2395" s="1">
        <v>45007.679965277777</v>
      </c>
      <c r="AM2395" t="s">
        <v>44</v>
      </c>
    </row>
    <row r="2396" spans="1:39" x14ac:dyDescent="0.2">
      <c r="A2396" t="s">
        <v>2297</v>
      </c>
      <c r="B2396" t="s">
        <v>40</v>
      </c>
      <c r="C2396" t="s">
        <v>2104</v>
      </c>
      <c r="D2396" t="s">
        <v>42</v>
      </c>
      <c r="E2396" t="s">
        <v>43</v>
      </c>
      <c r="F2396" t="s">
        <v>44</v>
      </c>
      <c r="G2396" t="s">
        <v>45</v>
      </c>
      <c r="AH2396" t="s">
        <v>42</v>
      </c>
      <c r="AI2396" t="str">
        <f>"67950195039636"</f>
        <v>67950195039636</v>
      </c>
      <c r="AJ2396" t="str">
        <f>"P-S10S09-0R"</f>
        <v>P-S10S09-0R</v>
      </c>
      <c r="AK2396" t="s">
        <v>46</v>
      </c>
      <c r="AL2396" s="1">
        <v>45007.679976851854</v>
      </c>
      <c r="AM2396" t="s">
        <v>44</v>
      </c>
    </row>
    <row r="2397" spans="1:39" x14ac:dyDescent="0.2">
      <c r="A2397" t="s">
        <v>2298</v>
      </c>
      <c r="B2397" t="s">
        <v>40</v>
      </c>
      <c r="C2397" t="s">
        <v>2104</v>
      </c>
      <c r="D2397" t="s">
        <v>42</v>
      </c>
      <c r="E2397" t="s">
        <v>43</v>
      </c>
      <c r="F2397" t="s">
        <v>44</v>
      </c>
      <c r="G2397" t="s">
        <v>45</v>
      </c>
      <c r="AH2397" t="s">
        <v>42</v>
      </c>
      <c r="AI2397" t="str">
        <f>"67950195080798"</f>
        <v>67950195080798</v>
      </c>
      <c r="AJ2397" t="str">
        <f>"P-S10E14-01"</f>
        <v>P-S10E14-01</v>
      </c>
      <c r="AK2397" t="s">
        <v>46</v>
      </c>
      <c r="AL2397" s="1">
        <v>45007.679976851854</v>
      </c>
      <c r="AM2397" t="s">
        <v>44</v>
      </c>
    </row>
    <row r="2398" spans="1:39" x14ac:dyDescent="0.2">
      <c r="A2398" t="s">
        <v>2299</v>
      </c>
      <c r="B2398" t="s">
        <v>40</v>
      </c>
      <c r="C2398" t="s">
        <v>2104</v>
      </c>
      <c r="D2398" t="s">
        <v>42</v>
      </c>
      <c r="E2398" t="s">
        <v>43</v>
      </c>
      <c r="F2398" t="s">
        <v>44</v>
      </c>
      <c r="G2398" t="s">
        <v>45</v>
      </c>
      <c r="AH2398" t="s">
        <v>42</v>
      </c>
      <c r="AI2398" t="str">
        <f>"67950195100653"</f>
        <v>67950195100653</v>
      </c>
      <c r="AJ2398" t="str">
        <f>"P-S2N13-01"</f>
        <v>P-S2N13-01</v>
      </c>
      <c r="AK2398" t="s">
        <v>46</v>
      </c>
      <c r="AL2398" s="1">
        <v>45007.679988425924</v>
      </c>
      <c r="AM2398" t="s">
        <v>44</v>
      </c>
    </row>
    <row r="2399" spans="1:39" x14ac:dyDescent="0.2">
      <c r="A2399" t="s">
        <v>2300</v>
      </c>
      <c r="B2399" t="s">
        <v>40</v>
      </c>
      <c r="C2399" t="s">
        <v>2104</v>
      </c>
      <c r="D2399" t="s">
        <v>42</v>
      </c>
      <c r="E2399" t="s">
        <v>43</v>
      </c>
      <c r="F2399" t="s">
        <v>44</v>
      </c>
      <c r="G2399" t="s">
        <v>45</v>
      </c>
      <c r="AH2399" t="s">
        <v>42</v>
      </c>
      <c r="AI2399" t="str">
        <f>"67950195105030"</f>
        <v>67950195105030</v>
      </c>
      <c r="AJ2399" t="str">
        <f>"P-S10E03-02"</f>
        <v>P-S10E03-02</v>
      </c>
      <c r="AK2399" t="s">
        <v>46</v>
      </c>
      <c r="AL2399" s="1">
        <v>45007.679988425924</v>
      </c>
      <c r="AM2399" t="s">
        <v>44</v>
      </c>
    </row>
    <row r="2400" spans="1:39" x14ac:dyDescent="0.2">
      <c r="A2400" t="s">
        <v>2301</v>
      </c>
      <c r="B2400" t="s">
        <v>40</v>
      </c>
      <c r="C2400" t="s">
        <v>2104</v>
      </c>
      <c r="D2400" t="s">
        <v>42</v>
      </c>
      <c r="E2400" t="s">
        <v>43</v>
      </c>
      <c r="F2400" t="s">
        <v>44</v>
      </c>
      <c r="G2400" t="s">
        <v>45</v>
      </c>
      <c r="AH2400" t="s">
        <v>42</v>
      </c>
      <c r="AI2400" t="str">
        <f>"67950195126373"</f>
        <v>67950195126373</v>
      </c>
      <c r="AJ2400" t="str">
        <f>"P-TR6S13-0R"</f>
        <v>P-TR6S13-0R</v>
      </c>
      <c r="AK2400" t="s">
        <v>46</v>
      </c>
      <c r="AL2400" s="1">
        <v>45007.679988425924</v>
      </c>
      <c r="AM2400" t="s">
        <v>44</v>
      </c>
    </row>
    <row r="2401" spans="1:39" x14ac:dyDescent="0.2">
      <c r="A2401" t="s">
        <v>2302</v>
      </c>
      <c r="B2401" t="s">
        <v>40</v>
      </c>
      <c r="C2401" t="s">
        <v>2104</v>
      </c>
      <c r="D2401" t="s">
        <v>42</v>
      </c>
      <c r="E2401" t="s">
        <v>43</v>
      </c>
      <c r="F2401" t="s">
        <v>44</v>
      </c>
      <c r="G2401" t="s">
        <v>45</v>
      </c>
      <c r="AH2401" t="s">
        <v>42</v>
      </c>
      <c r="AI2401" t="str">
        <f>"67950195153029"</f>
        <v>67950195153029</v>
      </c>
      <c r="AJ2401" t="str">
        <f>"P-TR6S06-01"</f>
        <v>P-TR6S06-01</v>
      </c>
      <c r="AK2401" t="s">
        <v>46</v>
      </c>
      <c r="AL2401" s="1">
        <v>45007.679988425924</v>
      </c>
      <c r="AM2401" t="s">
        <v>44</v>
      </c>
    </row>
    <row r="2402" spans="1:39" x14ac:dyDescent="0.2">
      <c r="A2402" t="s">
        <v>2303</v>
      </c>
      <c r="B2402" t="s">
        <v>40</v>
      </c>
      <c r="C2402" t="s">
        <v>2104</v>
      </c>
      <c r="D2402" t="s">
        <v>42</v>
      </c>
      <c r="E2402" t="s">
        <v>43</v>
      </c>
      <c r="F2402" t="s">
        <v>44</v>
      </c>
      <c r="G2402" t="s">
        <v>45</v>
      </c>
      <c r="AH2402" t="s">
        <v>42</v>
      </c>
      <c r="AI2402" t="str">
        <f>"67950195166303"</f>
        <v>67950195166303</v>
      </c>
      <c r="AJ2402" t="str">
        <f>"P-TR10N16-01"</f>
        <v>P-TR10N16-01</v>
      </c>
      <c r="AK2402" t="s">
        <v>46</v>
      </c>
      <c r="AL2402" s="1">
        <v>45007.679988425924</v>
      </c>
      <c r="AM2402" t="s">
        <v>44</v>
      </c>
    </row>
    <row r="2403" spans="1:39" x14ac:dyDescent="0.2">
      <c r="A2403" t="s">
        <v>2304</v>
      </c>
      <c r="B2403" t="s">
        <v>40</v>
      </c>
      <c r="C2403" t="s">
        <v>2104</v>
      </c>
      <c r="D2403" t="s">
        <v>42</v>
      </c>
      <c r="E2403" t="s">
        <v>43</v>
      </c>
      <c r="F2403" t="s">
        <v>44</v>
      </c>
      <c r="G2403" t="s">
        <v>45</v>
      </c>
      <c r="AH2403" t="s">
        <v>42</v>
      </c>
      <c r="AI2403" t="str">
        <f>"67950195175014"</f>
        <v>67950195175014</v>
      </c>
      <c r="AJ2403" t="str">
        <f>"P-TR7S20-0R"</f>
        <v>P-TR7S20-0R</v>
      </c>
      <c r="AK2403" t="s">
        <v>46</v>
      </c>
      <c r="AL2403" s="1">
        <v>45007.679988425924</v>
      </c>
      <c r="AM2403" t="s">
        <v>44</v>
      </c>
    </row>
    <row r="2404" spans="1:39" x14ac:dyDescent="0.2">
      <c r="A2404" t="s">
        <v>2305</v>
      </c>
      <c r="B2404" t="s">
        <v>40</v>
      </c>
      <c r="C2404" t="s">
        <v>2104</v>
      </c>
      <c r="D2404" t="s">
        <v>42</v>
      </c>
      <c r="E2404" t="s">
        <v>43</v>
      </c>
      <c r="F2404" t="s">
        <v>44</v>
      </c>
      <c r="G2404" t="s">
        <v>45</v>
      </c>
      <c r="AH2404" t="s">
        <v>42</v>
      </c>
      <c r="AI2404" t="str">
        <f>"67950195231410"</f>
        <v>67950195231410</v>
      </c>
      <c r="AJ2404" t="str">
        <f>"P-TR12E12-01"</f>
        <v>P-TR12E12-01</v>
      </c>
      <c r="AK2404" t="s">
        <v>46</v>
      </c>
      <c r="AL2404" s="1">
        <v>45007.68</v>
      </c>
      <c r="AM2404" t="s">
        <v>44</v>
      </c>
    </row>
    <row r="2405" spans="1:39" x14ac:dyDescent="0.2">
      <c r="A2405" t="s">
        <v>2306</v>
      </c>
      <c r="B2405" t="s">
        <v>40</v>
      </c>
      <c r="C2405" t="s">
        <v>2104</v>
      </c>
      <c r="D2405" t="s">
        <v>42</v>
      </c>
      <c r="E2405" t="s">
        <v>43</v>
      </c>
      <c r="F2405" t="s">
        <v>44</v>
      </c>
      <c r="G2405" t="s">
        <v>45</v>
      </c>
      <c r="AH2405" t="s">
        <v>42</v>
      </c>
      <c r="AI2405" t="str">
        <f>"67950195204875"</f>
        <v>67950195204875</v>
      </c>
      <c r="AJ2405" t="str">
        <f>"P-TR8N11-01"</f>
        <v>P-TR8N11-01</v>
      </c>
      <c r="AK2405" t="s">
        <v>46</v>
      </c>
      <c r="AL2405" s="1">
        <v>45007.68</v>
      </c>
      <c r="AM2405" t="s">
        <v>44</v>
      </c>
    </row>
    <row r="2406" spans="1:39" x14ac:dyDescent="0.2">
      <c r="A2406" t="s">
        <v>2307</v>
      </c>
      <c r="B2406" t="s">
        <v>40</v>
      </c>
      <c r="C2406" t="s">
        <v>2104</v>
      </c>
      <c r="D2406" t="s">
        <v>42</v>
      </c>
      <c r="E2406" t="s">
        <v>43</v>
      </c>
      <c r="F2406" t="s">
        <v>44</v>
      </c>
      <c r="G2406" t="s">
        <v>45</v>
      </c>
      <c r="AH2406" t="s">
        <v>42</v>
      </c>
      <c r="AI2406" t="str">
        <f>"67950195213220"</f>
        <v>67950195213220</v>
      </c>
      <c r="AJ2406" t="str">
        <f>"P-TR9E20-01"</f>
        <v>P-TR9E20-01</v>
      </c>
      <c r="AK2406" t="s">
        <v>46</v>
      </c>
      <c r="AL2406" s="1">
        <v>45007.68</v>
      </c>
      <c r="AM2406" t="s">
        <v>44</v>
      </c>
    </row>
    <row r="2407" spans="1:39" x14ac:dyDescent="0.2">
      <c r="A2407" t="s">
        <v>2308</v>
      </c>
      <c r="B2407" t="s">
        <v>40</v>
      </c>
      <c r="C2407" t="s">
        <v>2104</v>
      </c>
      <c r="D2407" t="s">
        <v>42</v>
      </c>
      <c r="E2407" t="s">
        <v>43</v>
      </c>
      <c r="F2407" t="s">
        <v>44</v>
      </c>
      <c r="G2407" t="s">
        <v>45</v>
      </c>
      <c r="AH2407" t="s">
        <v>42</v>
      </c>
      <c r="AI2407" t="str">
        <f>"67950195238713"</f>
        <v>67950195238713</v>
      </c>
      <c r="AJ2407" t="str">
        <f>"P-TR6N21-01"</f>
        <v>P-TR6N21-01</v>
      </c>
      <c r="AK2407" t="s">
        <v>46</v>
      </c>
      <c r="AL2407" s="1">
        <v>45007.68</v>
      </c>
      <c r="AM2407" t="s">
        <v>44</v>
      </c>
    </row>
    <row r="2408" spans="1:39" x14ac:dyDescent="0.2">
      <c r="A2408" t="s">
        <v>2309</v>
      </c>
      <c r="B2408" t="s">
        <v>40</v>
      </c>
      <c r="C2408" t="s">
        <v>2104</v>
      </c>
      <c r="D2408" t="s">
        <v>42</v>
      </c>
      <c r="E2408" t="s">
        <v>43</v>
      </c>
      <c r="F2408" t="s">
        <v>44</v>
      </c>
      <c r="G2408" t="s">
        <v>45</v>
      </c>
      <c r="AH2408" t="s">
        <v>42</v>
      </c>
      <c r="AI2408" t="str">
        <f>"67950195266379"</f>
        <v>67950195266379</v>
      </c>
      <c r="AJ2408" t="str">
        <f>"R-Y7N14-01"</f>
        <v>R-Y7N14-01</v>
      </c>
      <c r="AK2408" t="s">
        <v>46</v>
      </c>
      <c r="AL2408" s="1">
        <v>45007.68</v>
      </c>
      <c r="AM2408" t="s">
        <v>44</v>
      </c>
    </row>
    <row r="2409" spans="1:39" x14ac:dyDescent="0.2">
      <c r="A2409" t="s">
        <v>2310</v>
      </c>
      <c r="B2409" t="s">
        <v>40</v>
      </c>
      <c r="C2409" t="s">
        <v>2104</v>
      </c>
      <c r="D2409" t="s">
        <v>42</v>
      </c>
      <c r="E2409" t="s">
        <v>43</v>
      </c>
      <c r="F2409" t="s">
        <v>44</v>
      </c>
      <c r="G2409" t="s">
        <v>45</v>
      </c>
      <c r="AH2409" t="s">
        <v>42</v>
      </c>
      <c r="AI2409" t="str">
        <f>"67950195296729"</f>
        <v>67950195296729</v>
      </c>
      <c r="AJ2409" t="str">
        <f>"P-Y8N14-01"</f>
        <v>P-Y8N14-01</v>
      </c>
      <c r="AK2409" t="s">
        <v>46</v>
      </c>
      <c r="AL2409" s="1">
        <v>45007.68</v>
      </c>
      <c r="AM2409" t="s">
        <v>44</v>
      </c>
    </row>
    <row r="2410" spans="1:39" x14ac:dyDescent="0.2">
      <c r="A2410" t="s">
        <v>2311</v>
      </c>
      <c r="B2410" t="s">
        <v>40</v>
      </c>
      <c r="C2410" t="s">
        <v>2104</v>
      </c>
      <c r="D2410" t="s">
        <v>42</v>
      </c>
      <c r="E2410" t="s">
        <v>43</v>
      </c>
      <c r="F2410" t="s">
        <v>44</v>
      </c>
      <c r="G2410" t="s">
        <v>45</v>
      </c>
      <c r="AH2410" t="s">
        <v>42</v>
      </c>
      <c r="AI2410" t="str">
        <f>"67950195299452"</f>
        <v>67950195299452</v>
      </c>
      <c r="AJ2410" t="str">
        <f>"P-Y6N09-01"</f>
        <v>P-Y6N09-01</v>
      </c>
      <c r="AK2410" t="s">
        <v>46</v>
      </c>
      <c r="AL2410" s="1">
        <v>45007.68</v>
      </c>
      <c r="AM2410" t="s">
        <v>44</v>
      </c>
    </row>
    <row r="2411" spans="1:39" x14ac:dyDescent="0.2">
      <c r="A2411" t="s">
        <v>2312</v>
      </c>
      <c r="B2411" t="s">
        <v>40</v>
      </c>
      <c r="C2411" t="s">
        <v>2104</v>
      </c>
      <c r="D2411" t="s">
        <v>42</v>
      </c>
      <c r="E2411" t="s">
        <v>43</v>
      </c>
      <c r="F2411" t="s">
        <v>44</v>
      </c>
      <c r="G2411" t="s">
        <v>45</v>
      </c>
      <c r="AH2411" t="s">
        <v>42</v>
      </c>
      <c r="AI2411" t="str">
        <f>"67950195306359"</f>
        <v>67950195306359</v>
      </c>
      <c r="AJ2411" t="str">
        <f>"P-Y12E10-01"</f>
        <v>P-Y12E10-01</v>
      </c>
      <c r="AK2411" t="s">
        <v>46</v>
      </c>
      <c r="AL2411" s="1">
        <v>45007.680011574077</v>
      </c>
      <c r="AM2411" t="s">
        <v>44</v>
      </c>
    </row>
    <row r="2412" spans="1:39" x14ac:dyDescent="0.2">
      <c r="A2412" t="s">
        <v>2313</v>
      </c>
      <c r="B2412" t="s">
        <v>40</v>
      </c>
      <c r="C2412" t="s">
        <v>2104</v>
      </c>
      <c r="D2412" t="s">
        <v>42</v>
      </c>
      <c r="E2412" t="s">
        <v>43</v>
      </c>
      <c r="F2412" t="s">
        <v>44</v>
      </c>
      <c r="G2412" t="s">
        <v>45</v>
      </c>
      <c r="AH2412" t="s">
        <v>42</v>
      </c>
      <c r="AI2412" t="str">
        <f>"67950195339841"</f>
        <v>67950195339841</v>
      </c>
      <c r="AJ2412" t="str">
        <f>"P-Y10S09-0R"</f>
        <v>P-Y10S09-0R</v>
      </c>
      <c r="AK2412" t="s">
        <v>46</v>
      </c>
      <c r="AL2412" s="1">
        <v>45007.680011574077</v>
      </c>
      <c r="AM2412" t="s">
        <v>44</v>
      </c>
    </row>
    <row r="2413" spans="1:39" x14ac:dyDescent="0.2">
      <c r="A2413" t="s">
        <v>2314</v>
      </c>
      <c r="B2413" t="s">
        <v>40</v>
      </c>
      <c r="C2413" t="s">
        <v>2104</v>
      </c>
      <c r="D2413" t="s">
        <v>42</v>
      </c>
      <c r="E2413" t="s">
        <v>43</v>
      </c>
      <c r="F2413" t="s">
        <v>44</v>
      </c>
      <c r="G2413" t="s">
        <v>45</v>
      </c>
      <c r="AH2413" t="s">
        <v>42</v>
      </c>
      <c r="AI2413" t="str">
        <f>"67950195361385"</f>
        <v>67950195361385</v>
      </c>
      <c r="AJ2413" t="str">
        <f>"P-Y10S15-0R"</f>
        <v>P-Y10S15-0R</v>
      </c>
      <c r="AK2413" t="s">
        <v>46</v>
      </c>
      <c r="AL2413" s="1">
        <v>45007.680011574077</v>
      </c>
      <c r="AM2413" t="s">
        <v>44</v>
      </c>
    </row>
    <row r="2414" spans="1:39" x14ac:dyDescent="0.2">
      <c r="A2414" t="s">
        <v>2315</v>
      </c>
      <c r="B2414" t="s">
        <v>40</v>
      </c>
      <c r="C2414" t="s">
        <v>2104</v>
      </c>
      <c r="D2414" t="s">
        <v>42</v>
      </c>
      <c r="E2414" t="s">
        <v>43</v>
      </c>
      <c r="F2414" t="s">
        <v>44</v>
      </c>
      <c r="G2414" t="s">
        <v>45</v>
      </c>
      <c r="AH2414" t="s">
        <v>42</v>
      </c>
      <c r="AI2414" t="str">
        <f>"67950195362979"</f>
        <v>67950195362979</v>
      </c>
      <c r="AJ2414" t="str">
        <f>"P-Y1S09-01"</f>
        <v>P-Y1S09-01</v>
      </c>
      <c r="AK2414" t="s">
        <v>46</v>
      </c>
      <c r="AL2414" s="1">
        <v>45007.680011574077</v>
      </c>
      <c r="AM2414" t="s">
        <v>44</v>
      </c>
    </row>
    <row r="2415" spans="1:39" x14ac:dyDescent="0.2">
      <c r="A2415" t="s">
        <v>2316</v>
      </c>
      <c r="B2415" t="s">
        <v>40</v>
      </c>
      <c r="C2415" t="s">
        <v>2104</v>
      </c>
      <c r="D2415" t="s">
        <v>42</v>
      </c>
      <c r="E2415" t="s">
        <v>43</v>
      </c>
      <c r="F2415" t="s">
        <v>44</v>
      </c>
      <c r="G2415" t="s">
        <v>45</v>
      </c>
      <c r="AH2415" t="s">
        <v>42</v>
      </c>
      <c r="AI2415" t="str">
        <f>"67950195369479"</f>
        <v>67950195369479</v>
      </c>
      <c r="AJ2415" t="str">
        <f>"P-Y6S08-0R"</f>
        <v>P-Y6S08-0R</v>
      </c>
      <c r="AK2415" t="s">
        <v>46</v>
      </c>
      <c r="AL2415" s="1">
        <v>45007.680011574077</v>
      </c>
      <c r="AM2415" t="s">
        <v>44</v>
      </c>
    </row>
    <row r="2416" spans="1:39" x14ac:dyDescent="0.2">
      <c r="A2416" t="s">
        <v>2317</v>
      </c>
      <c r="B2416" t="s">
        <v>40</v>
      </c>
      <c r="C2416" t="s">
        <v>2318</v>
      </c>
      <c r="D2416" t="s">
        <v>42</v>
      </c>
      <c r="E2416" t="s">
        <v>43</v>
      </c>
      <c r="F2416" t="s">
        <v>44</v>
      </c>
      <c r="G2416" t="s">
        <v>45</v>
      </c>
      <c r="AH2416" t="s">
        <v>42</v>
      </c>
      <c r="AI2416" t="str">
        <f>"K353147500"</f>
        <v>K353147500</v>
      </c>
      <c r="AJ2416" t="str">
        <f>"K353147500"</f>
        <v>K353147500</v>
      </c>
      <c r="AK2416" t="s">
        <v>46</v>
      </c>
      <c r="AL2416" s="1">
        <v>45113.925925925927</v>
      </c>
      <c r="AM2416" t="s">
        <v>44</v>
      </c>
    </row>
    <row r="2417" spans="1:39" x14ac:dyDescent="0.2">
      <c r="A2417" t="s">
        <v>2319</v>
      </c>
      <c r="B2417" t="s">
        <v>40</v>
      </c>
      <c r="C2417" t="s">
        <v>2318</v>
      </c>
      <c r="D2417" t="s">
        <v>42</v>
      </c>
      <c r="E2417" t="s">
        <v>43</v>
      </c>
      <c r="F2417" t="s">
        <v>44</v>
      </c>
      <c r="G2417" t="s">
        <v>45</v>
      </c>
      <c r="AH2417" t="s">
        <v>42</v>
      </c>
      <c r="AI2417" t="str">
        <f>"66298887872029"</f>
        <v>66298887872029</v>
      </c>
      <c r="AJ2417" t="str">
        <f>"83254"</f>
        <v>83254</v>
      </c>
      <c r="AK2417" t="s">
        <v>46</v>
      </c>
      <c r="AL2417" s="1">
        <v>44816.556458333333</v>
      </c>
      <c r="AM2417" t="s">
        <v>44</v>
      </c>
    </row>
    <row r="2418" spans="1:39" x14ac:dyDescent="0.2">
      <c r="A2418" t="s">
        <v>2320</v>
      </c>
      <c r="B2418" t="s">
        <v>40</v>
      </c>
      <c r="C2418" t="s">
        <v>2318</v>
      </c>
      <c r="D2418" t="s">
        <v>42</v>
      </c>
      <c r="E2418" t="s">
        <v>43</v>
      </c>
      <c r="F2418" t="s">
        <v>44</v>
      </c>
      <c r="G2418" t="s">
        <v>45</v>
      </c>
      <c r="AH2418" t="s">
        <v>42</v>
      </c>
      <c r="AI2418" t="str">
        <f>"66298887911756"</f>
        <v>66298887911756</v>
      </c>
      <c r="AJ2418" t="str">
        <f>"400682"</f>
        <v>400682</v>
      </c>
      <c r="AK2418" t="s">
        <v>46</v>
      </c>
      <c r="AL2418" s="1">
        <v>44816.556469907409</v>
      </c>
      <c r="AM2418" t="s">
        <v>44</v>
      </c>
    </row>
    <row r="2419" spans="1:39" x14ac:dyDescent="0.2">
      <c r="A2419" t="s">
        <v>2321</v>
      </c>
      <c r="B2419" t="s">
        <v>40</v>
      </c>
      <c r="C2419" t="s">
        <v>2318</v>
      </c>
      <c r="D2419" t="s">
        <v>42</v>
      </c>
      <c r="E2419" t="s">
        <v>43</v>
      </c>
      <c r="F2419" t="s">
        <v>44</v>
      </c>
      <c r="G2419" t="s">
        <v>45</v>
      </c>
      <c r="AH2419" t="s">
        <v>42</v>
      </c>
      <c r="AI2419" t="str">
        <f>"66298887989000"</f>
        <v>66298887989000</v>
      </c>
      <c r="AJ2419" t="str">
        <f>"B065"</f>
        <v>B065</v>
      </c>
      <c r="AK2419" t="s">
        <v>46</v>
      </c>
      <c r="AL2419" s="1">
        <v>44816.556469907409</v>
      </c>
      <c r="AM2419" t="s">
        <v>44</v>
      </c>
    </row>
    <row r="2420" spans="1:39" x14ac:dyDescent="0.2">
      <c r="A2420" t="s">
        <v>2322</v>
      </c>
      <c r="B2420" t="s">
        <v>40</v>
      </c>
      <c r="C2420" t="s">
        <v>2318</v>
      </c>
      <c r="D2420" t="s">
        <v>42</v>
      </c>
      <c r="E2420" t="s">
        <v>43</v>
      </c>
      <c r="F2420" t="s">
        <v>44</v>
      </c>
      <c r="G2420" t="s">
        <v>45</v>
      </c>
      <c r="AH2420" t="s">
        <v>42</v>
      </c>
      <c r="AI2420" t="str">
        <f>"66298888028385"</f>
        <v>66298888028385</v>
      </c>
      <c r="AJ2420" t="str">
        <f>"400033"</f>
        <v>400033</v>
      </c>
      <c r="AK2420" t="s">
        <v>46</v>
      </c>
      <c r="AL2420" s="1">
        <v>44816.556481481479</v>
      </c>
      <c r="AM2420" t="s">
        <v>44</v>
      </c>
    </row>
    <row r="2421" spans="1:39" x14ac:dyDescent="0.2">
      <c r="A2421" t="s">
        <v>2323</v>
      </c>
      <c r="B2421" t="s">
        <v>40</v>
      </c>
      <c r="C2421" t="s">
        <v>2318</v>
      </c>
      <c r="D2421" t="s">
        <v>42</v>
      </c>
      <c r="E2421" t="s">
        <v>43</v>
      </c>
      <c r="F2421" t="s">
        <v>44</v>
      </c>
      <c r="G2421" t="s">
        <v>45</v>
      </c>
      <c r="AH2421" t="s">
        <v>42</v>
      </c>
      <c r="AI2421" t="str">
        <f>"FL-UNIV-LED"</f>
        <v>FL-UNIV-LED</v>
      </c>
      <c r="AJ2421" t="str">
        <f>"FL-UNIV-LED"</f>
        <v>FL-UNIV-LED</v>
      </c>
      <c r="AK2421" t="s">
        <v>46</v>
      </c>
      <c r="AL2421" s="1">
        <v>45133.847511574073</v>
      </c>
      <c r="AM2421" t="s">
        <v>44</v>
      </c>
    </row>
    <row r="2422" spans="1:39" x14ac:dyDescent="0.2">
      <c r="A2422" t="s">
        <v>2324</v>
      </c>
      <c r="B2422" t="s">
        <v>40</v>
      </c>
      <c r="C2422" t="s">
        <v>2318</v>
      </c>
      <c r="D2422" t="s">
        <v>42</v>
      </c>
      <c r="E2422" t="s">
        <v>43</v>
      </c>
      <c r="F2422" t="s">
        <v>44</v>
      </c>
      <c r="G2422" t="s">
        <v>45</v>
      </c>
      <c r="AH2422" t="s">
        <v>42</v>
      </c>
      <c r="AI2422" t="str">
        <f>"66298887951737"</f>
        <v>66298887951737</v>
      </c>
      <c r="AJ2422" t="str">
        <f>"FL-UNIV"</f>
        <v>FL-UNIV</v>
      </c>
      <c r="AK2422" t="s">
        <v>46</v>
      </c>
      <c r="AL2422" s="1">
        <v>44816.556469907409</v>
      </c>
      <c r="AM2422" t="s">
        <v>44</v>
      </c>
    </row>
    <row r="2423" spans="1:39" x14ac:dyDescent="0.2">
      <c r="A2423" t="s">
        <v>2324</v>
      </c>
      <c r="B2423" t="s">
        <v>40</v>
      </c>
      <c r="C2423" t="s">
        <v>2318</v>
      </c>
      <c r="D2423" t="s">
        <v>42</v>
      </c>
      <c r="E2423" t="s">
        <v>43</v>
      </c>
      <c r="F2423" t="s">
        <v>44</v>
      </c>
      <c r="G2423" t="s">
        <v>45</v>
      </c>
      <c r="AH2423" t="s">
        <v>42</v>
      </c>
      <c r="AI2423" t="str">
        <f>"H002"</f>
        <v>H002</v>
      </c>
      <c r="AJ2423" t="str">
        <f>"H002"</f>
        <v>H002</v>
      </c>
      <c r="AK2423" t="s">
        <v>46</v>
      </c>
      <c r="AL2423" s="1">
        <v>45091.917175925926</v>
      </c>
      <c r="AM2423" t="s">
        <v>44</v>
      </c>
    </row>
    <row r="2424" spans="1:39" x14ac:dyDescent="0.2">
      <c r="A2424" t="s">
        <v>2325</v>
      </c>
      <c r="B2424" t="s">
        <v>40</v>
      </c>
      <c r="C2424" t="s">
        <v>2318</v>
      </c>
      <c r="D2424" t="s">
        <v>42</v>
      </c>
      <c r="E2424" t="s">
        <v>43</v>
      </c>
      <c r="F2424" t="s">
        <v>44</v>
      </c>
      <c r="G2424" t="s">
        <v>45</v>
      </c>
      <c r="AH2424" t="s">
        <v>42</v>
      </c>
      <c r="AI2424" t="str">
        <f>"66298888071485"</f>
        <v>66298888071485</v>
      </c>
      <c r="AJ2424" t="str">
        <f>"82239"</f>
        <v>82239</v>
      </c>
      <c r="AK2424" t="s">
        <v>46</v>
      </c>
      <c r="AL2424" s="1">
        <v>44816.556481481479</v>
      </c>
      <c r="AM2424" t="s">
        <v>44</v>
      </c>
    </row>
    <row r="2425" spans="1:39" x14ac:dyDescent="0.2">
      <c r="A2425" t="s">
        <v>2326</v>
      </c>
      <c r="B2425" t="s">
        <v>40</v>
      </c>
      <c r="C2425" t="s">
        <v>2318</v>
      </c>
      <c r="D2425" t="s">
        <v>42</v>
      </c>
      <c r="E2425" t="s">
        <v>43</v>
      </c>
      <c r="F2425" t="s">
        <v>44</v>
      </c>
      <c r="G2425" t="s">
        <v>45</v>
      </c>
      <c r="AH2425" t="s">
        <v>42</v>
      </c>
      <c r="AI2425" t="str">
        <f>"66298888116460"</f>
        <v>66298888116460</v>
      </c>
      <c r="AJ2425" t="str">
        <f>"82820"</f>
        <v>82820</v>
      </c>
      <c r="AK2425" t="s">
        <v>46</v>
      </c>
      <c r="AL2425" s="1">
        <v>44816.556493055556</v>
      </c>
      <c r="AM2425" t="s">
        <v>44</v>
      </c>
    </row>
    <row r="2426" spans="1:39" x14ac:dyDescent="0.2">
      <c r="A2426" t="s">
        <v>2327</v>
      </c>
      <c r="B2426" t="s">
        <v>40</v>
      </c>
      <c r="C2426" t="s">
        <v>2318</v>
      </c>
      <c r="D2426" t="s">
        <v>42</v>
      </c>
      <c r="E2426" t="s">
        <v>43</v>
      </c>
      <c r="F2426" t="s">
        <v>44</v>
      </c>
      <c r="G2426" t="s">
        <v>45</v>
      </c>
      <c r="AH2426" t="s">
        <v>42</v>
      </c>
      <c r="AI2426" t="str">
        <f>"66298888156149"</f>
        <v>66298888156149</v>
      </c>
      <c r="AJ2426" t="str">
        <f>"DS-2010-25"</f>
        <v>DS-2010-25</v>
      </c>
      <c r="AK2426" t="s">
        <v>46</v>
      </c>
      <c r="AL2426" s="1">
        <v>44816.556493055556</v>
      </c>
      <c r="AM2426" t="s">
        <v>44</v>
      </c>
    </row>
    <row r="2427" spans="1:39" x14ac:dyDescent="0.2">
      <c r="A2427" t="s">
        <v>2328</v>
      </c>
      <c r="B2427" t="s">
        <v>40</v>
      </c>
      <c r="C2427" t="s">
        <v>1318</v>
      </c>
      <c r="D2427" t="s">
        <v>42</v>
      </c>
      <c r="E2427" t="s">
        <v>43</v>
      </c>
      <c r="F2427" t="s">
        <v>44</v>
      </c>
      <c r="G2427" t="s">
        <v>45</v>
      </c>
      <c r="AH2427" t="s">
        <v>42</v>
      </c>
      <c r="AI2427" t="str">
        <f>"66298888196827"</f>
        <v>66298888196827</v>
      </c>
      <c r="AJ2427" t="str">
        <f>"BF011"</f>
        <v>BF011</v>
      </c>
      <c r="AK2427" t="s">
        <v>46</v>
      </c>
      <c r="AL2427" s="1">
        <v>44816.556493055556</v>
      </c>
      <c r="AM2427" t="s">
        <v>44</v>
      </c>
    </row>
    <row r="2428" spans="1:39" x14ac:dyDescent="0.2">
      <c r="A2428" t="s">
        <v>2329</v>
      </c>
      <c r="B2428" t="s">
        <v>40</v>
      </c>
      <c r="C2428" t="s">
        <v>2330</v>
      </c>
      <c r="D2428" t="s">
        <v>42</v>
      </c>
      <c r="E2428" t="s">
        <v>43</v>
      </c>
      <c r="F2428" t="s">
        <v>44</v>
      </c>
      <c r="G2428" t="s">
        <v>45</v>
      </c>
      <c r="AH2428" t="s">
        <v>42</v>
      </c>
      <c r="AI2428" t="str">
        <f>"BF008"</f>
        <v>BF008</v>
      </c>
      <c r="AJ2428" t="str">
        <f>"BF008"</f>
        <v>BF008</v>
      </c>
      <c r="AK2428" t="s">
        <v>46</v>
      </c>
      <c r="AL2428" s="1">
        <v>45091.918055555558</v>
      </c>
      <c r="AM2428" t="s">
        <v>44</v>
      </c>
    </row>
    <row r="2429" spans="1:39" x14ac:dyDescent="0.2">
      <c r="A2429" t="s">
        <v>2331</v>
      </c>
      <c r="B2429" t="s">
        <v>40</v>
      </c>
      <c r="C2429" t="s">
        <v>2330</v>
      </c>
      <c r="D2429" t="s">
        <v>42</v>
      </c>
      <c r="E2429" t="s">
        <v>43</v>
      </c>
      <c r="F2429" t="s">
        <v>44</v>
      </c>
      <c r="G2429" t="s">
        <v>45</v>
      </c>
      <c r="AH2429" t="s">
        <v>42</v>
      </c>
      <c r="AI2429" t="str">
        <f>"BF007"</f>
        <v>BF007</v>
      </c>
      <c r="AJ2429" t="str">
        <f>"BF007"</f>
        <v>BF007</v>
      </c>
      <c r="AK2429" t="s">
        <v>46</v>
      </c>
      <c r="AL2429" s="1">
        <v>45091.918483796297</v>
      </c>
      <c r="AM2429" t="s">
        <v>44</v>
      </c>
    </row>
    <row r="2430" spans="1:39" x14ac:dyDescent="0.2">
      <c r="A2430" t="s">
        <v>2332</v>
      </c>
      <c r="B2430" t="s">
        <v>40</v>
      </c>
      <c r="C2430" t="s">
        <v>278</v>
      </c>
      <c r="D2430" t="s">
        <v>42</v>
      </c>
      <c r="E2430" t="s">
        <v>43</v>
      </c>
      <c r="F2430" t="s">
        <v>44</v>
      </c>
      <c r="G2430" t="s">
        <v>45</v>
      </c>
      <c r="AH2430" t="s">
        <v>42</v>
      </c>
      <c r="AI2430" t="str">
        <f>"12273"</f>
        <v>12273</v>
      </c>
      <c r="AJ2430" t="str">
        <f>"12273"</f>
        <v>12273</v>
      </c>
      <c r="AK2430" t="s">
        <v>46</v>
      </c>
      <c r="AL2430" s="1">
        <v>45029.655081018522</v>
      </c>
      <c r="AM2430" t="s">
        <v>44</v>
      </c>
    </row>
    <row r="2431" spans="1:39" x14ac:dyDescent="0.2">
      <c r="A2431" t="s">
        <v>2333</v>
      </c>
      <c r="B2431" t="s">
        <v>40</v>
      </c>
      <c r="C2431" t="s">
        <v>2334</v>
      </c>
      <c r="D2431" t="s">
        <v>42</v>
      </c>
      <c r="E2431" t="s">
        <v>43</v>
      </c>
      <c r="F2431" t="s">
        <v>44</v>
      </c>
      <c r="G2431" t="s">
        <v>45</v>
      </c>
      <c r="AH2431" t="s">
        <v>42</v>
      </c>
      <c r="AI2431" t="str">
        <f>"A209"</f>
        <v>A209</v>
      </c>
      <c r="AJ2431" t="str">
        <f>"A209"</f>
        <v>A209</v>
      </c>
      <c r="AK2431" t="s">
        <v>46</v>
      </c>
      <c r="AL2431" s="1">
        <v>45091.926666666666</v>
      </c>
      <c r="AM2431" t="s">
        <v>44</v>
      </c>
    </row>
    <row r="2432" spans="1:39" x14ac:dyDescent="0.2">
      <c r="A2432" t="s">
        <v>2335</v>
      </c>
      <c r="B2432" t="s">
        <v>40</v>
      </c>
      <c r="C2432" t="s">
        <v>2048</v>
      </c>
      <c r="D2432" t="s">
        <v>42</v>
      </c>
      <c r="E2432" t="s">
        <v>43</v>
      </c>
      <c r="F2432" t="s">
        <v>44</v>
      </c>
      <c r="G2432" t="s">
        <v>45</v>
      </c>
      <c r="AH2432" t="s">
        <v>42</v>
      </c>
      <c r="AI2432" t="str">
        <f>"66298888236802"</f>
        <v>66298888236802</v>
      </c>
      <c r="AJ2432" t="str">
        <f>"84888"</f>
        <v>84888</v>
      </c>
      <c r="AK2432" t="s">
        <v>46</v>
      </c>
      <c r="AL2432" s="1">
        <v>44816.556504629632</v>
      </c>
      <c r="AM2432" t="s">
        <v>44</v>
      </c>
    </row>
    <row r="2433" spans="1:39" x14ac:dyDescent="0.2">
      <c r="A2433" t="s">
        <v>2336</v>
      </c>
      <c r="B2433" t="s">
        <v>40</v>
      </c>
      <c r="C2433" t="s">
        <v>41</v>
      </c>
      <c r="D2433" t="s">
        <v>42</v>
      </c>
      <c r="E2433" t="s">
        <v>43</v>
      </c>
      <c r="F2433" t="s">
        <v>44</v>
      </c>
      <c r="G2433" t="s">
        <v>45</v>
      </c>
      <c r="AH2433" t="s">
        <v>42</v>
      </c>
      <c r="AI2433" t="str">
        <f>"11936"</f>
        <v>11936</v>
      </c>
      <c r="AJ2433" t="str">
        <f>"11936"</f>
        <v>11936</v>
      </c>
      <c r="AK2433" t="s">
        <v>46</v>
      </c>
      <c r="AL2433" s="1">
        <v>45062.559398148151</v>
      </c>
      <c r="AM2433" t="s">
        <v>44</v>
      </c>
    </row>
    <row r="2434" spans="1:39" x14ac:dyDescent="0.2">
      <c r="A2434" t="s">
        <v>2337</v>
      </c>
      <c r="B2434" t="s">
        <v>40</v>
      </c>
      <c r="C2434" t="s">
        <v>41</v>
      </c>
      <c r="D2434" t="s">
        <v>42</v>
      </c>
      <c r="E2434" t="s">
        <v>43</v>
      </c>
      <c r="F2434" t="s">
        <v>44</v>
      </c>
      <c r="G2434" t="s">
        <v>45</v>
      </c>
      <c r="AH2434" t="s">
        <v>42</v>
      </c>
      <c r="AI2434" t="str">
        <f>"11607"</f>
        <v>11607</v>
      </c>
      <c r="AJ2434" t="str">
        <f>"11607"</f>
        <v>11607</v>
      </c>
      <c r="AK2434" t="s">
        <v>46</v>
      </c>
      <c r="AL2434" s="1">
        <v>45054.764467592591</v>
      </c>
      <c r="AM2434" t="s">
        <v>44</v>
      </c>
    </row>
    <row r="2435" spans="1:39" x14ac:dyDescent="0.2">
      <c r="A2435" t="s">
        <v>2338</v>
      </c>
      <c r="B2435" t="s">
        <v>40</v>
      </c>
      <c r="C2435" t="s">
        <v>50</v>
      </c>
      <c r="D2435" t="s">
        <v>42</v>
      </c>
      <c r="E2435" t="s">
        <v>43</v>
      </c>
      <c r="F2435" t="s">
        <v>44</v>
      </c>
      <c r="G2435" t="s">
        <v>45</v>
      </c>
      <c r="AH2435" t="s">
        <v>42</v>
      </c>
      <c r="AI2435" t="str">
        <f>"66298888321874"</f>
        <v>66298888321874</v>
      </c>
      <c r="AJ2435" t="str">
        <f>"0489"</f>
        <v>0489</v>
      </c>
      <c r="AK2435" t="s">
        <v>46</v>
      </c>
      <c r="AL2435" s="1">
        <v>44816.556516203702</v>
      </c>
      <c r="AM2435" t="s">
        <v>44</v>
      </c>
    </row>
    <row r="2436" spans="1:39" x14ac:dyDescent="0.2">
      <c r="A2436" t="s">
        <v>2339</v>
      </c>
      <c r="B2436" t="s">
        <v>40</v>
      </c>
      <c r="C2436" t="s">
        <v>50</v>
      </c>
      <c r="D2436" t="s">
        <v>42</v>
      </c>
      <c r="E2436" t="s">
        <v>43</v>
      </c>
      <c r="F2436" t="s">
        <v>44</v>
      </c>
      <c r="G2436" t="s">
        <v>45</v>
      </c>
      <c r="H2436" t="s">
        <v>1114</v>
      </c>
      <c r="AH2436" t="s">
        <v>42</v>
      </c>
      <c r="AI2436" t="str">
        <f>"RC028-AZUL"</f>
        <v>RC028-AZUL</v>
      </c>
      <c r="AJ2436" t="str">
        <f>"RC028-AZUL"</f>
        <v>RC028-AZUL</v>
      </c>
      <c r="AK2436" t="s">
        <v>46</v>
      </c>
      <c r="AL2436" s="1">
        <v>45019.843206018515</v>
      </c>
      <c r="AM2436" t="s">
        <v>44</v>
      </c>
    </row>
    <row r="2437" spans="1:39" x14ac:dyDescent="0.2">
      <c r="A2437" t="s">
        <v>2339</v>
      </c>
      <c r="B2437" t="s">
        <v>40</v>
      </c>
      <c r="C2437" t="s">
        <v>50</v>
      </c>
      <c r="D2437" t="s">
        <v>42</v>
      </c>
      <c r="E2437" t="s">
        <v>43</v>
      </c>
      <c r="F2437" t="s">
        <v>44</v>
      </c>
      <c r="G2437" t="s">
        <v>45</v>
      </c>
      <c r="H2437" t="s">
        <v>2340</v>
      </c>
      <c r="AH2437" t="s">
        <v>42</v>
      </c>
      <c r="AI2437" t="str">
        <f>"RC028-DORADO"</f>
        <v>RC028-DORADO</v>
      </c>
      <c r="AJ2437" t="str">
        <f>"RC028-DORADO"</f>
        <v>RC028-DORADO</v>
      </c>
      <c r="AK2437" t="s">
        <v>46</v>
      </c>
      <c r="AL2437" s="1">
        <v>44816.556516203702</v>
      </c>
      <c r="AM2437" t="s">
        <v>44</v>
      </c>
    </row>
    <row r="2438" spans="1:39" x14ac:dyDescent="0.2">
      <c r="A2438" t="s">
        <v>2339</v>
      </c>
      <c r="B2438" t="s">
        <v>40</v>
      </c>
      <c r="C2438" t="s">
        <v>50</v>
      </c>
      <c r="D2438" t="s">
        <v>42</v>
      </c>
      <c r="E2438" t="s">
        <v>43</v>
      </c>
      <c r="F2438" t="s">
        <v>44</v>
      </c>
      <c r="G2438" t="s">
        <v>45</v>
      </c>
      <c r="H2438" t="s">
        <v>2341</v>
      </c>
      <c r="AH2438" t="s">
        <v>42</v>
      </c>
      <c r="AI2438" t="str">
        <f>"RC028-PLATEADO"</f>
        <v>RC028-PLATEADO</v>
      </c>
      <c r="AJ2438" t="str">
        <f>"RC028-PLATEADO"</f>
        <v>RC028-PLATEADO</v>
      </c>
      <c r="AK2438" t="s">
        <v>46</v>
      </c>
      <c r="AL2438" s="1">
        <v>45019.842986111114</v>
      </c>
      <c r="AM2438" t="s">
        <v>44</v>
      </c>
    </row>
    <row r="2439" spans="1:39" x14ac:dyDescent="0.2">
      <c r="A2439" t="s">
        <v>2339</v>
      </c>
      <c r="B2439" t="s">
        <v>40</v>
      </c>
      <c r="C2439" t="s">
        <v>50</v>
      </c>
      <c r="D2439" t="s">
        <v>42</v>
      </c>
      <c r="E2439" t="s">
        <v>43</v>
      </c>
      <c r="F2439" t="s">
        <v>44</v>
      </c>
      <c r="G2439" t="s">
        <v>45</v>
      </c>
      <c r="H2439" t="s">
        <v>1123</v>
      </c>
      <c r="AH2439" t="s">
        <v>42</v>
      </c>
      <c r="AI2439" t="str">
        <f>"RC028-ROJO"</f>
        <v>RC028-ROJO</v>
      </c>
      <c r="AJ2439" t="str">
        <f>"RC028-ROJO"</f>
        <v>RC028-ROJO</v>
      </c>
      <c r="AK2439" t="s">
        <v>46</v>
      </c>
      <c r="AL2439" s="1">
        <v>45019.8434375</v>
      </c>
      <c r="AM2439" t="s">
        <v>44</v>
      </c>
    </row>
    <row r="2440" spans="1:39" x14ac:dyDescent="0.2">
      <c r="A2440" t="s">
        <v>2342</v>
      </c>
      <c r="B2440" t="s">
        <v>40</v>
      </c>
      <c r="C2440" t="s">
        <v>50</v>
      </c>
      <c r="D2440" t="s">
        <v>42</v>
      </c>
      <c r="E2440" t="s">
        <v>43</v>
      </c>
      <c r="F2440" t="s">
        <v>44</v>
      </c>
      <c r="G2440" t="s">
        <v>45</v>
      </c>
      <c r="AH2440" t="s">
        <v>42</v>
      </c>
      <c r="AI2440" t="str">
        <f>"66298888281286"</f>
        <v>66298888281286</v>
      </c>
      <c r="AJ2440" t="str">
        <f>"RC061"</f>
        <v>RC061</v>
      </c>
      <c r="AK2440" t="s">
        <v>46</v>
      </c>
      <c r="AL2440" s="1">
        <v>44816.556504629632</v>
      </c>
      <c r="AM2440" t="s">
        <v>44</v>
      </c>
    </row>
    <row r="2441" spans="1:39" x14ac:dyDescent="0.2">
      <c r="A2441" t="s">
        <v>2342</v>
      </c>
      <c r="B2441" t="s">
        <v>40</v>
      </c>
      <c r="C2441" t="s">
        <v>50</v>
      </c>
      <c r="D2441" t="s">
        <v>42</v>
      </c>
      <c r="E2441" t="s">
        <v>43</v>
      </c>
      <c r="F2441" t="s">
        <v>44</v>
      </c>
      <c r="G2441" t="s">
        <v>45</v>
      </c>
      <c r="H2441" t="s">
        <v>2037</v>
      </c>
      <c r="AH2441" t="s">
        <v>42</v>
      </c>
      <c r="AI2441" t="str">
        <f>"810"</f>
        <v>810</v>
      </c>
      <c r="AJ2441" t="str">
        <f>"810"</f>
        <v>810</v>
      </c>
      <c r="AK2441" t="s">
        <v>46</v>
      </c>
      <c r="AL2441" s="1">
        <v>45132.726111111115</v>
      </c>
      <c r="AM2441" t="s">
        <v>44</v>
      </c>
    </row>
    <row r="2442" spans="1:39" x14ac:dyDescent="0.2">
      <c r="A2442" t="s">
        <v>2342</v>
      </c>
      <c r="B2442" t="s">
        <v>40</v>
      </c>
      <c r="C2442" t="s">
        <v>50</v>
      </c>
      <c r="D2442" t="s">
        <v>42</v>
      </c>
      <c r="E2442" t="s">
        <v>43</v>
      </c>
      <c r="F2442" t="s">
        <v>44</v>
      </c>
      <c r="G2442" t="s">
        <v>45</v>
      </c>
      <c r="H2442" t="s">
        <v>2037</v>
      </c>
      <c r="AH2442" t="s">
        <v>42</v>
      </c>
      <c r="AI2442" t="str">
        <f>"10822"</f>
        <v>10822</v>
      </c>
      <c r="AJ2442" t="str">
        <f>"10822"</f>
        <v>10822</v>
      </c>
      <c r="AK2442" t="s">
        <v>46</v>
      </c>
      <c r="AL2442" s="1">
        <v>45134.670787037037</v>
      </c>
      <c r="AM2442" t="s">
        <v>44</v>
      </c>
    </row>
    <row r="2443" spans="1:39" x14ac:dyDescent="0.2">
      <c r="A2443" t="s">
        <v>2342</v>
      </c>
      <c r="B2443" t="s">
        <v>40</v>
      </c>
      <c r="C2443" t="s">
        <v>50</v>
      </c>
      <c r="D2443" t="s">
        <v>42</v>
      </c>
      <c r="E2443" t="s">
        <v>43</v>
      </c>
      <c r="F2443" t="s">
        <v>44</v>
      </c>
      <c r="G2443" t="s">
        <v>45</v>
      </c>
      <c r="H2443" t="s">
        <v>2037</v>
      </c>
      <c r="AH2443" t="s">
        <v>42</v>
      </c>
      <c r="AI2443" t="str">
        <f>"15794"</f>
        <v>15794</v>
      </c>
      <c r="AJ2443" t="str">
        <f>"15794"</f>
        <v>15794</v>
      </c>
      <c r="AK2443" t="s">
        <v>46</v>
      </c>
      <c r="AL2443" s="1">
        <v>45134.672696759262</v>
      </c>
      <c r="AM2443" t="s">
        <v>44</v>
      </c>
    </row>
    <row r="2444" spans="1:39" x14ac:dyDescent="0.2">
      <c r="A2444" t="s">
        <v>2343</v>
      </c>
      <c r="B2444" t="s">
        <v>40</v>
      </c>
      <c r="C2444" t="s">
        <v>2344</v>
      </c>
      <c r="D2444" t="s">
        <v>42</v>
      </c>
      <c r="E2444" t="s">
        <v>43</v>
      </c>
      <c r="F2444" t="s">
        <v>44</v>
      </c>
      <c r="G2444" t="s">
        <v>45</v>
      </c>
      <c r="AH2444" t="s">
        <v>42</v>
      </c>
      <c r="AI2444" t="str">
        <f>"66298888407412"</f>
        <v>66298888407412</v>
      </c>
      <c r="AJ2444" t="str">
        <f>"DM-F-00019"</f>
        <v>DM-F-00019</v>
      </c>
      <c r="AK2444" t="s">
        <v>46</v>
      </c>
      <c r="AL2444" s="1">
        <v>44816.556527777779</v>
      </c>
      <c r="AM2444" t="s">
        <v>44</v>
      </c>
    </row>
    <row r="2445" spans="1:39" x14ac:dyDescent="0.2">
      <c r="A2445" t="s">
        <v>2345</v>
      </c>
      <c r="B2445" t="s">
        <v>40</v>
      </c>
      <c r="C2445" t="s">
        <v>2344</v>
      </c>
      <c r="D2445" t="s">
        <v>42</v>
      </c>
      <c r="E2445" t="s">
        <v>43</v>
      </c>
      <c r="F2445" t="s">
        <v>44</v>
      </c>
      <c r="G2445" t="s">
        <v>45</v>
      </c>
      <c r="AH2445" t="s">
        <v>42</v>
      </c>
      <c r="AI2445" t="str">
        <f>"66298888449922"</f>
        <v>66298888449922</v>
      </c>
      <c r="AJ2445" t="str">
        <f>"DM-F-00005"</f>
        <v>DM-F-00005</v>
      </c>
      <c r="AK2445" t="s">
        <v>46</v>
      </c>
      <c r="AL2445" s="1">
        <v>44816.556527777779</v>
      </c>
      <c r="AM2445" t="s">
        <v>44</v>
      </c>
    </row>
    <row r="2446" spans="1:39" x14ac:dyDescent="0.2">
      <c r="A2446" t="s">
        <v>2346</v>
      </c>
      <c r="B2446" t="s">
        <v>40</v>
      </c>
      <c r="C2446" t="s">
        <v>2344</v>
      </c>
      <c r="D2446" t="s">
        <v>42</v>
      </c>
      <c r="E2446" t="s">
        <v>43</v>
      </c>
      <c r="F2446" t="s">
        <v>44</v>
      </c>
      <c r="G2446" t="s">
        <v>45</v>
      </c>
      <c r="AH2446" t="s">
        <v>42</v>
      </c>
      <c r="AI2446" t="str">
        <f>"66298888527964"</f>
        <v>66298888527964</v>
      </c>
      <c r="AJ2446" t="str">
        <f>"33120-K52-901GH"</f>
        <v>33120-K52-901GH</v>
      </c>
      <c r="AK2446" t="s">
        <v>46</v>
      </c>
      <c r="AL2446" s="1">
        <v>44816.556539351855</v>
      </c>
      <c r="AM2446" t="s">
        <v>44</v>
      </c>
    </row>
    <row r="2447" spans="1:39" x14ac:dyDescent="0.2">
      <c r="A2447" t="s">
        <v>2347</v>
      </c>
      <c r="B2447" t="s">
        <v>40</v>
      </c>
      <c r="C2447" t="s">
        <v>2344</v>
      </c>
      <c r="D2447" t="s">
        <v>42</v>
      </c>
      <c r="E2447" t="s">
        <v>43</v>
      </c>
      <c r="F2447" t="s">
        <v>44</v>
      </c>
      <c r="G2447" t="s">
        <v>45</v>
      </c>
      <c r="AH2447" t="s">
        <v>42</v>
      </c>
      <c r="AI2447" t="str">
        <f>"P055"</f>
        <v>P055</v>
      </c>
      <c r="AJ2447" t="str">
        <f>"P055"</f>
        <v>P055</v>
      </c>
      <c r="AK2447" t="s">
        <v>46</v>
      </c>
      <c r="AL2447" s="1">
        <v>45008.827152777776</v>
      </c>
      <c r="AM2447" t="s">
        <v>44</v>
      </c>
    </row>
    <row r="2448" spans="1:39" x14ac:dyDescent="0.2">
      <c r="A2448" t="s">
        <v>2348</v>
      </c>
      <c r="B2448" t="s">
        <v>40</v>
      </c>
      <c r="C2448" t="s">
        <v>2344</v>
      </c>
      <c r="D2448" t="s">
        <v>42</v>
      </c>
      <c r="E2448" t="s">
        <v>43</v>
      </c>
      <c r="F2448" t="s">
        <v>44</v>
      </c>
      <c r="G2448" t="s">
        <v>45</v>
      </c>
      <c r="AH2448" t="s">
        <v>42</v>
      </c>
      <c r="AI2448" t="str">
        <f>"66298888570151"</f>
        <v>66298888570151</v>
      </c>
      <c r="AJ2448" t="str">
        <f>"85124"</f>
        <v>85124</v>
      </c>
      <c r="AK2448" t="s">
        <v>46</v>
      </c>
      <c r="AL2448" s="1">
        <v>44816.556539351855</v>
      </c>
      <c r="AM2448" t="s">
        <v>44</v>
      </c>
    </row>
    <row r="2449" spans="1:39" x14ac:dyDescent="0.2">
      <c r="A2449" t="s">
        <v>2348</v>
      </c>
      <c r="B2449" t="s">
        <v>40</v>
      </c>
      <c r="C2449" t="s">
        <v>2344</v>
      </c>
      <c r="D2449" t="s">
        <v>42</v>
      </c>
      <c r="E2449" t="s">
        <v>43</v>
      </c>
      <c r="F2449" t="s">
        <v>44</v>
      </c>
      <c r="G2449" t="s">
        <v>45</v>
      </c>
      <c r="AH2449" t="s">
        <v>42</v>
      </c>
      <c r="AI2449" t="str">
        <f>"66298888576322"</f>
        <v>66298888576322</v>
      </c>
      <c r="AJ2449" t="str">
        <f>"P038"</f>
        <v>P038</v>
      </c>
      <c r="AK2449" t="s">
        <v>46</v>
      </c>
      <c r="AL2449" s="1">
        <v>44816.556539351855</v>
      </c>
      <c r="AM2449" t="s">
        <v>44</v>
      </c>
    </row>
    <row r="2450" spans="1:39" x14ac:dyDescent="0.2">
      <c r="A2450" t="s">
        <v>2349</v>
      </c>
      <c r="B2450" t="s">
        <v>40</v>
      </c>
      <c r="C2450" t="s">
        <v>2344</v>
      </c>
      <c r="D2450" t="s">
        <v>42</v>
      </c>
      <c r="E2450" t="s">
        <v>43</v>
      </c>
      <c r="F2450" t="s">
        <v>44</v>
      </c>
      <c r="G2450" t="s">
        <v>45</v>
      </c>
      <c r="AH2450" t="s">
        <v>42</v>
      </c>
      <c r="AI2450" t="str">
        <f>"66298888789411"</f>
        <v>66298888789411</v>
      </c>
      <c r="AJ2450" t="str">
        <f>"P044"</f>
        <v>P044</v>
      </c>
      <c r="AK2450" t="s">
        <v>46</v>
      </c>
      <c r="AL2450" s="1">
        <v>44816.556562500002</v>
      </c>
      <c r="AM2450" t="s">
        <v>44</v>
      </c>
    </row>
    <row r="2451" spans="1:39" x14ac:dyDescent="0.2">
      <c r="A2451" t="s">
        <v>2350</v>
      </c>
      <c r="B2451" t="s">
        <v>40</v>
      </c>
      <c r="C2451" t="s">
        <v>2344</v>
      </c>
      <c r="D2451" t="s">
        <v>42</v>
      </c>
      <c r="E2451" t="s">
        <v>43</v>
      </c>
      <c r="F2451" t="s">
        <v>44</v>
      </c>
      <c r="G2451" t="s">
        <v>45</v>
      </c>
      <c r="AH2451" t="s">
        <v>42</v>
      </c>
      <c r="AI2451" t="str">
        <f>"66298888488761"</f>
        <v>66298888488761</v>
      </c>
      <c r="AJ2451" t="str">
        <f>"P037"</f>
        <v>P037</v>
      </c>
      <c r="AK2451" t="s">
        <v>46</v>
      </c>
      <c r="AL2451" s="1">
        <v>44816.556527777779</v>
      </c>
      <c r="AM2451" t="s">
        <v>44</v>
      </c>
    </row>
    <row r="2452" spans="1:39" x14ac:dyDescent="0.2">
      <c r="A2452" t="s">
        <v>2350</v>
      </c>
      <c r="B2452" t="s">
        <v>40</v>
      </c>
      <c r="C2452" t="s">
        <v>2344</v>
      </c>
      <c r="D2452" t="s">
        <v>42</v>
      </c>
      <c r="E2452" t="s">
        <v>43</v>
      </c>
      <c r="F2452" t="s">
        <v>44</v>
      </c>
      <c r="G2452" t="s">
        <v>45</v>
      </c>
      <c r="H2452" t="s">
        <v>2037</v>
      </c>
      <c r="AH2452" t="s">
        <v>42</v>
      </c>
      <c r="AI2452" t="str">
        <f>"7838-NEGRO"</f>
        <v>7838-NEGRO</v>
      </c>
      <c r="AJ2452" t="str">
        <f>"7838-NEGRO"</f>
        <v>7838-NEGRO</v>
      </c>
      <c r="AK2452" t="s">
        <v>46</v>
      </c>
      <c r="AL2452" s="1">
        <v>45084.738611111112</v>
      </c>
      <c r="AM2452" t="s">
        <v>44</v>
      </c>
    </row>
    <row r="2453" spans="1:39" x14ac:dyDescent="0.2">
      <c r="A2453" t="s">
        <v>2351</v>
      </c>
      <c r="B2453" t="s">
        <v>40</v>
      </c>
      <c r="C2453" t="s">
        <v>2344</v>
      </c>
      <c r="D2453" t="s">
        <v>42</v>
      </c>
      <c r="E2453" t="s">
        <v>43</v>
      </c>
      <c r="F2453" t="s">
        <v>44</v>
      </c>
      <c r="G2453" t="s">
        <v>45</v>
      </c>
      <c r="AH2453" t="s">
        <v>42</v>
      </c>
      <c r="AI2453" t="str">
        <f>"66298888663811"</f>
        <v>66298888663811</v>
      </c>
      <c r="AJ2453" t="str">
        <f>"P024"</f>
        <v>P024</v>
      </c>
      <c r="AK2453" t="s">
        <v>46</v>
      </c>
      <c r="AL2453" s="1">
        <v>44816.556550925925</v>
      </c>
      <c r="AM2453" t="s">
        <v>44</v>
      </c>
    </row>
    <row r="2454" spans="1:39" x14ac:dyDescent="0.2">
      <c r="A2454" t="s">
        <v>2352</v>
      </c>
      <c r="B2454" t="s">
        <v>40</v>
      </c>
      <c r="C2454" t="s">
        <v>2344</v>
      </c>
      <c r="D2454" t="s">
        <v>42</v>
      </c>
      <c r="E2454" t="s">
        <v>43</v>
      </c>
      <c r="F2454" t="s">
        <v>44</v>
      </c>
      <c r="G2454" t="s">
        <v>45</v>
      </c>
      <c r="AH2454" t="s">
        <v>42</v>
      </c>
      <c r="AI2454" t="str">
        <f>"66298888708994"</f>
        <v>66298888708994</v>
      </c>
      <c r="AJ2454" t="str">
        <f>"P023"</f>
        <v>P023</v>
      </c>
      <c r="AK2454" t="s">
        <v>46</v>
      </c>
      <c r="AL2454" s="1">
        <v>44816.556562500002</v>
      </c>
      <c r="AM2454" t="s">
        <v>44</v>
      </c>
    </row>
    <row r="2455" spans="1:39" x14ac:dyDescent="0.2">
      <c r="A2455" t="s">
        <v>2353</v>
      </c>
      <c r="B2455" t="s">
        <v>40</v>
      </c>
      <c r="C2455" t="s">
        <v>2344</v>
      </c>
      <c r="D2455" t="s">
        <v>42</v>
      </c>
      <c r="E2455" t="s">
        <v>43</v>
      </c>
      <c r="F2455" t="s">
        <v>44</v>
      </c>
      <c r="G2455" t="s">
        <v>45</v>
      </c>
      <c r="AH2455" t="s">
        <v>42</v>
      </c>
      <c r="AI2455" t="str">
        <f>"66298888747918"</f>
        <v>66298888747918</v>
      </c>
      <c r="AJ2455" t="str">
        <f>"P045"</f>
        <v>P045</v>
      </c>
      <c r="AK2455" t="s">
        <v>46</v>
      </c>
      <c r="AL2455" s="1">
        <v>44816.556562500002</v>
      </c>
      <c r="AM2455" t="s">
        <v>44</v>
      </c>
    </row>
    <row r="2456" spans="1:39" x14ac:dyDescent="0.2">
      <c r="A2456" t="s">
        <v>2354</v>
      </c>
      <c r="B2456" t="s">
        <v>40</v>
      </c>
      <c r="C2456" t="s">
        <v>2344</v>
      </c>
      <c r="D2456" t="s">
        <v>42</v>
      </c>
      <c r="E2456" t="s">
        <v>43</v>
      </c>
      <c r="F2456" t="s">
        <v>44</v>
      </c>
      <c r="G2456" t="s">
        <v>45</v>
      </c>
      <c r="AH2456" t="s">
        <v>42</v>
      </c>
      <c r="AI2456" t="str">
        <f>"66298888833364"</f>
        <v>66298888833364</v>
      </c>
      <c r="AJ2456" t="str">
        <f>"P019"</f>
        <v>P019</v>
      </c>
      <c r="AK2456" t="s">
        <v>46</v>
      </c>
      <c r="AL2456" s="1">
        <v>44816.556574074071</v>
      </c>
      <c r="AM2456" t="s">
        <v>44</v>
      </c>
    </row>
    <row r="2457" spans="1:39" x14ac:dyDescent="0.2">
      <c r="A2457" t="s">
        <v>2355</v>
      </c>
      <c r="B2457" t="s">
        <v>40</v>
      </c>
      <c r="C2457" t="s">
        <v>2344</v>
      </c>
      <c r="D2457" t="s">
        <v>42</v>
      </c>
      <c r="E2457" t="s">
        <v>43</v>
      </c>
      <c r="F2457" t="s">
        <v>44</v>
      </c>
      <c r="G2457" t="s">
        <v>45</v>
      </c>
      <c r="AH2457" t="s">
        <v>42</v>
      </c>
      <c r="AI2457" t="str">
        <f>"P025"</f>
        <v>P025</v>
      </c>
      <c r="AJ2457" t="str">
        <f>"P025"</f>
        <v>P025</v>
      </c>
      <c r="AK2457" t="s">
        <v>46</v>
      </c>
      <c r="AL2457" s="1">
        <v>45091.929814814815</v>
      </c>
      <c r="AM2457" t="s">
        <v>44</v>
      </c>
    </row>
    <row r="2458" spans="1:39" x14ac:dyDescent="0.2">
      <c r="A2458" t="s">
        <v>2356</v>
      </c>
      <c r="B2458" t="s">
        <v>40</v>
      </c>
      <c r="C2458" t="s">
        <v>2344</v>
      </c>
      <c r="D2458" t="s">
        <v>42</v>
      </c>
      <c r="E2458" t="s">
        <v>43</v>
      </c>
      <c r="F2458" t="s">
        <v>44</v>
      </c>
      <c r="G2458" t="s">
        <v>45</v>
      </c>
      <c r="AH2458" t="s">
        <v>42</v>
      </c>
      <c r="AI2458" t="str">
        <f>"66298888872457"</f>
        <v>66298888872457</v>
      </c>
      <c r="AJ2458" t="str">
        <f>"P039"</f>
        <v>P039</v>
      </c>
      <c r="AK2458" t="s">
        <v>46</v>
      </c>
      <c r="AL2458" s="1">
        <v>44816.556574074071</v>
      </c>
      <c r="AM2458" t="s">
        <v>44</v>
      </c>
    </row>
    <row r="2459" spans="1:39" x14ac:dyDescent="0.2">
      <c r="A2459" t="s">
        <v>2357</v>
      </c>
      <c r="B2459" t="s">
        <v>40</v>
      </c>
      <c r="C2459" t="s">
        <v>2344</v>
      </c>
      <c r="D2459" t="s">
        <v>42</v>
      </c>
      <c r="E2459" t="s">
        <v>43</v>
      </c>
      <c r="F2459" t="s">
        <v>44</v>
      </c>
      <c r="G2459" t="s">
        <v>45</v>
      </c>
      <c r="AH2459" t="s">
        <v>42</v>
      </c>
      <c r="AI2459" t="str">
        <f>"66298888909051"</f>
        <v>66298888909051</v>
      </c>
      <c r="AJ2459" t="str">
        <f>"U029"</f>
        <v>U029</v>
      </c>
      <c r="AK2459" t="s">
        <v>46</v>
      </c>
      <c r="AL2459" s="1">
        <v>44816.556585648148</v>
      </c>
      <c r="AM2459" t="s">
        <v>44</v>
      </c>
    </row>
    <row r="2460" spans="1:39" x14ac:dyDescent="0.2">
      <c r="A2460" t="s">
        <v>2358</v>
      </c>
      <c r="B2460" t="s">
        <v>40</v>
      </c>
      <c r="C2460" t="s">
        <v>2344</v>
      </c>
      <c r="D2460" t="s">
        <v>42</v>
      </c>
      <c r="E2460" t="s">
        <v>43</v>
      </c>
      <c r="F2460" t="s">
        <v>44</v>
      </c>
      <c r="G2460" t="s">
        <v>45</v>
      </c>
      <c r="AH2460" t="s">
        <v>42</v>
      </c>
      <c r="AI2460" t="str">
        <f>"P022"</f>
        <v>P022</v>
      </c>
      <c r="AJ2460" t="str">
        <f>"P022"</f>
        <v>P022</v>
      </c>
      <c r="AK2460" t="s">
        <v>46</v>
      </c>
      <c r="AL2460" s="1">
        <v>44858.697175925925</v>
      </c>
      <c r="AM2460" t="s">
        <v>44</v>
      </c>
    </row>
    <row r="2461" spans="1:39" x14ac:dyDescent="0.2">
      <c r="A2461" t="s">
        <v>2359</v>
      </c>
      <c r="B2461" t="s">
        <v>40</v>
      </c>
      <c r="C2461" t="s">
        <v>2344</v>
      </c>
      <c r="D2461" t="s">
        <v>42</v>
      </c>
      <c r="E2461" t="s">
        <v>43</v>
      </c>
      <c r="F2461" t="s">
        <v>44</v>
      </c>
      <c r="G2461" t="s">
        <v>45</v>
      </c>
      <c r="H2461" t="s">
        <v>1123</v>
      </c>
      <c r="AH2461" t="s">
        <v>42</v>
      </c>
      <c r="AI2461" t="str">
        <f>"7804-ROJO"</f>
        <v>7804-ROJO</v>
      </c>
      <c r="AJ2461" t="str">
        <f>"7804-ROJO"</f>
        <v>7804-ROJO</v>
      </c>
      <c r="AK2461" t="s">
        <v>46</v>
      </c>
      <c r="AL2461" s="1">
        <v>45104.77447916667</v>
      </c>
      <c r="AM2461" t="s">
        <v>44</v>
      </c>
    </row>
    <row r="2462" spans="1:39" x14ac:dyDescent="0.2">
      <c r="A2462" t="s">
        <v>2360</v>
      </c>
      <c r="B2462" t="s">
        <v>40</v>
      </c>
      <c r="C2462" t="s">
        <v>2344</v>
      </c>
      <c r="D2462" t="s">
        <v>42</v>
      </c>
      <c r="E2462" t="s">
        <v>43</v>
      </c>
      <c r="F2462" t="s">
        <v>44</v>
      </c>
      <c r="G2462" t="s">
        <v>45</v>
      </c>
      <c r="AH2462" t="s">
        <v>42</v>
      </c>
      <c r="AI2462" t="str">
        <f>"P007"</f>
        <v>P007</v>
      </c>
      <c r="AJ2462" t="str">
        <f>"P007"</f>
        <v>P007</v>
      </c>
      <c r="AK2462" t="s">
        <v>46</v>
      </c>
      <c r="AL2462" s="1">
        <v>44858.726261574076</v>
      </c>
      <c r="AM2462" t="s">
        <v>44</v>
      </c>
    </row>
    <row r="2463" spans="1:39" x14ac:dyDescent="0.2">
      <c r="A2463" t="s">
        <v>2361</v>
      </c>
      <c r="B2463" t="s">
        <v>40</v>
      </c>
      <c r="C2463" t="s">
        <v>2344</v>
      </c>
      <c r="D2463" t="s">
        <v>42</v>
      </c>
      <c r="E2463" t="s">
        <v>43</v>
      </c>
      <c r="F2463" t="s">
        <v>44</v>
      </c>
      <c r="G2463" t="s">
        <v>45</v>
      </c>
      <c r="AH2463" t="s">
        <v>42</v>
      </c>
      <c r="AI2463" t="str">
        <f>"66298888990840"</f>
        <v>66298888990840</v>
      </c>
      <c r="AJ2463" t="str">
        <f>"P041"</f>
        <v>P041</v>
      </c>
      <c r="AK2463" t="s">
        <v>46</v>
      </c>
      <c r="AL2463" s="1">
        <v>44816.556585648148</v>
      </c>
      <c r="AM2463" t="s">
        <v>44</v>
      </c>
    </row>
    <row r="2464" spans="1:39" x14ac:dyDescent="0.2">
      <c r="A2464" t="s">
        <v>2362</v>
      </c>
      <c r="B2464" t="s">
        <v>40</v>
      </c>
      <c r="C2464" t="s">
        <v>2344</v>
      </c>
      <c r="D2464" t="s">
        <v>42</v>
      </c>
      <c r="E2464" t="s">
        <v>43</v>
      </c>
      <c r="F2464" t="s">
        <v>44</v>
      </c>
      <c r="G2464" t="s">
        <v>45</v>
      </c>
      <c r="AH2464" t="s">
        <v>42</v>
      </c>
      <c r="AI2464" t="str">
        <f>"66298888951389"</f>
        <v>66298888951389</v>
      </c>
      <c r="AJ2464" t="str">
        <f>"P042"</f>
        <v>P042</v>
      </c>
      <c r="AK2464" t="s">
        <v>46</v>
      </c>
      <c r="AL2464" s="1">
        <v>44816.556585648148</v>
      </c>
      <c r="AM2464" t="s">
        <v>44</v>
      </c>
    </row>
    <row r="2465" spans="1:39" x14ac:dyDescent="0.2">
      <c r="A2465" t="s">
        <v>2363</v>
      </c>
      <c r="B2465" t="s">
        <v>40</v>
      </c>
      <c r="C2465" t="s">
        <v>2344</v>
      </c>
      <c r="D2465" t="s">
        <v>42</v>
      </c>
      <c r="E2465" t="s">
        <v>43</v>
      </c>
      <c r="F2465" t="s">
        <v>44</v>
      </c>
      <c r="G2465" t="s">
        <v>45</v>
      </c>
      <c r="AH2465" t="s">
        <v>42</v>
      </c>
      <c r="AI2465" t="str">
        <f>"66298889028530"</f>
        <v>66298889028530</v>
      </c>
      <c r="AJ2465" t="str">
        <f>"P040"</f>
        <v>P040</v>
      </c>
      <c r="AK2465" t="s">
        <v>46</v>
      </c>
      <c r="AL2465" s="1">
        <v>44816.556597222225</v>
      </c>
      <c r="AM2465" t="s">
        <v>44</v>
      </c>
    </row>
    <row r="2466" spans="1:39" x14ac:dyDescent="0.2">
      <c r="A2466" t="s">
        <v>2363</v>
      </c>
      <c r="B2466" t="s">
        <v>40</v>
      </c>
      <c r="C2466" t="s">
        <v>2344</v>
      </c>
      <c r="D2466" t="s">
        <v>42</v>
      </c>
      <c r="E2466" t="s">
        <v>43</v>
      </c>
      <c r="F2466" t="s">
        <v>44</v>
      </c>
      <c r="G2466" t="s">
        <v>45</v>
      </c>
      <c r="AH2466" t="s">
        <v>42</v>
      </c>
      <c r="AI2466" t="str">
        <f>"P046"</f>
        <v>P046</v>
      </c>
      <c r="AJ2466" t="str">
        <f>"P046"</f>
        <v>P046</v>
      </c>
      <c r="AK2466" t="s">
        <v>46</v>
      </c>
      <c r="AL2466" s="1">
        <v>45091.931145833332</v>
      </c>
      <c r="AM2466" t="s">
        <v>44</v>
      </c>
    </row>
    <row r="2467" spans="1:39" x14ac:dyDescent="0.2">
      <c r="A2467" t="s">
        <v>2364</v>
      </c>
      <c r="B2467" t="s">
        <v>40</v>
      </c>
      <c r="C2467" t="s">
        <v>2344</v>
      </c>
      <c r="D2467" t="s">
        <v>42</v>
      </c>
      <c r="E2467" t="s">
        <v>43</v>
      </c>
      <c r="F2467" t="s">
        <v>44</v>
      </c>
      <c r="G2467" t="s">
        <v>45</v>
      </c>
      <c r="AH2467" t="s">
        <v>42</v>
      </c>
      <c r="AI2467" t="str">
        <f>"P004"</f>
        <v>P004</v>
      </c>
      <c r="AJ2467" t="str">
        <f>"P004"</f>
        <v>P004</v>
      </c>
      <c r="AK2467" t="s">
        <v>46</v>
      </c>
      <c r="AL2467" s="1">
        <v>44858.698391203703</v>
      </c>
      <c r="AM2467" t="s">
        <v>44</v>
      </c>
    </row>
    <row r="2468" spans="1:39" x14ac:dyDescent="0.2">
      <c r="A2468" t="s">
        <v>2364</v>
      </c>
      <c r="B2468" t="s">
        <v>40</v>
      </c>
      <c r="C2468" t="s">
        <v>2344</v>
      </c>
      <c r="D2468" t="s">
        <v>42</v>
      </c>
      <c r="E2468" t="s">
        <v>43</v>
      </c>
      <c r="F2468" t="s">
        <v>44</v>
      </c>
      <c r="G2468" t="s">
        <v>45</v>
      </c>
      <c r="AH2468" t="s">
        <v>42</v>
      </c>
      <c r="AI2468" t="str">
        <f>"408"</f>
        <v>408</v>
      </c>
      <c r="AJ2468" t="str">
        <f>"408"</f>
        <v>408</v>
      </c>
      <c r="AK2468" t="s">
        <v>46</v>
      </c>
      <c r="AL2468" s="1">
        <v>44930.662326388891</v>
      </c>
      <c r="AM2468" t="s">
        <v>44</v>
      </c>
    </row>
    <row r="2469" spans="1:39" x14ac:dyDescent="0.2">
      <c r="A2469" t="s">
        <v>2365</v>
      </c>
      <c r="B2469" t="s">
        <v>40</v>
      </c>
      <c r="C2469" t="s">
        <v>2344</v>
      </c>
      <c r="D2469" t="s">
        <v>42</v>
      </c>
      <c r="E2469" t="s">
        <v>43</v>
      </c>
      <c r="F2469" t="s">
        <v>44</v>
      </c>
      <c r="G2469" t="s">
        <v>45</v>
      </c>
      <c r="AH2469" t="s">
        <v>42</v>
      </c>
      <c r="AI2469" t="str">
        <f>"66298889069320"</f>
        <v>66298889069320</v>
      </c>
      <c r="AJ2469" t="str">
        <f>"P002"</f>
        <v>P002</v>
      </c>
      <c r="AK2469" t="s">
        <v>46</v>
      </c>
      <c r="AL2469" s="1">
        <v>44816.556597222225</v>
      </c>
      <c r="AM2469" t="s">
        <v>44</v>
      </c>
    </row>
    <row r="2470" spans="1:39" x14ac:dyDescent="0.2">
      <c r="A2470" t="s">
        <v>2366</v>
      </c>
      <c r="B2470" t="s">
        <v>40</v>
      </c>
      <c r="C2470" t="s">
        <v>2344</v>
      </c>
      <c r="D2470" t="s">
        <v>42</v>
      </c>
      <c r="E2470" t="s">
        <v>43</v>
      </c>
      <c r="F2470" t="s">
        <v>44</v>
      </c>
      <c r="G2470" t="s">
        <v>45</v>
      </c>
      <c r="AH2470" t="s">
        <v>42</v>
      </c>
      <c r="AI2470" t="str">
        <f>"66298889114066"</f>
        <v>66298889114066</v>
      </c>
      <c r="AJ2470" t="str">
        <f>"P085"</f>
        <v>P085</v>
      </c>
      <c r="AK2470" t="s">
        <v>46</v>
      </c>
      <c r="AL2470" s="1">
        <v>44816.556608796294</v>
      </c>
      <c r="AM2470" t="s">
        <v>44</v>
      </c>
    </row>
    <row r="2471" spans="1:39" x14ac:dyDescent="0.2">
      <c r="A2471" t="s">
        <v>2367</v>
      </c>
      <c r="B2471" t="s">
        <v>40</v>
      </c>
      <c r="C2471" t="s">
        <v>2344</v>
      </c>
      <c r="D2471" t="s">
        <v>42</v>
      </c>
      <c r="E2471" t="s">
        <v>43</v>
      </c>
      <c r="F2471" t="s">
        <v>44</v>
      </c>
      <c r="G2471" t="s">
        <v>45</v>
      </c>
      <c r="AH2471" t="s">
        <v>42</v>
      </c>
      <c r="AI2471" t="str">
        <f>"35100H2C000H000"</f>
        <v>35100H2C000H000</v>
      </c>
      <c r="AJ2471" t="str">
        <f>"35100H2C000H000"</f>
        <v>35100H2C000H000</v>
      </c>
      <c r="AK2471" t="s">
        <v>46</v>
      </c>
      <c r="AL2471" s="1">
        <v>44875.761192129627</v>
      </c>
      <c r="AM2471" t="s">
        <v>44</v>
      </c>
    </row>
    <row r="2472" spans="1:39" x14ac:dyDescent="0.2">
      <c r="A2472" t="s">
        <v>2367</v>
      </c>
      <c r="B2472" t="s">
        <v>40</v>
      </c>
      <c r="C2472" t="s">
        <v>2344</v>
      </c>
      <c r="D2472" t="s">
        <v>42</v>
      </c>
      <c r="E2472" t="s">
        <v>43</v>
      </c>
      <c r="F2472" t="s">
        <v>44</v>
      </c>
      <c r="G2472" t="s">
        <v>45</v>
      </c>
      <c r="H2472" t="s">
        <v>2037</v>
      </c>
      <c r="AH2472" t="s">
        <v>42</v>
      </c>
      <c r="AI2472" t="str">
        <f>"P081-NEGRO"</f>
        <v>P081-NEGRO</v>
      </c>
      <c r="AJ2472" t="str">
        <f>"P081-NEGRO"</f>
        <v>P081-NEGRO</v>
      </c>
      <c r="AK2472" t="s">
        <v>46</v>
      </c>
      <c r="AL2472" s="1">
        <v>44946.813368055555</v>
      </c>
      <c r="AM2472" t="s">
        <v>44</v>
      </c>
    </row>
    <row r="2473" spans="1:39" x14ac:dyDescent="0.2">
      <c r="A2473" t="s">
        <v>2368</v>
      </c>
      <c r="B2473" t="s">
        <v>40</v>
      </c>
      <c r="C2473" t="s">
        <v>2344</v>
      </c>
      <c r="D2473" t="s">
        <v>42</v>
      </c>
      <c r="E2473" t="s">
        <v>43</v>
      </c>
      <c r="F2473" t="s">
        <v>44</v>
      </c>
      <c r="G2473" t="s">
        <v>45</v>
      </c>
      <c r="AH2473" t="s">
        <v>42</v>
      </c>
      <c r="AI2473" t="str">
        <f>"66298889154040"</f>
        <v>66298889154040</v>
      </c>
      <c r="AJ2473" t="str">
        <f>"E002-2"</f>
        <v>E002-2</v>
      </c>
      <c r="AK2473" t="s">
        <v>46</v>
      </c>
      <c r="AL2473" s="1">
        <v>44816.556608796294</v>
      </c>
      <c r="AM2473" t="s">
        <v>44</v>
      </c>
    </row>
    <row r="2474" spans="1:39" x14ac:dyDescent="0.2">
      <c r="A2474" t="s">
        <v>2369</v>
      </c>
      <c r="B2474" t="s">
        <v>40</v>
      </c>
      <c r="C2474" t="s">
        <v>2344</v>
      </c>
      <c r="D2474" t="s">
        <v>42</v>
      </c>
      <c r="E2474" t="s">
        <v>43</v>
      </c>
      <c r="F2474" t="s">
        <v>44</v>
      </c>
      <c r="G2474" t="s">
        <v>45</v>
      </c>
      <c r="H2474" t="s">
        <v>2370</v>
      </c>
      <c r="AH2474" t="s">
        <v>42</v>
      </c>
      <c r="AI2474" t="str">
        <f>"P092-BLANCO"</f>
        <v>P092-BLANCO</v>
      </c>
      <c r="AJ2474" t="str">
        <f>"P092-BLANCO"</f>
        <v>P092-BLANCO</v>
      </c>
      <c r="AK2474" t="s">
        <v>46</v>
      </c>
      <c r="AL2474" s="1">
        <v>44999.744432870371</v>
      </c>
      <c r="AM2474" t="s">
        <v>44</v>
      </c>
    </row>
    <row r="2475" spans="1:39" x14ac:dyDescent="0.2">
      <c r="A2475" t="s">
        <v>2371</v>
      </c>
      <c r="B2475" t="s">
        <v>40</v>
      </c>
      <c r="C2475" t="s">
        <v>2344</v>
      </c>
      <c r="D2475" t="s">
        <v>42</v>
      </c>
      <c r="E2475" t="s">
        <v>43</v>
      </c>
      <c r="F2475" t="s">
        <v>44</v>
      </c>
      <c r="G2475" t="s">
        <v>45</v>
      </c>
      <c r="AH2475" t="s">
        <v>42</v>
      </c>
      <c r="AI2475" t="str">
        <f>"66298889196220"</f>
        <v>66298889196220</v>
      </c>
      <c r="AJ2475" t="str">
        <f>"35100H40100H000"</f>
        <v>35100H40100H000</v>
      </c>
      <c r="AK2475" t="s">
        <v>46</v>
      </c>
      <c r="AL2475" s="1">
        <v>44816.556608796294</v>
      </c>
      <c r="AM2475" t="s">
        <v>44</v>
      </c>
    </row>
    <row r="2476" spans="1:39" x14ac:dyDescent="0.2">
      <c r="A2476" t="s">
        <v>2372</v>
      </c>
      <c r="B2476" t="s">
        <v>40</v>
      </c>
      <c r="C2476" t="s">
        <v>2344</v>
      </c>
      <c r="D2476" t="s">
        <v>42</v>
      </c>
      <c r="E2476" t="s">
        <v>43</v>
      </c>
      <c r="F2476" t="s">
        <v>44</v>
      </c>
      <c r="G2476" t="s">
        <v>45</v>
      </c>
      <c r="AH2476" t="s">
        <v>42</v>
      </c>
      <c r="AI2476" t="str">
        <f>"P003"</f>
        <v>P003</v>
      </c>
      <c r="AJ2476" t="str">
        <f>"P003"</f>
        <v>P003</v>
      </c>
      <c r="AK2476" t="s">
        <v>46</v>
      </c>
      <c r="AL2476" s="1">
        <v>45008.845266203702</v>
      </c>
      <c r="AM2476" t="s">
        <v>44</v>
      </c>
    </row>
    <row r="2477" spans="1:39" x14ac:dyDescent="0.2">
      <c r="A2477" t="s">
        <v>2373</v>
      </c>
      <c r="B2477" t="s">
        <v>40</v>
      </c>
      <c r="C2477" t="s">
        <v>2344</v>
      </c>
      <c r="D2477" t="s">
        <v>42</v>
      </c>
      <c r="E2477" t="s">
        <v>43</v>
      </c>
      <c r="F2477" t="s">
        <v>44</v>
      </c>
      <c r="G2477" t="s">
        <v>45</v>
      </c>
      <c r="AH2477" t="s">
        <v>42</v>
      </c>
      <c r="AI2477" t="str">
        <f>"66298889236102"</f>
        <v>66298889236102</v>
      </c>
      <c r="AJ2477" t="str">
        <f>"P074"</f>
        <v>P074</v>
      </c>
      <c r="AK2477" t="s">
        <v>46</v>
      </c>
      <c r="AL2477" s="1">
        <v>44816.556620370371</v>
      </c>
      <c r="AM2477" t="s">
        <v>44</v>
      </c>
    </row>
    <row r="2478" spans="1:39" x14ac:dyDescent="0.2">
      <c r="A2478" t="s">
        <v>2374</v>
      </c>
      <c r="B2478" t="s">
        <v>40</v>
      </c>
      <c r="C2478" t="s">
        <v>2344</v>
      </c>
      <c r="D2478" t="s">
        <v>42</v>
      </c>
      <c r="E2478" t="s">
        <v>43</v>
      </c>
      <c r="F2478" t="s">
        <v>44</v>
      </c>
      <c r="G2478" t="s">
        <v>45</v>
      </c>
      <c r="AH2478" t="s">
        <v>42</v>
      </c>
      <c r="AI2478" t="str">
        <f>"P047"</f>
        <v>P047</v>
      </c>
      <c r="AJ2478" t="str">
        <f>"P047"</f>
        <v>P047</v>
      </c>
      <c r="AK2478" t="s">
        <v>46</v>
      </c>
      <c r="AL2478" s="1">
        <v>44946.867881944447</v>
      </c>
      <c r="AM2478" t="s">
        <v>44</v>
      </c>
    </row>
    <row r="2479" spans="1:39" x14ac:dyDescent="0.2">
      <c r="A2479" t="s">
        <v>2375</v>
      </c>
      <c r="B2479" t="s">
        <v>40</v>
      </c>
      <c r="C2479" t="s">
        <v>2344</v>
      </c>
      <c r="D2479" t="s">
        <v>42</v>
      </c>
      <c r="E2479" t="s">
        <v>43</v>
      </c>
      <c r="F2479" t="s">
        <v>44</v>
      </c>
      <c r="G2479" t="s">
        <v>45</v>
      </c>
      <c r="AH2479" t="s">
        <v>42</v>
      </c>
      <c r="AI2479" t="str">
        <f>"33100-051-690"</f>
        <v>33100-051-690</v>
      </c>
      <c r="AJ2479" t="str">
        <f>"33100-051-690"</f>
        <v>33100-051-690</v>
      </c>
      <c r="AK2479" t="s">
        <v>46</v>
      </c>
      <c r="AL2479" s="1">
        <v>44862.602303240739</v>
      </c>
      <c r="AM2479" t="s">
        <v>44</v>
      </c>
    </row>
    <row r="2480" spans="1:39" x14ac:dyDescent="0.2">
      <c r="A2480" t="s">
        <v>2376</v>
      </c>
      <c r="B2480" t="s">
        <v>40</v>
      </c>
      <c r="C2480" t="s">
        <v>2344</v>
      </c>
      <c r="D2480" t="s">
        <v>42</v>
      </c>
      <c r="E2480" t="s">
        <v>43</v>
      </c>
      <c r="F2480" t="s">
        <v>44</v>
      </c>
      <c r="G2480" t="s">
        <v>45</v>
      </c>
      <c r="AH2480" t="s">
        <v>42</v>
      </c>
      <c r="AI2480" t="str">
        <f>"66298889280939"</f>
        <v>66298889280939</v>
      </c>
      <c r="AJ2480" t="str">
        <f>"P049"</f>
        <v>P049</v>
      </c>
      <c r="AK2480" t="s">
        <v>46</v>
      </c>
      <c r="AL2480" s="1">
        <v>44816.556620370371</v>
      </c>
      <c r="AM2480" t="s">
        <v>44</v>
      </c>
    </row>
    <row r="2481" spans="1:39" x14ac:dyDescent="0.2">
      <c r="A2481" t="s">
        <v>2377</v>
      </c>
      <c r="B2481" t="s">
        <v>40</v>
      </c>
      <c r="C2481" t="s">
        <v>2344</v>
      </c>
      <c r="D2481" t="s">
        <v>42</v>
      </c>
      <c r="E2481" t="s">
        <v>43</v>
      </c>
      <c r="F2481" t="s">
        <v>44</v>
      </c>
      <c r="G2481" t="s">
        <v>45</v>
      </c>
      <c r="AH2481" t="s">
        <v>42</v>
      </c>
      <c r="AI2481" t="str">
        <f>"P001"</f>
        <v>P001</v>
      </c>
      <c r="AJ2481" t="str">
        <f>"P001"</f>
        <v>P001</v>
      </c>
      <c r="AK2481" t="s">
        <v>46</v>
      </c>
      <c r="AL2481" s="1">
        <v>44858.699918981481</v>
      </c>
      <c r="AM2481" t="s">
        <v>44</v>
      </c>
    </row>
    <row r="2482" spans="1:39" x14ac:dyDescent="0.2">
      <c r="A2482" t="s">
        <v>2378</v>
      </c>
      <c r="B2482" t="s">
        <v>40</v>
      </c>
      <c r="C2482" t="s">
        <v>2344</v>
      </c>
      <c r="D2482" t="s">
        <v>42</v>
      </c>
      <c r="E2482" t="s">
        <v>43</v>
      </c>
      <c r="F2482" t="s">
        <v>44</v>
      </c>
      <c r="G2482" t="s">
        <v>45</v>
      </c>
      <c r="AH2482" t="s">
        <v>42</v>
      </c>
      <c r="AI2482" t="str">
        <f>"FOCO-CR-UNIV"</f>
        <v>FOCO-CR-UNIV</v>
      </c>
      <c r="AJ2482" t="str">
        <f>"FOCO-CR-UNIV"</f>
        <v>FOCO-CR-UNIV</v>
      </c>
      <c r="AK2482" t="s">
        <v>46</v>
      </c>
      <c r="AL2482" s="1">
        <v>45000.816250000003</v>
      </c>
      <c r="AM2482" t="s">
        <v>44</v>
      </c>
    </row>
    <row r="2483" spans="1:39" x14ac:dyDescent="0.2">
      <c r="A2483" t="s">
        <v>2379</v>
      </c>
      <c r="B2483" t="s">
        <v>40</v>
      </c>
      <c r="C2483" t="s">
        <v>2344</v>
      </c>
      <c r="D2483" t="s">
        <v>42</v>
      </c>
      <c r="E2483" t="s">
        <v>43</v>
      </c>
      <c r="F2483" t="s">
        <v>44</v>
      </c>
      <c r="G2483" t="s">
        <v>45</v>
      </c>
      <c r="AH2483" t="s">
        <v>42</v>
      </c>
      <c r="AI2483" t="str">
        <f>"66298889320865"</f>
        <v>66298889320865</v>
      </c>
      <c r="AJ2483" t="str">
        <f>"33100-KSH-920"</f>
        <v>33100-KSH-920</v>
      </c>
      <c r="AK2483" t="s">
        <v>46</v>
      </c>
      <c r="AL2483" s="1">
        <v>44816.556631944448</v>
      </c>
      <c r="AM2483" t="s">
        <v>44</v>
      </c>
    </row>
    <row r="2484" spans="1:39" x14ac:dyDescent="0.2">
      <c r="A2484" t="s">
        <v>2379</v>
      </c>
      <c r="B2484" t="s">
        <v>40</v>
      </c>
      <c r="C2484" t="s">
        <v>2344</v>
      </c>
      <c r="D2484" t="s">
        <v>42</v>
      </c>
      <c r="E2484" t="s">
        <v>43</v>
      </c>
      <c r="F2484" t="s">
        <v>44</v>
      </c>
      <c r="G2484" t="s">
        <v>45</v>
      </c>
      <c r="AH2484" t="s">
        <v>42</v>
      </c>
      <c r="AI2484" t="str">
        <f>"410"</f>
        <v>410</v>
      </c>
      <c r="AJ2484" t="str">
        <f>"410"</f>
        <v>410</v>
      </c>
      <c r="AK2484" t="s">
        <v>46</v>
      </c>
      <c r="AL2484" s="1">
        <v>45040.920405092591</v>
      </c>
      <c r="AM2484" t="s">
        <v>44</v>
      </c>
    </row>
    <row r="2485" spans="1:39" x14ac:dyDescent="0.2">
      <c r="A2485" t="s">
        <v>2380</v>
      </c>
      <c r="B2485" t="s">
        <v>40</v>
      </c>
      <c r="C2485" t="s">
        <v>2344</v>
      </c>
      <c r="D2485" t="s">
        <v>42</v>
      </c>
      <c r="E2485" t="s">
        <v>43</v>
      </c>
      <c r="F2485" t="s">
        <v>44</v>
      </c>
      <c r="G2485" t="s">
        <v>45</v>
      </c>
      <c r="AH2485" t="s">
        <v>42</v>
      </c>
      <c r="AI2485" t="str">
        <f>"66298889357891"</f>
        <v>66298889357891</v>
      </c>
      <c r="AJ2485" t="str">
        <f>"P021"</f>
        <v>P021</v>
      </c>
      <c r="AK2485" t="s">
        <v>46</v>
      </c>
      <c r="AL2485" s="1">
        <v>44816.556631944448</v>
      </c>
      <c r="AM2485" t="s">
        <v>44</v>
      </c>
    </row>
    <row r="2486" spans="1:39" x14ac:dyDescent="0.2">
      <c r="A2486" t="s">
        <v>2381</v>
      </c>
      <c r="B2486" t="s">
        <v>40</v>
      </c>
      <c r="C2486" t="s">
        <v>2344</v>
      </c>
      <c r="D2486" t="s">
        <v>42</v>
      </c>
      <c r="E2486" t="s">
        <v>43</v>
      </c>
      <c r="F2486" t="s">
        <v>44</v>
      </c>
      <c r="G2486" t="s">
        <v>45</v>
      </c>
      <c r="AH2486" t="s">
        <v>42</v>
      </c>
      <c r="AI2486" t="str">
        <f>"66298889396066"</f>
        <v>66298889396066</v>
      </c>
      <c r="AJ2486" t="str">
        <f>"P020"</f>
        <v>P020</v>
      </c>
      <c r="AK2486" t="s">
        <v>46</v>
      </c>
      <c r="AL2486" s="1">
        <v>44816.556631944448</v>
      </c>
      <c r="AM2486" t="s">
        <v>44</v>
      </c>
    </row>
    <row r="2487" spans="1:39" x14ac:dyDescent="0.2">
      <c r="A2487" t="s">
        <v>2382</v>
      </c>
      <c r="B2487" t="s">
        <v>40</v>
      </c>
      <c r="C2487" t="s">
        <v>2344</v>
      </c>
      <c r="D2487" t="s">
        <v>42</v>
      </c>
      <c r="E2487" t="s">
        <v>43</v>
      </c>
      <c r="F2487" t="s">
        <v>44</v>
      </c>
      <c r="G2487" t="s">
        <v>45</v>
      </c>
      <c r="AH2487" t="s">
        <v>42</v>
      </c>
      <c r="AI2487" t="str">
        <f>"12577"</f>
        <v>12577</v>
      </c>
      <c r="AJ2487" t="str">
        <f>"12577"</f>
        <v>12577</v>
      </c>
      <c r="AK2487" t="s">
        <v>46</v>
      </c>
      <c r="AL2487" s="1">
        <v>45026.83693287037</v>
      </c>
      <c r="AM2487" t="s">
        <v>44</v>
      </c>
    </row>
    <row r="2488" spans="1:39" x14ac:dyDescent="0.2">
      <c r="A2488" t="s">
        <v>2383</v>
      </c>
      <c r="B2488" t="s">
        <v>40</v>
      </c>
      <c r="C2488" t="s">
        <v>2344</v>
      </c>
      <c r="D2488" t="s">
        <v>42</v>
      </c>
      <c r="E2488" t="s">
        <v>43</v>
      </c>
      <c r="F2488" t="s">
        <v>44</v>
      </c>
      <c r="G2488" t="s">
        <v>45</v>
      </c>
      <c r="AH2488" t="s">
        <v>42</v>
      </c>
      <c r="AI2488" t="str">
        <f>"66298889445392"</f>
        <v>66298889445392</v>
      </c>
      <c r="AJ2488" t="str">
        <f>"P058"</f>
        <v>P058</v>
      </c>
      <c r="AK2488" t="s">
        <v>46</v>
      </c>
      <c r="AL2488" s="1">
        <v>44816.556643518517</v>
      </c>
      <c r="AM2488" t="s">
        <v>44</v>
      </c>
    </row>
    <row r="2489" spans="1:39" x14ac:dyDescent="0.2">
      <c r="A2489" t="s">
        <v>2384</v>
      </c>
      <c r="B2489" t="s">
        <v>40</v>
      </c>
      <c r="C2489" t="s">
        <v>2344</v>
      </c>
      <c r="D2489" t="s">
        <v>42</v>
      </c>
      <c r="E2489" t="s">
        <v>43</v>
      </c>
      <c r="F2489" t="s">
        <v>44</v>
      </c>
      <c r="G2489" t="s">
        <v>45</v>
      </c>
      <c r="H2489" t="s">
        <v>1114</v>
      </c>
      <c r="AH2489" t="s">
        <v>42</v>
      </c>
      <c r="AI2489" t="str">
        <f>"11489-AZUL"</f>
        <v>11489-AZUL</v>
      </c>
      <c r="AJ2489" t="str">
        <f>"11489-AZUL"</f>
        <v>11489-AZUL</v>
      </c>
      <c r="AK2489" t="s">
        <v>46</v>
      </c>
      <c r="AL2489" s="1">
        <v>45001.634710648148</v>
      </c>
      <c r="AM2489" t="s">
        <v>44</v>
      </c>
    </row>
    <row r="2490" spans="1:39" x14ac:dyDescent="0.2">
      <c r="A2490" t="s">
        <v>2385</v>
      </c>
      <c r="B2490" t="s">
        <v>40</v>
      </c>
      <c r="C2490" t="s">
        <v>2344</v>
      </c>
      <c r="D2490" t="s">
        <v>42</v>
      </c>
      <c r="E2490" t="s">
        <v>43</v>
      </c>
      <c r="F2490" t="s">
        <v>44</v>
      </c>
      <c r="G2490" t="s">
        <v>45</v>
      </c>
      <c r="AH2490" t="s">
        <v>42</v>
      </c>
      <c r="AI2490" t="str">
        <f>"12085"</f>
        <v>12085</v>
      </c>
      <c r="AJ2490" t="str">
        <f>"12085"</f>
        <v>12085</v>
      </c>
      <c r="AK2490" t="s">
        <v>46</v>
      </c>
      <c r="AL2490" s="1">
        <v>45104.601238425923</v>
      </c>
      <c r="AM2490" t="s">
        <v>44</v>
      </c>
    </row>
    <row r="2491" spans="1:39" x14ac:dyDescent="0.2">
      <c r="A2491" t="s">
        <v>2386</v>
      </c>
      <c r="B2491" t="s">
        <v>40</v>
      </c>
      <c r="C2491" t="s">
        <v>2344</v>
      </c>
      <c r="D2491" t="s">
        <v>42</v>
      </c>
      <c r="E2491" t="s">
        <v>43</v>
      </c>
      <c r="F2491" t="s">
        <v>44</v>
      </c>
      <c r="G2491" t="s">
        <v>45</v>
      </c>
      <c r="AH2491" t="s">
        <v>42</v>
      </c>
      <c r="AI2491" t="str">
        <f>"66298889492265"</f>
        <v>66298889492265</v>
      </c>
      <c r="AJ2491" t="str">
        <f>"400063"</f>
        <v>400063</v>
      </c>
      <c r="AK2491" t="s">
        <v>46</v>
      </c>
      <c r="AL2491" s="1">
        <v>44816.556643518517</v>
      </c>
      <c r="AM2491" t="s">
        <v>44</v>
      </c>
    </row>
    <row r="2492" spans="1:39" x14ac:dyDescent="0.2">
      <c r="A2492" t="s">
        <v>2387</v>
      </c>
      <c r="B2492" t="s">
        <v>40</v>
      </c>
      <c r="C2492" t="s">
        <v>2388</v>
      </c>
      <c r="D2492" t="s">
        <v>42</v>
      </c>
      <c r="E2492" t="s">
        <v>43</v>
      </c>
      <c r="F2492" t="s">
        <v>44</v>
      </c>
      <c r="G2492" t="s">
        <v>45</v>
      </c>
      <c r="AH2492" t="s">
        <v>42</v>
      </c>
      <c r="AI2492" t="str">
        <f>"66298889531005"</f>
        <v>66298889531005</v>
      </c>
      <c r="AJ2492" t="str">
        <f>"RF018-DEL/DER"</f>
        <v>RF018-DEL/DER</v>
      </c>
      <c r="AK2492" t="s">
        <v>46</v>
      </c>
      <c r="AL2492" s="1">
        <v>44816.556655092594</v>
      </c>
      <c r="AM2492" t="s">
        <v>44</v>
      </c>
    </row>
    <row r="2493" spans="1:39" x14ac:dyDescent="0.2">
      <c r="A2493" t="s">
        <v>2389</v>
      </c>
      <c r="B2493" t="s">
        <v>40</v>
      </c>
      <c r="C2493" t="s">
        <v>2388</v>
      </c>
      <c r="D2493" t="s">
        <v>42</v>
      </c>
      <c r="E2493" t="s">
        <v>43</v>
      </c>
      <c r="F2493" t="s">
        <v>44</v>
      </c>
      <c r="G2493" t="s">
        <v>45</v>
      </c>
      <c r="AH2493" t="s">
        <v>42</v>
      </c>
      <c r="AI2493" t="str">
        <f>"66298889568682"</f>
        <v>66298889568682</v>
      </c>
      <c r="AJ2493" t="str">
        <f>"RF018-DEL/IZQ"</f>
        <v>RF018-DEL/IZQ</v>
      </c>
      <c r="AK2493" t="s">
        <v>46</v>
      </c>
      <c r="AL2493" s="1">
        <v>44816.556655092594</v>
      </c>
      <c r="AM2493" t="s">
        <v>44</v>
      </c>
    </row>
    <row r="2494" spans="1:39" x14ac:dyDescent="0.2">
      <c r="A2494" t="s">
        <v>2390</v>
      </c>
      <c r="B2494" t="s">
        <v>40</v>
      </c>
      <c r="C2494" t="s">
        <v>2388</v>
      </c>
      <c r="D2494" t="s">
        <v>42</v>
      </c>
      <c r="E2494" t="s">
        <v>43</v>
      </c>
      <c r="F2494" t="s">
        <v>44</v>
      </c>
      <c r="G2494" t="s">
        <v>45</v>
      </c>
      <c r="AH2494" t="s">
        <v>42</v>
      </c>
      <c r="AI2494" t="str">
        <f>"RF016-DER"</f>
        <v>RF016-DER</v>
      </c>
      <c r="AJ2494" t="str">
        <f>"RF016-DER"</f>
        <v>RF016-DER</v>
      </c>
      <c r="AK2494" t="s">
        <v>46</v>
      </c>
      <c r="AL2494" s="1">
        <v>44858.785983796297</v>
      </c>
      <c r="AM2494" t="s">
        <v>44</v>
      </c>
    </row>
    <row r="2495" spans="1:39" x14ac:dyDescent="0.2">
      <c r="A2495" t="s">
        <v>2390</v>
      </c>
      <c r="B2495" t="s">
        <v>40</v>
      </c>
      <c r="C2495" t="s">
        <v>2388</v>
      </c>
      <c r="D2495" t="s">
        <v>42</v>
      </c>
      <c r="E2495" t="s">
        <v>43</v>
      </c>
      <c r="F2495" t="s">
        <v>44</v>
      </c>
      <c r="G2495" t="s">
        <v>45</v>
      </c>
      <c r="AH2495" t="s">
        <v>42</v>
      </c>
      <c r="AI2495" t="str">
        <f>"RF016-IZQ"</f>
        <v>RF016-IZQ</v>
      </c>
      <c r="AJ2495" t="str">
        <f>"RF016-IZQ"</f>
        <v>RF016-IZQ</v>
      </c>
      <c r="AK2495" t="s">
        <v>46</v>
      </c>
      <c r="AL2495" s="1">
        <v>44860.790949074071</v>
      </c>
      <c r="AM2495" t="s">
        <v>44</v>
      </c>
    </row>
    <row r="2496" spans="1:39" x14ac:dyDescent="0.2">
      <c r="A2496" t="s">
        <v>2391</v>
      </c>
      <c r="B2496" t="s">
        <v>40</v>
      </c>
      <c r="C2496" t="s">
        <v>2388</v>
      </c>
      <c r="D2496" t="s">
        <v>42</v>
      </c>
      <c r="E2496" t="s">
        <v>43</v>
      </c>
      <c r="F2496" t="s">
        <v>44</v>
      </c>
      <c r="G2496" t="s">
        <v>45</v>
      </c>
      <c r="H2496" t="s">
        <v>2392</v>
      </c>
      <c r="AH2496" t="s">
        <v>42</v>
      </c>
      <c r="AI2496" t="str">
        <f>"RF017-DEL/DER-TRA/IZQ"</f>
        <v>RF017-DEL/DER-TRA/IZQ</v>
      </c>
      <c r="AJ2496" t="str">
        <f>"RF017-DEL/DER-TRA/IZQ"</f>
        <v>RF017-DEL/DER-TRA/IZQ</v>
      </c>
      <c r="AK2496" t="s">
        <v>46</v>
      </c>
      <c r="AL2496" s="1">
        <v>44816.55673611111</v>
      </c>
      <c r="AM2496" t="s">
        <v>44</v>
      </c>
    </row>
    <row r="2497" spans="1:39" x14ac:dyDescent="0.2">
      <c r="A2497" t="s">
        <v>2391</v>
      </c>
      <c r="B2497" t="s">
        <v>40</v>
      </c>
      <c r="C2497" t="s">
        <v>2388</v>
      </c>
      <c r="D2497" t="s">
        <v>42</v>
      </c>
      <c r="E2497" t="s">
        <v>43</v>
      </c>
      <c r="F2497" t="s">
        <v>44</v>
      </c>
      <c r="G2497" t="s">
        <v>45</v>
      </c>
      <c r="H2497" t="s">
        <v>2393</v>
      </c>
      <c r="AH2497" t="s">
        <v>42</v>
      </c>
      <c r="AI2497" t="str">
        <f>"RF017-DEL/IZQ-TRA/DER"</f>
        <v>RF017-DEL/IZQ-TRA/DER</v>
      </c>
      <c r="AJ2497" t="str">
        <f>"RF017-DEL/IZQ-TRA/DER"</f>
        <v>RF017-DEL/IZQ-TRA/DER</v>
      </c>
      <c r="AK2497" t="s">
        <v>46</v>
      </c>
      <c r="AL2497" s="1">
        <v>44816.55673611111</v>
      </c>
      <c r="AM2497" t="s">
        <v>44</v>
      </c>
    </row>
    <row r="2498" spans="1:39" x14ac:dyDescent="0.2">
      <c r="A2498" t="s">
        <v>2394</v>
      </c>
      <c r="B2498" t="s">
        <v>40</v>
      </c>
      <c r="C2498" t="s">
        <v>2388</v>
      </c>
      <c r="D2498" t="s">
        <v>42</v>
      </c>
      <c r="E2498" t="s">
        <v>43</v>
      </c>
      <c r="F2498" t="s">
        <v>44</v>
      </c>
      <c r="G2498" t="s">
        <v>45</v>
      </c>
      <c r="AH2498" t="s">
        <v>42</v>
      </c>
      <c r="AI2498" t="str">
        <f>"66298889612050"</f>
        <v>66298889612050</v>
      </c>
      <c r="AJ2498" t="str">
        <f>"RF025-DER"</f>
        <v>RF025-DER</v>
      </c>
      <c r="AK2498" t="s">
        <v>46</v>
      </c>
      <c r="AL2498" s="1">
        <v>44816.556666666664</v>
      </c>
      <c r="AM2498" t="s">
        <v>44</v>
      </c>
    </row>
    <row r="2499" spans="1:39" x14ac:dyDescent="0.2">
      <c r="A2499" t="s">
        <v>2395</v>
      </c>
      <c r="B2499" t="s">
        <v>40</v>
      </c>
      <c r="C2499" t="s">
        <v>2388</v>
      </c>
      <c r="D2499" t="s">
        <v>42</v>
      </c>
      <c r="E2499" t="s">
        <v>43</v>
      </c>
      <c r="F2499" t="s">
        <v>44</v>
      </c>
      <c r="G2499" t="s">
        <v>45</v>
      </c>
      <c r="AH2499" t="s">
        <v>42</v>
      </c>
      <c r="AI2499" t="str">
        <f>"66298889651272"</f>
        <v>66298889651272</v>
      </c>
      <c r="AJ2499" t="str">
        <f>"RF025-IZQ"</f>
        <v>RF025-IZQ</v>
      </c>
      <c r="AK2499" t="s">
        <v>46</v>
      </c>
      <c r="AL2499" s="1">
        <v>44816.556666666664</v>
      </c>
      <c r="AM2499" t="s">
        <v>44</v>
      </c>
    </row>
    <row r="2500" spans="1:39" x14ac:dyDescent="0.2">
      <c r="A2500" t="s">
        <v>2396</v>
      </c>
      <c r="B2500" t="s">
        <v>40</v>
      </c>
      <c r="C2500" t="s">
        <v>2388</v>
      </c>
      <c r="D2500" t="s">
        <v>42</v>
      </c>
      <c r="E2500" t="s">
        <v>43</v>
      </c>
      <c r="F2500" t="s">
        <v>44</v>
      </c>
      <c r="G2500" t="s">
        <v>45</v>
      </c>
      <c r="AH2500" t="s">
        <v>42</v>
      </c>
      <c r="AI2500" t="str">
        <f>"66298889689484"</f>
        <v>66298889689484</v>
      </c>
      <c r="AJ2500" t="str">
        <f>"80768"</f>
        <v>80768</v>
      </c>
      <c r="AK2500" t="s">
        <v>46</v>
      </c>
      <c r="AL2500" s="1">
        <v>44816.556666666664</v>
      </c>
      <c r="AM2500" t="s">
        <v>44</v>
      </c>
    </row>
    <row r="2501" spans="1:39" x14ac:dyDescent="0.2">
      <c r="A2501" t="s">
        <v>2397</v>
      </c>
      <c r="B2501" t="s">
        <v>40</v>
      </c>
      <c r="C2501" t="s">
        <v>2388</v>
      </c>
      <c r="D2501" t="s">
        <v>42</v>
      </c>
      <c r="E2501" t="s">
        <v>43</v>
      </c>
      <c r="F2501" t="s">
        <v>44</v>
      </c>
      <c r="G2501" t="s">
        <v>45</v>
      </c>
      <c r="AH2501" t="s">
        <v>42</v>
      </c>
      <c r="AI2501" t="str">
        <f>"66298889727316"</f>
        <v>66298889727316</v>
      </c>
      <c r="AJ2501" t="str">
        <f>"RF026-DEL/IZQ"</f>
        <v>RF026-DEL/IZQ</v>
      </c>
      <c r="AK2501" t="s">
        <v>46</v>
      </c>
      <c r="AL2501" s="1">
        <v>44816.55667824074</v>
      </c>
      <c r="AM2501" t="s">
        <v>44</v>
      </c>
    </row>
    <row r="2502" spans="1:39" x14ac:dyDescent="0.2">
      <c r="A2502" t="s">
        <v>2398</v>
      </c>
      <c r="B2502" t="s">
        <v>40</v>
      </c>
      <c r="C2502" t="s">
        <v>2388</v>
      </c>
      <c r="D2502" t="s">
        <v>42</v>
      </c>
      <c r="E2502" t="s">
        <v>43</v>
      </c>
      <c r="F2502" t="s">
        <v>44</v>
      </c>
      <c r="G2502" t="s">
        <v>45</v>
      </c>
      <c r="AH2502" t="s">
        <v>42</v>
      </c>
      <c r="AI2502" t="str">
        <f>"66298889770911"</f>
        <v>66298889770911</v>
      </c>
      <c r="AJ2502" t="str">
        <f>"RF021-DEL/IZQ"</f>
        <v>RF021-DEL/IZQ</v>
      </c>
      <c r="AK2502" t="s">
        <v>46</v>
      </c>
      <c r="AL2502" s="1">
        <v>44816.55667824074</v>
      </c>
      <c r="AM2502" t="s">
        <v>44</v>
      </c>
    </row>
    <row r="2503" spans="1:39" x14ac:dyDescent="0.2">
      <c r="A2503" t="s">
        <v>2399</v>
      </c>
      <c r="B2503" t="s">
        <v>40</v>
      </c>
      <c r="C2503" t="s">
        <v>2388</v>
      </c>
      <c r="D2503" t="s">
        <v>42</v>
      </c>
      <c r="E2503" t="s">
        <v>43</v>
      </c>
      <c r="F2503" t="s">
        <v>44</v>
      </c>
      <c r="G2503" t="s">
        <v>45</v>
      </c>
      <c r="AH2503" t="s">
        <v>42</v>
      </c>
      <c r="AI2503" t="str">
        <f>"66298889811354"</f>
        <v>66298889811354</v>
      </c>
      <c r="AJ2503" t="str">
        <f>"RF002"</f>
        <v>RF002</v>
      </c>
      <c r="AK2503" t="s">
        <v>46</v>
      </c>
      <c r="AL2503" s="1">
        <v>44816.556689814817</v>
      </c>
      <c r="AM2503" t="s">
        <v>44</v>
      </c>
    </row>
    <row r="2504" spans="1:39" x14ac:dyDescent="0.2">
      <c r="A2504" t="s">
        <v>2400</v>
      </c>
      <c r="B2504" t="s">
        <v>40</v>
      </c>
      <c r="C2504" t="s">
        <v>2388</v>
      </c>
      <c r="D2504" t="s">
        <v>42</v>
      </c>
      <c r="E2504" t="s">
        <v>43</v>
      </c>
      <c r="F2504" t="s">
        <v>44</v>
      </c>
      <c r="G2504" t="s">
        <v>45</v>
      </c>
      <c r="AH2504" t="s">
        <v>42</v>
      </c>
      <c r="AI2504" t="str">
        <f>"66298889850346"</f>
        <v>66298889850346</v>
      </c>
      <c r="AJ2504" t="str">
        <f>"82378"</f>
        <v>82378</v>
      </c>
      <c r="AK2504" t="s">
        <v>46</v>
      </c>
      <c r="AL2504" s="1">
        <v>44816.556689814817</v>
      </c>
      <c r="AM2504" t="s">
        <v>44</v>
      </c>
    </row>
    <row r="2505" spans="1:39" x14ac:dyDescent="0.2">
      <c r="A2505" t="s">
        <v>2400</v>
      </c>
      <c r="B2505" t="s">
        <v>40</v>
      </c>
      <c r="C2505" t="s">
        <v>2388</v>
      </c>
      <c r="D2505" t="s">
        <v>42</v>
      </c>
      <c r="E2505" t="s">
        <v>43</v>
      </c>
      <c r="F2505" t="s">
        <v>44</v>
      </c>
      <c r="G2505" t="s">
        <v>45</v>
      </c>
      <c r="AH2505" t="s">
        <v>42</v>
      </c>
      <c r="AI2505" t="str">
        <f>"RF013-DEL/DER"</f>
        <v>RF013-DEL/DER</v>
      </c>
      <c r="AJ2505" t="str">
        <f>"RF013-DEL/DER"</f>
        <v>RF013-DEL/DER</v>
      </c>
      <c r="AK2505" t="s">
        <v>46</v>
      </c>
      <c r="AL2505" s="1">
        <v>44980.856203703705</v>
      </c>
      <c r="AM2505" t="s">
        <v>44</v>
      </c>
    </row>
    <row r="2506" spans="1:39" x14ac:dyDescent="0.2">
      <c r="A2506" t="s">
        <v>2401</v>
      </c>
      <c r="B2506" t="s">
        <v>40</v>
      </c>
      <c r="C2506" t="s">
        <v>2388</v>
      </c>
      <c r="D2506" t="s">
        <v>42</v>
      </c>
      <c r="E2506" t="s">
        <v>43</v>
      </c>
      <c r="F2506" t="s">
        <v>44</v>
      </c>
      <c r="G2506" t="s">
        <v>45</v>
      </c>
      <c r="AH2506" t="s">
        <v>42</v>
      </c>
      <c r="AI2506" t="str">
        <f>"66298889887473"</f>
        <v>66298889887473</v>
      </c>
      <c r="AJ2506" t="str">
        <f>"82337"</f>
        <v>82337</v>
      </c>
      <c r="AK2506" t="s">
        <v>46</v>
      </c>
      <c r="AL2506" s="1">
        <v>44816.556689814817</v>
      </c>
      <c r="AM2506" t="s">
        <v>44</v>
      </c>
    </row>
    <row r="2507" spans="1:39" x14ac:dyDescent="0.2">
      <c r="A2507" t="s">
        <v>2401</v>
      </c>
      <c r="B2507" t="s">
        <v>40</v>
      </c>
      <c r="C2507" t="s">
        <v>2388</v>
      </c>
      <c r="D2507" t="s">
        <v>42</v>
      </c>
      <c r="E2507" t="s">
        <v>43</v>
      </c>
      <c r="F2507" t="s">
        <v>44</v>
      </c>
      <c r="G2507" t="s">
        <v>45</v>
      </c>
      <c r="AH2507" t="s">
        <v>42</v>
      </c>
      <c r="AI2507" t="str">
        <f>"RF013-DEL/IZQ"</f>
        <v>RF013-DEL/IZQ</v>
      </c>
      <c r="AJ2507" t="str">
        <f>"RF013-DEL/IZQ"</f>
        <v>RF013-DEL/IZQ</v>
      </c>
      <c r="AK2507" t="s">
        <v>46</v>
      </c>
      <c r="AL2507" s="1">
        <v>44980.857256944444</v>
      </c>
      <c r="AM2507" t="s">
        <v>44</v>
      </c>
    </row>
    <row r="2508" spans="1:39" x14ac:dyDescent="0.2">
      <c r="A2508" t="s">
        <v>2402</v>
      </c>
      <c r="B2508" t="s">
        <v>40</v>
      </c>
      <c r="C2508" t="s">
        <v>2388</v>
      </c>
      <c r="D2508" t="s">
        <v>42</v>
      </c>
      <c r="E2508" t="s">
        <v>43</v>
      </c>
      <c r="F2508" t="s">
        <v>44</v>
      </c>
      <c r="G2508" t="s">
        <v>45</v>
      </c>
      <c r="AH2508" t="s">
        <v>42</v>
      </c>
      <c r="AI2508" t="str">
        <f>"RF024-DEL/DER"</f>
        <v>RF024-DEL/DER</v>
      </c>
      <c r="AJ2508" t="str">
        <f>"RF024-DEL/DER"</f>
        <v>RF024-DEL/DER</v>
      </c>
      <c r="AK2508" t="s">
        <v>46</v>
      </c>
      <c r="AL2508" s="1">
        <v>44859.614861111113</v>
      </c>
      <c r="AM2508" t="s">
        <v>44</v>
      </c>
    </row>
    <row r="2509" spans="1:39" x14ac:dyDescent="0.2">
      <c r="A2509" t="s">
        <v>2402</v>
      </c>
      <c r="B2509" t="s">
        <v>40</v>
      </c>
      <c r="C2509" t="s">
        <v>2388</v>
      </c>
      <c r="D2509" t="s">
        <v>42</v>
      </c>
      <c r="E2509" t="s">
        <v>43</v>
      </c>
      <c r="F2509" t="s">
        <v>44</v>
      </c>
      <c r="G2509" t="s">
        <v>45</v>
      </c>
      <c r="AH2509" t="s">
        <v>42</v>
      </c>
      <c r="AI2509" t="str">
        <f>"RF024-DEL/IZQ"</f>
        <v>RF024-DEL/IZQ</v>
      </c>
      <c r="AJ2509" t="str">
        <f>"RF024-DEL/IZQ"</f>
        <v>RF024-DEL/IZQ</v>
      </c>
      <c r="AK2509" t="s">
        <v>46</v>
      </c>
      <c r="AL2509" s="1">
        <v>44859.615162037036</v>
      </c>
      <c r="AM2509" t="s">
        <v>44</v>
      </c>
    </row>
    <row r="2510" spans="1:39" x14ac:dyDescent="0.2">
      <c r="A2510" t="s">
        <v>2403</v>
      </c>
      <c r="B2510" t="s">
        <v>40</v>
      </c>
      <c r="C2510" t="s">
        <v>2388</v>
      </c>
      <c r="D2510" t="s">
        <v>42</v>
      </c>
      <c r="E2510" t="s">
        <v>43</v>
      </c>
      <c r="F2510" t="s">
        <v>44</v>
      </c>
      <c r="G2510" t="s">
        <v>45</v>
      </c>
      <c r="AH2510" t="s">
        <v>42</v>
      </c>
      <c r="AI2510" t="str">
        <f>"66298889935315"</f>
        <v>66298889935315</v>
      </c>
      <c r="AJ2510" t="str">
        <f>"80770"</f>
        <v>80770</v>
      </c>
      <c r="AK2510" t="s">
        <v>46</v>
      </c>
      <c r="AL2510" s="1">
        <v>44816.556701388887</v>
      </c>
      <c r="AM2510" t="s">
        <v>44</v>
      </c>
    </row>
    <row r="2511" spans="1:39" x14ac:dyDescent="0.2">
      <c r="A2511" t="s">
        <v>2403</v>
      </c>
      <c r="B2511" t="s">
        <v>40</v>
      </c>
      <c r="C2511" t="s">
        <v>2388</v>
      </c>
      <c r="D2511" t="s">
        <v>42</v>
      </c>
      <c r="E2511" t="s">
        <v>43</v>
      </c>
      <c r="F2511" t="s">
        <v>44</v>
      </c>
      <c r="G2511" t="s">
        <v>45</v>
      </c>
      <c r="AH2511" t="s">
        <v>42</v>
      </c>
      <c r="AI2511" t="str">
        <f>"RF008"</f>
        <v>RF008</v>
      </c>
      <c r="AJ2511" t="str">
        <f>"RF008"</f>
        <v>RF008</v>
      </c>
      <c r="AK2511" t="s">
        <v>46</v>
      </c>
      <c r="AL2511" s="1">
        <v>44858.782175925924</v>
      </c>
      <c r="AM2511" t="s">
        <v>44</v>
      </c>
    </row>
    <row r="2512" spans="1:39" x14ac:dyDescent="0.2">
      <c r="A2512" t="s">
        <v>2404</v>
      </c>
      <c r="B2512" t="s">
        <v>40</v>
      </c>
      <c r="C2512" t="s">
        <v>2388</v>
      </c>
      <c r="D2512" t="s">
        <v>42</v>
      </c>
      <c r="E2512" t="s">
        <v>43</v>
      </c>
      <c r="F2512" t="s">
        <v>44</v>
      </c>
      <c r="G2512" t="s">
        <v>45</v>
      </c>
      <c r="AH2512" t="s">
        <v>42</v>
      </c>
      <c r="AI2512" t="str">
        <f>"66298889980599"</f>
        <v>66298889980599</v>
      </c>
      <c r="AJ2512" t="str">
        <f>"RF011"</f>
        <v>RF011</v>
      </c>
      <c r="AK2512" t="s">
        <v>46</v>
      </c>
      <c r="AL2512" s="1">
        <v>44816.556701388887</v>
      </c>
      <c r="AM2512" t="s">
        <v>44</v>
      </c>
    </row>
    <row r="2513" spans="1:39" x14ac:dyDescent="0.2">
      <c r="A2513" t="s">
        <v>2405</v>
      </c>
      <c r="B2513" t="s">
        <v>40</v>
      </c>
      <c r="C2513" t="s">
        <v>2388</v>
      </c>
      <c r="D2513" t="s">
        <v>42</v>
      </c>
      <c r="E2513" t="s">
        <v>43</v>
      </c>
      <c r="F2513" t="s">
        <v>44</v>
      </c>
      <c r="G2513" t="s">
        <v>45</v>
      </c>
      <c r="AH2513" t="s">
        <v>42</v>
      </c>
      <c r="AI2513" t="str">
        <f>"12466"</f>
        <v>12466</v>
      </c>
      <c r="AJ2513" t="str">
        <f>"12466"</f>
        <v>12466</v>
      </c>
      <c r="AK2513" t="s">
        <v>46</v>
      </c>
      <c r="AL2513" s="1">
        <v>44950.863726851851</v>
      </c>
      <c r="AM2513" t="s">
        <v>44</v>
      </c>
    </row>
    <row r="2514" spans="1:39" x14ac:dyDescent="0.2">
      <c r="A2514" t="s">
        <v>2406</v>
      </c>
      <c r="B2514" t="s">
        <v>40</v>
      </c>
      <c r="C2514" t="s">
        <v>2344</v>
      </c>
      <c r="D2514" t="s">
        <v>42</v>
      </c>
      <c r="E2514" t="s">
        <v>43</v>
      </c>
      <c r="F2514" t="s">
        <v>44</v>
      </c>
      <c r="G2514" t="s">
        <v>45</v>
      </c>
      <c r="AH2514" t="s">
        <v>42</v>
      </c>
      <c r="AI2514" t="str">
        <f>"B030"</f>
        <v>B030</v>
      </c>
      <c r="AJ2514" t="str">
        <f>"B030"</f>
        <v>B030</v>
      </c>
      <c r="AK2514" t="s">
        <v>46</v>
      </c>
      <c r="AL2514" s="1">
        <v>45091.934247685182</v>
      </c>
      <c r="AM2514" t="s">
        <v>44</v>
      </c>
    </row>
    <row r="2515" spans="1:39" x14ac:dyDescent="0.2">
      <c r="A2515" t="s">
        <v>2407</v>
      </c>
      <c r="B2515" t="s">
        <v>40</v>
      </c>
      <c r="C2515" t="s">
        <v>2388</v>
      </c>
      <c r="D2515" t="s">
        <v>42</v>
      </c>
      <c r="E2515" t="s">
        <v>43</v>
      </c>
      <c r="F2515" t="s">
        <v>44</v>
      </c>
      <c r="G2515" t="s">
        <v>45</v>
      </c>
      <c r="AH2515" t="s">
        <v>42</v>
      </c>
      <c r="AI2515" t="str">
        <f>"66298890020532"</f>
        <v>66298890020532</v>
      </c>
      <c r="AJ2515" t="str">
        <f>"35601H2C000H000"</f>
        <v>35601H2C000H000</v>
      </c>
      <c r="AK2515" t="s">
        <v>46</v>
      </c>
      <c r="AL2515" s="1">
        <v>44816.556712962964</v>
      </c>
      <c r="AM2515" t="s">
        <v>44</v>
      </c>
    </row>
    <row r="2516" spans="1:39" x14ac:dyDescent="0.2">
      <c r="A2516" t="s">
        <v>2408</v>
      </c>
      <c r="B2516" t="s">
        <v>40</v>
      </c>
      <c r="C2516" t="s">
        <v>2388</v>
      </c>
      <c r="D2516" t="s">
        <v>42</v>
      </c>
      <c r="E2516" t="s">
        <v>43</v>
      </c>
      <c r="F2516" t="s">
        <v>44</v>
      </c>
      <c r="G2516" t="s">
        <v>45</v>
      </c>
      <c r="AH2516" t="s">
        <v>42</v>
      </c>
      <c r="AI2516" t="str">
        <f>"66298890061789"</f>
        <v>66298890061789</v>
      </c>
      <c r="AJ2516" t="str">
        <f>"35603H2C000H000"</f>
        <v>35603H2C000H000</v>
      </c>
      <c r="AK2516" t="s">
        <v>46</v>
      </c>
      <c r="AL2516" s="1">
        <v>44816.556712962964</v>
      </c>
      <c r="AM2516" t="s">
        <v>44</v>
      </c>
    </row>
    <row r="2517" spans="1:39" x14ac:dyDescent="0.2">
      <c r="A2517" t="s">
        <v>2409</v>
      </c>
      <c r="B2517" t="s">
        <v>40</v>
      </c>
      <c r="C2517" t="s">
        <v>2388</v>
      </c>
      <c r="D2517" t="s">
        <v>42</v>
      </c>
      <c r="E2517" t="s">
        <v>43</v>
      </c>
      <c r="F2517" t="s">
        <v>44</v>
      </c>
      <c r="G2517" t="s">
        <v>45</v>
      </c>
      <c r="AH2517" t="s">
        <v>42</v>
      </c>
      <c r="AI2517" t="str">
        <f>"66298890106171"</f>
        <v>66298890106171</v>
      </c>
      <c r="AJ2517" t="str">
        <f>"35604H2C000H000"</f>
        <v>35604H2C000H000</v>
      </c>
      <c r="AK2517" t="s">
        <v>46</v>
      </c>
      <c r="AL2517" s="1">
        <v>44816.55672453704</v>
      </c>
      <c r="AM2517" t="s">
        <v>44</v>
      </c>
    </row>
    <row r="2518" spans="1:39" x14ac:dyDescent="0.2">
      <c r="A2518" t="s">
        <v>2410</v>
      </c>
      <c r="B2518" t="s">
        <v>40</v>
      </c>
      <c r="C2518" t="s">
        <v>2388</v>
      </c>
      <c r="D2518" t="s">
        <v>42</v>
      </c>
      <c r="E2518" t="s">
        <v>43</v>
      </c>
      <c r="F2518" t="s">
        <v>44</v>
      </c>
      <c r="G2518" t="s">
        <v>45</v>
      </c>
      <c r="H2518" t="s">
        <v>2392</v>
      </c>
      <c r="AH2518" t="s">
        <v>42</v>
      </c>
      <c r="AI2518" t="str">
        <f>"RF060-DEL/DER-TRA/IZQ"</f>
        <v>RF060-DEL/DER-TRA/IZQ</v>
      </c>
      <c r="AJ2518" t="str">
        <f>"RF060-DEL/DER-TRA/IZQ"</f>
        <v>RF060-DEL/DER-TRA/IZQ</v>
      </c>
      <c r="AK2518" t="s">
        <v>46</v>
      </c>
      <c r="AL2518" s="1">
        <v>45001.674502314818</v>
      </c>
      <c r="AM2518" t="s">
        <v>44</v>
      </c>
    </row>
    <row r="2519" spans="1:39" x14ac:dyDescent="0.2">
      <c r="A2519" t="s">
        <v>2410</v>
      </c>
      <c r="B2519" t="s">
        <v>40</v>
      </c>
      <c r="C2519" t="s">
        <v>2388</v>
      </c>
      <c r="D2519" t="s">
        <v>42</v>
      </c>
      <c r="E2519" t="s">
        <v>43</v>
      </c>
      <c r="F2519" t="s">
        <v>44</v>
      </c>
      <c r="G2519" t="s">
        <v>45</v>
      </c>
      <c r="H2519" t="s">
        <v>2393</v>
      </c>
      <c r="AH2519" t="s">
        <v>42</v>
      </c>
      <c r="AI2519" t="str">
        <f>"RF060-DEL/IZQ-TRA/DER"</f>
        <v>RF060-DEL/IZQ-TRA/DER</v>
      </c>
      <c r="AJ2519" t="str">
        <f>"RF060-DEL/IZQ-TRA/DER"</f>
        <v>RF060-DEL/IZQ-TRA/DER</v>
      </c>
      <c r="AK2519" t="s">
        <v>46</v>
      </c>
      <c r="AL2519" s="1">
        <v>45001.674351851849</v>
      </c>
      <c r="AM2519" t="s">
        <v>44</v>
      </c>
    </row>
    <row r="2520" spans="1:39" x14ac:dyDescent="0.2">
      <c r="A2520" t="s">
        <v>2411</v>
      </c>
      <c r="B2520" t="s">
        <v>40</v>
      </c>
      <c r="C2520" t="s">
        <v>2388</v>
      </c>
      <c r="D2520" t="s">
        <v>42</v>
      </c>
      <c r="E2520" t="s">
        <v>43</v>
      </c>
      <c r="F2520" t="s">
        <v>44</v>
      </c>
      <c r="G2520" t="s">
        <v>45</v>
      </c>
      <c r="AH2520" t="s">
        <v>42</v>
      </c>
      <c r="AI2520" t="str">
        <f>"66298890142748"</f>
        <v>66298890142748</v>
      </c>
      <c r="AJ2520" t="str">
        <f>"80905"</f>
        <v>80905</v>
      </c>
      <c r="AK2520" t="s">
        <v>46</v>
      </c>
      <c r="AL2520" s="1">
        <v>44816.55672453704</v>
      </c>
      <c r="AM2520" t="s">
        <v>44</v>
      </c>
    </row>
    <row r="2521" spans="1:39" x14ac:dyDescent="0.2">
      <c r="A2521" t="s">
        <v>2412</v>
      </c>
      <c r="B2521" t="s">
        <v>40</v>
      </c>
      <c r="C2521" t="s">
        <v>2388</v>
      </c>
      <c r="D2521" t="s">
        <v>42</v>
      </c>
      <c r="E2521" t="s">
        <v>43</v>
      </c>
      <c r="F2521" t="s">
        <v>44</v>
      </c>
      <c r="G2521" t="s">
        <v>45</v>
      </c>
      <c r="AH2521" t="s">
        <v>42</v>
      </c>
      <c r="AI2521" t="str">
        <f>"66298890180774"</f>
        <v>66298890180774</v>
      </c>
      <c r="AJ2521" t="str">
        <f>"80906"</f>
        <v>80906</v>
      </c>
      <c r="AK2521" t="s">
        <v>46</v>
      </c>
      <c r="AL2521" s="1">
        <v>44816.55672453704</v>
      </c>
      <c r="AM2521" t="s">
        <v>44</v>
      </c>
    </row>
    <row r="2522" spans="1:39" x14ac:dyDescent="0.2">
      <c r="A2522" t="s">
        <v>2413</v>
      </c>
      <c r="B2522" t="s">
        <v>40</v>
      </c>
      <c r="C2522" t="s">
        <v>2388</v>
      </c>
      <c r="D2522" t="s">
        <v>42</v>
      </c>
      <c r="E2522" t="s">
        <v>43</v>
      </c>
      <c r="F2522" t="s">
        <v>44</v>
      </c>
      <c r="G2522" t="s">
        <v>45</v>
      </c>
      <c r="AH2522" t="s">
        <v>42</v>
      </c>
      <c r="AI2522" t="str">
        <f>"BR04094STLU"</f>
        <v>BR04094STLU</v>
      </c>
      <c r="AJ2522" t="str">
        <f>"BR04094STLU"</f>
        <v>BR04094STLU</v>
      </c>
      <c r="AK2522" t="s">
        <v>46</v>
      </c>
      <c r="AL2522" s="1">
        <v>44936.67392361111</v>
      </c>
      <c r="AM2522" t="s">
        <v>44</v>
      </c>
    </row>
    <row r="2523" spans="1:39" x14ac:dyDescent="0.2">
      <c r="A2523" t="s">
        <v>2414</v>
      </c>
      <c r="B2523" t="s">
        <v>40</v>
      </c>
      <c r="C2523" t="s">
        <v>2388</v>
      </c>
      <c r="D2523" t="s">
        <v>42</v>
      </c>
      <c r="E2523" t="s">
        <v>43</v>
      </c>
      <c r="F2523" t="s">
        <v>44</v>
      </c>
      <c r="G2523" t="s">
        <v>45</v>
      </c>
      <c r="AH2523" t="s">
        <v>42</v>
      </c>
      <c r="AI2523" t="str">
        <f>"BR04095STLU"</f>
        <v>BR04095STLU</v>
      </c>
      <c r="AJ2523" t="str">
        <f>"BR04095STLU"</f>
        <v>BR04095STLU</v>
      </c>
      <c r="AK2523" t="s">
        <v>46</v>
      </c>
      <c r="AL2523" s="1">
        <v>44936.674328703702</v>
      </c>
      <c r="AM2523" t="s">
        <v>44</v>
      </c>
    </row>
    <row r="2524" spans="1:39" x14ac:dyDescent="0.2">
      <c r="A2524" t="s">
        <v>2415</v>
      </c>
      <c r="B2524" t="s">
        <v>40</v>
      </c>
      <c r="C2524" t="s">
        <v>2388</v>
      </c>
      <c r="D2524" t="s">
        <v>42</v>
      </c>
      <c r="E2524" t="s">
        <v>43</v>
      </c>
      <c r="F2524" t="s">
        <v>44</v>
      </c>
      <c r="G2524" t="s">
        <v>45</v>
      </c>
      <c r="H2524" t="s">
        <v>2416</v>
      </c>
      <c r="AH2524" t="s">
        <v>42</v>
      </c>
      <c r="AI2524" t="str">
        <f>"RF001-DER"</f>
        <v>RF001-DER</v>
      </c>
      <c r="AJ2524" t="str">
        <f>"RF001-DER"</f>
        <v>RF001-DER</v>
      </c>
      <c r="AK2524" t="s">
        <v>46</v>
      </c>
      <c r="AL2524" s="1">
        <v>44858.78266203704</v>
      </c>
      <c r="AM2524" t="s">
        <v>44</v>
      </c>
    </row>
    <row r="2525" spans="1:39" x14ac:dyDescent="0.2">
      <c r="A2525" t="s">
        <v>2415</v>
      </c>
      <c r="B2525" t="s">
        <v>40</v>
      </c>
      <c r="C2525" t="s">
        <v>2388</v>
      </c>
      <c r="D2525" t="s">
        <v>42</v>
      </c>
      <c r="E2525" t="s">
        <v>43</v>
      </c>
      <c r="F2525" t="s">
        <v>44</v>
      </c>
      <c r="G2525" t="s">
        <v>45</v>
      </c>
      <c r="H2525" t="s">
        <v>2417</v>
      </c>
      <c r="AH2525" t="s">
        <v>42</v>
      </c>
      <c r="AI2525" t="str">
        <f>"RF001-IZQ"</f>
        <v>RF001-IZQ</v>
      </c>
      <c r="AJ2525" t="str">
        <f>"RF001-IZQ"</f>
        <v>RF001-IZQ</v>
      </c>
      <c r="AK2525" t="s">
        <v>46</v>
      </c>
      <c r="AL2525" s="1">
        <v>44860.788900462961</v>
      </c>
      <c r="AM2525" t="s">
        <v>44</v>
      </c>
    </row>
    <row r="2526" spans="1:39" x14ac:dyDescent="0.2">
      <c r="A2526" t="s">
        <v>2418</v>
      </c>
      <c r="B2526" t="s">
        <v>40</v>
      </c>
      <c r="C2526" t="s">
        <v>2388</v>
      </c>
      <c r="D2526" t="s">
        <v>42</v>
      </c>
      <c r="E2526" t="s">
        <v>43</v>
      </c>
      <c r="F2526" t="s">
        <v>44</v>
      </c>
      <c r="G2526" t="s">
        <v>45</v>
      </c>
      <c r="AH2526" t="s">
        <v>42</v>
      </c>
      <c r="AI2526" t="str">
        <f>"66298890301162"</f>
        <v>66298890301162</v>
      </c>
      <c r="AJ2526" t="str">
        <f>"83189"</f>
        <v>83189</v>
      </c>
      <c r="AK2526" t="s">
        <v>46</v>
      </c>
      <c r="AL2526" s="1">
        <v>44816.556747685187</v>
      </c>
      <c r="AM2526" t="s">
        <v>44</v>
      </c>
    </row>
    <row r="2527" spans="1:39" x14ac:dyDescent="0.2">
      <c r="A2527" t="s">
        <v>2419</v>
      </c>
      <c r="B2527" t="s">
        <v>40</v>
      </c>
      <c r="C2527" t="s">
        <v>2388</v>
      </c>
      <c r="D2527" t="s">
        <v>42</v>
      </c>
      <c r="E2527" t="s">
        <v>43</v>
      </c>
      <c r="F2527" t="s">
        <v>44</v>
      </c>
      <c r="G2527" t="s">
        <v>45</v>
      </c>
      <c r="AH2527" t="s">
        <v>42</v>
      </c>
      <c r="AI2527" t="str">
        <f>"66298890342852"</f>
        <v>66298890342852</v>
      </c>
      <c r="AJ2527" t="str">
        <f>"U001B"</f>
        <v>U001B</v>
      </c>
      <c r="AK2527" t="s">
        <v>46</v>
      </c>
      <c r="AL2527" s="1">
        <v>44816.556747685187</v>
      </c>
      <c r="AM2527" t="s">
        <v>44</v>
      </c>
    </row>
    <row r="2528" spans="1:39" x14ac:dyDescent="0.2">
      <c r="A2528" t="s">
        <v>2420</v>
      </c>
      <c r="B2528" t="s">
        <v>40</v>
      </c>
      <c r="C2528" t="s">
        <v>2344</v>
      </c>
      <c r="D2528" t="s">
        <v>42</v>
      </c>
      <c r="E2528" t="s">
        <v>43</v>
      </c>
      <c r="F2528" t="s">
        <v>44</v>
      </c>
      <c r="G2528" t="s">
        <v>45</v>
      </c>
      <c r="AH2528" t="s">
        <v>42</v>
      </c>
      <c r="AI2528" t="str">
        <f>"RF012"</f>
        <v>RF012</v>
      </c>
      <c r="AJ2528" t="str">
        <f>"RF012"</f>
        <v>RF012</v>
      </c>
      <c r="AK2528" t="s">
        <v>46</v>
      </c>
      <c r="AL2528" s="1">
        <v>45091.93241898148</v>
      </c>
      <c r="AM2528" t="s">
        <v>44</v>
      </c>
    </row>
    <row r="2529" spans="1:39" x14ac:dyDescent="0.2">
      <c r="A2529" t="s">
        <v>2421</v>
      </c>
      <c r="B2529" t="s">
        <v>40</v>
      </c>
      <c r="C2529" t="s">
        <v>2388</v>
      </c>
      <c r="D2529" t="s">
        <v>42</v>
      </c>
      <c r="E2529" t="s">
        <v>43</v>
      </c>
      <c r="F2529" t="s">
        <v>44</v>
      </c>
      <c r="G2529" t="s">
        <v>45</v>
      </c>
      <c r="AH2529" t="s">
        <v>42</v>
      </c>
      <c r="AI2529" t="str">
        <f>"66298890382003"</f>
        <v>66298890382003</v>
      </c>
      <c r="AJ2529" t="str">
        <f>"FS-STORM"</f>
        <v>FS-STORM</v>
      </c>
      <c r="AK2529" t="s">
        <v>46</v>
      </c>
      <c r="AL2529" s="1">
        <v>44816.556747685187</v>
      </c>
      <c r="AM2529" t="s">
        <v>44</v>
      </c>
    </row>
    <row r="2530" spans="1:39" x14ac:dyDescent="0.2">
      <c r="A2530" t="s">
        <v>2422</v>
      </c>
      <c r="B2530" t="s">
        <v>40</v>
      </c>
      <c r="C2530" t="s">
        <v>2388</v>
      </c>
      <c r="D2530" t="s">
        <v>42</v>
      </c>
      <c r="E2530" t="s">
        <v>43</v>
      </c>
      <c r="F2530" t="s">
        <v>44</v>
      </c>
      <c r="G2530" t="s">
        <v>45</v>
      </c>
      <c r="AH2530" t="s">
        <v>42</v>
      </c>
      <c r="AI2530" t="str">
        <f>"66298890421420"</f>
        <v>66298890421420</v>
      </c>
      <c r="AJ2530" t="str">
        <f>"E003"</f>
        <v>E003</v>
      </c>
      <c r="AK2530" t="s">
        <v>46</v>
      </c>
      <c r="AL2530" s="1">
        <v>44816.556759259256</v>
      </c>
      <c r="AM2530" t="s">
        <v>44</v>
      </c>
    </row>
    <row r="2531" spans="1:39" x14ac:dyDescent="0.2">
      <c r="A2531" t="s">
        <v>2423</v>
      </c>
      <c r="B2531" t="s">
        <v>40</v>
      </c>
      <c r="C2531" t="s">
        <v>2344</v>
      </c>
      <c r="D2531" t="s">
        <v>42</v>
      </c>
      <c r="E2531" t="s">
        <v>43</v>
      </c>
      <c r="F2531" t="s">
        <v>44</v>
      </c>
      <c r="G2531" t="s">
        <v>45</v>
      </c>
      <c r="AH2531" t="s">
        <v>42</v>
      </c>
      <c r="AI2531" t="str">
        <f>"B023"</f>
        <v>B023</v>
      </c>
      <c r="AJ2531" t="str">
        <f>"B023"</f>
        <v>B023</v>
      </c>
      <c r="AK2531" t="s">
        <v>46</v>
      </c>
      <c r="AL2531" s="1">
        <v>45091.933761574073</v>
      </c>
      <c r="AM2531" t="s">
        <v>44</v>
      </c>
    </row>
    <row r="2532" spans="1:39" x14ac:dyDescent="0.2">
      <c r="A2532" t="s">
        <v>2424</v>
      </c>
      <c r="B2532" t="s">
        <v>40</v>
      </c>
      <c r="C2532" t="s">
        <v>2388</v>
      </c>
      <c r="D2532" t="s">
        <v>42</v>
      </c>
      <c r="E2532" t="s">
        <v>43</v>
      </c>
      <c r="F2532" t="s">
        <v>44</v>
      </c>
      <c r="G2532" t="s">
        <v>45</v>
      </c>
      <c r="H2532" t="s">
        <v>2425</v>
      </c>
      <c r="AH2532" t="s">
        <v>42</v>
      </c>
      <c r="AI2532" t="str">
        <f>"RF014-TRA/DER"</f>
        <v>RF014-TRA/DER</v>
      </c>
      <c r="AJ2532" t="str">
        <f>"RF014-TRA/DER"</f>
        <v>RF014-TRA/DER</v>
      </c>
      <c r="AK2532" t="s">
        <v>46</v>
      </c>
      <c r="AL2532" s="1">
        <v>44858.767048611109</v>
      </c>
      <c r="AM2532" t="s">
        <v>44</v>
      </c>
    </row>
    <row r="2533" spans="1:39" x14ac:dyDescent="0.2">
      <c r="A2533" t="s">
        <v>2424</v>
      </c>
      <c r="B2533" t="s">
        <v>40</v>
      </c>
      <c r="C2533" t="s">
        <v>2388</v>
      </c>
      <c r="D2533" t="s">
        <v>42</v>
      </c>
      <c r="E2533" t="s">
        <v>43</v>
      </c>
      <c r="F2533" t="s">
        <v>44</v>
      </c>
      <c r="G2533" t="s">
        <v>45</v>
      </c>
      <c r="H2533" t="s">
        <v>2426</v>
      </c>
      <c r="AH2533" t="s">
        <v>42</v>
      </c>
      <c r="AI2533" t="str">
        <f>"RF014-TRA/IZQ"</f>
        <v>RF014-TRA/IZQ</v>
      </c>
      <c r="AJ2533" t="str">
        <f>"RF014-TRA/IZQ"</f>
        <v>RF014-TRA/IZQ</v>
      </c>
      <c r="AK2533" t="s">
        <v>46</v>
      </c>
      <c r="AL2533" s="1">
        <v>44858.767337962963</v>
      </c>
      <c r="AM2533" t="s">
        <v>44</v>
      </c>
    </row>
    <row r="2534" spans="1:39" x14ac:dyDescent="0.2">
      <c r="A2534" t="s">
        <v>2427</v>
      </c>
      <c r="B2534" t="s">
        <v>40</v>
      </c>
      <c r="C2534" t="s">
        <v>2388</v>
      </c>
      <c r="D2534" t="s">
        <v>42</v>
      </c>
      <c r="E2534" t="s">
        <v>43</v>
      </c>
      <c r="F2534" t="s">
        <v>44</v>
      </c>
      <c r="G2534" t="s">
        <v>45</v>
      </c>
      <c r="AH2534" t="s">
        <v>42</v>
      </c>
      <c r="AI2534" t="str">
        <f>"66298890462087"</f>
        <v>66298890462087</v>
      </c>
      <c r="AJ2534" t="str">
        <f>"80361"</f>
        <v>80361</v>
      </c>
      <c r="AK2534" t="s">
        <v>46</v>
      </c>
      <c r="AL2534" s="1">
        <v>44816.556759259256</v>
      </c>
      <c r="AM2534" t="s">
        <v>44</v>
      </c>
    </row>
    <row r="2535" spans="1:39" x14ac:dyDescent="0.2">
      <c r="A2535" t="s">
        <v>2428</v>
      </c>
      <c r="B2535" t="s">
        <v>40</v>
      </c>
      <c r="C2535" t="s">
        <v>2388</v>
      </c>
      <c r="D2535" t="s">
        <v>42</v>
      </c>
      <c r="E2535" t="s">
        <v>43</v>
      </c>
      <c r="F2535" t="s">
        <v>44</v>
      </c>
      <c r="G2535" t="s">
        <v>45</v>
      </c>
      <c r="AH2535" t="s">
        <v>42</v>
      </c>
      <c r="AI2535" t="str">
        <f>"66298890500420"</f>
        <v>66298890500420</v>
      </c>
      <c r="AJ2535" t="str">
        <f>"FS-UNIVERSAL"</f>
        <v>FS-UNIVERSAL</v>
      </c>
      <c r="AK2535" t="s">
        <v>46</v>
      </c>
      <c r="AL2535" s="1">
        <v>44816.556770833333</v>
      </c>
      <c r="AM2535" t="s">
        <v>44</v>
      </c>
    </row>
    <row r="2536" spans="1:39" x14ac:dyDescent="0.2">
      <c r="A2536" t="s">
        <v>2429</v>
      </c>
      <c r="B2536" t="s">
        <v>40</v>
      </c>
      <c r="C2536" t="s">
        <v>2344</v>
      </c>
      <c r="D2536" t="s">
        <v>42</v>
      </c>
      <c r="E2536" t="s">
        <v>43</v>
      </c>
      <c r="F2536" t="s">
        <v>44</v>
      </c>
      <c r="G2536" t="s">
        <v>45</v>
      </c>
      <c r="AH2536" t="s">
        <v>42</v>
      </c>
      <c r="AI2536" t="str">
        <f>"C059"</f>
        <v>C059</v>
      </c>
      <c r="AJ2536" t="str">
        <f>"C059"</f>
        <v>C059</v>
      </c>
      <c r="AK2536" t="s">
        <v>46</v>
      </c>
      <c r="AL2536" s="1">
        <v>45091.940509259257</v>
      </c>
      <c r="AM2536" t="s">
        <v>44</v>
      </c>
    </row>
    <row r="2537" spans="1:39" x14ac:dyDescent="0.2">
      <c r="A2537" t="s">
        <v>2430</v>
      </c>
      <c r="B2537" t="s">
        <v>40</v>
      </c>
      <c r="C2537" t="s">
        <v>2344</v>
      </c>
      <c r="D2537" t="s">
        <v>42</v>
      </c>
      <c r="E2537" t="s">
        <v>43</v>
      </c>
      <c r="F2537" t="s">
        <v>44</v>
      </c>
      <c r="G2537" t="s">
        <v>45</v>
      </c>
      <c r="AH2537" t="s">
        <v>42</v>
      </c>
      <c r="AI2537" t="str">
        <f>"B035"</f>
        <v>B035</v>
      </c>
      <c r="AJ2537" t="str">
        <f>"B035"</f>
        <v>B035</v>
      </c>
      <c r="AK2537" t="s">
        <v>46</v>
      </c>
      <c r="AL2537" s="1">
        <v>45091.941400462965</v>
      </c>
      <c r="AM2537" t="s">
        <v>44</v>
      </c>
    </row>
    <row r="2538" spans="1:39" x14ac:dyDescent="0.2">
      <c r="A2538" t="s">
        <v>2431</v>
      </c>
      <c r="B2538" t="s">
        <v>40</v>
      </c>
      <c r="C2538" t="s">
        <v>2388</v>
      </c>
      <c r="D2538" t="s">
        <v>42</v>
      </c>
      <c r="E2538" t="s">
        <v>43</v>
      </c>
      <c r="F2538" t="s">
        <v>44</v>
      </c>
      <c r="G2538" t="s">
        <v>45</v>
      </c>
      <c r="AH2538" t="s">
        <v>42</v>
      </c>
      <c r="AI2538" t="str">
        <f>"66298890540760"</f>
        <v>66298890540760</v>
      </c>
      <c r="AJ2538" t="str">
        <f>"C058"</f>
        <v>C058</v>
      </c>
      <c r="AK2538" t="s">
        <v>46</v>
      </c>
      <c r="AL2538" s="1">
        <v>44816.556770833333</v>
      </c>
      <c r="AM2538" t="s">
        <v>44</v>
      </c>
    </row>
    <row r="2539" spans="1:39" x14ac:dyDescent="0.2">
      <c r="A2539" t="s">
        <v>2432</v>
      </c>
      <c r="B2539" t="s">
        <v>40</v>
      </c>
      <c r="C2539" t="s">
        <v>2388</v>
      </c>
      <c r="D2539" t="s">
        <v>42</v>
      </c>
      <c r="E2539" t="s">
        <v>43</v>
      </c>
      <c r="F2539" t="s">
        <v>44</v>
      </c>
      <c r="G2539" t="s">
        <v>45</v>
      </c>
      <c r="AH2539" t="s">
        <v>42</v>
      </c>
      <c r="AI2539" t="str">
        <f>"FOCO-SE-UNIV"</f>
        <v>FOCO-SE-UNIV</v>
      </c>
      <c r="AJ2539" t="str">
        <f>"FOCO-SE-UNIV"</f>
        <v>FOCO-SE-UNIV</v>
      </c>
      <c r="AK2539" t="s">
        <v>46</v>
      </c>
      <c r="AL2539" s="1">
        <v>44999.791643518518</v>
      </c>
      <c r="AM2539" t="s">
        <v>44</v>
      </c>
    </row>
    <row r="2540" spans="1:39" x14ac:dyDescent="0.2">
      <c r="A2540" t="s">
        <v>2432</v>
      </c>
      <c r="B2540" t="s">
        <v>40</v>
      </c>
      <c r="C2540" t="s">
        <v>2344</v>
      </c>
      <c r="D2540" t="s">
        <v>42</v>
      </c>
      <c r="E2540" t="s">
        <v>43</v>
      </c>
      <c r="F2540" t="s">
        <v>44</v>
      </c>
      <c r="G2540" t="s">
        <v>45</v>
      </c>
      <c r="AH2540" t="s">
        <v>42</v>
      </c>
      <c r="AI2540" t="str">
        <f>"60151"</f>
        <v>60151</v>
      </c>
      <c r="AJ2540" t="str">
        <f>"60151"</f>
        <v>60151</v>
      </c>
      <c r="AK2540" t="s">
        <v>46</v>
      </c>
      <c r="AL2540" s="1">
        <v>45091.93509259259</v>
      </c>
      <c r="AM2540" t="s">
        <v>44</v>
      </c>
    </row>
    <row r="2541" spans="1:39" x14ac:dyDescent="0.2">
      <c r="A2541" t="s">
        <v>2432</v>
      </c>
      <c r="B2541" t="s">
        <v>40</v>
      </c>
      <c r="C2541" t="s">
        <v>2344</v>
      </c>
      <c r="D2541" t="s">
        <v>42</v>
      </c>
      <c r="E2541" t="s">
        <v>43</v>
      </c>
      <c r="F2541" t="s">
        <v>44</v>
      </c>
      <c r="G2541" t="s">
        <v>45</v>
      </c>
      <c r="AH2541" t="s">
        <v>42</v>
      </c>
      <c r="AI2541" t="str">
        <f>"B0321"</f>
        <v>B0321</v>
      </c>
      <c r="AJ2541" t="str">
        <f>"B0321"</f>
        <v>B0321</v>
      </c>
      <c r="AK2541" t="s">
        <v>46</v>
      </c>
      <c r="AL2541" s="1">
        <v>45091.938483796293</v>
      </c>
      <c r="AM2541" t="s">
        <v>44</v>
      </c>
    </row>
    <row r="2542" spans="1:39" x14ac:dyDescent="0.2">
      <c r="A2542" t="s">
        <v>2432</v>
      </c>
      <c r="B2542" t="s">
        <v>40</v>
      </c>
      <c r="C2542" t="s">
        <v>2344</v>
      </c>
      <c r="D2542" t="s">
        <v>42</v>
      </c>
      <c r="E2542" t="s">
        <v>43</v>
      </c>
      <c r="F2542" t="s">
        <v>44</v>
      </c>
      <c r="G2542" t="s">
        <v>45</v>
      </c>
      <c r="AH2542" t="s">
        <v>42</v>
      </c>
      <c r="AI2542" t="str">
        <f>"C003"</f>
        <v>C003</v>
      </c>
      <c r="AJ2542" t="str">
        <f>"C003"</f>
        <v>C003</v>
      </c>
      <c r="AK2542" t="s">
        <v>46</v>
      </c>
      <c r="AL2542" s="1">
        <v>45091.939930555556</v>
      </c>
      <c r="AM2542" t="s">
        <v>44</v>
      </c>
    </row>
    <row r="2543" spans="1:39" x14ac:dyDescent="0.2">
      <c r="A2543" t="s">
        <v>2433</v>
      </c>
      <c r="B2543" t="s">
        <v>40</v>
      </c>
      <c r="C2543" t="s">
        <v>2388</v>
      </c>
      <c r="D2543" t="s">
        <v>42</v>
      </c>
      <c r="E2543" t="s">
        <v>43</v>
      </c>
      <c r="F2543" t="s">
        <v>44</v>
      </c>
      <c r="G2543" t="s">
        <v>45</v>
      </c>
      <c r="AH2543" t="s">
        <v>42</v>
      </c>
      <c r="AI2543" t="str">
        <f>"66298890588619"</f>
        <v>66298890588619</v>
      </c>
      <c r="AJ2543" t="str">
        <f>"C103"</f>
        <v>C103</v>
      </c>
      <c r="AK2543" t="s">
        <v>46</v>
      </c>
      <c r="AL2543" s="1">
        <v>44816.556770833333</v>
      </c>
      <c r="AM2543" t="s">
        <v>44</v>
      </c>
    </row>
    <row r="2544" spans="1:39" x14ac:dyDescent="0.2">
      <c r="A2544" t="s">
        <v>2434</v>
      </c>
      <c r="B2544" t="s">
        <v>40</v>
      </c>
      <c r="C2544" t="s">
        <v>2388</v>
      </c>
      <c r="D2544" t="s">
        <v>42</v>
      </c>
      <c r="E2544" t="s">
        <v>43</v>
      </c>
      <c r="F2544" t="s">
        <v>44</v>
      </c>
      <c r="G2544" t="s">
        <v>45</v>
      </c>
      <c r="AH2544" t="s">
        <v>42</v>
      </c>
      <c r="AI2544" t="str">
        <f>"66298890633816"</f>
        <v>66298890633816</v>
      </c>
      <c r="AJ2544" t="str">
        <f>"C153"</f>
        <v>C153</v>
      </c>
      <c r="AK2544" t="s">
        <v>46</v>
      </c>
      <c r="AL2544" s="1">
        <v>44816.55678240741</v>
      </c>
      <c r="AM2544" t="s">
        <v>44</v>
      </c>
    </row>
    <row r="2545" spans="1:39" x14ac:dyDescent="0.2">
      <c r="A2545" t="s">
        <v>2435</v>
      </c>
      <c r="B2545" t="s">
        <v>40</v>
      </c>
      <c r="C2545" t="s">
        <v>2388</v>
      </c>
      <c r="D2545" t="s">
        <v>42</v>
      </c>
      <c r="E2545" t="s">
        <v>43</v>
      </c>
      <c r="F2545" t="s">
        <v>44</v>
      </c>
      <c r="G2545" t="s">
        <v>45</v>
      </c>
      <c r="H2545" t="s">
        <v>2416</v>
      </c>
      <c r="AH2545" t="s">
        <v>42</v>
      </c>
      <c r="AI2545" t="str">
        <f>"RF015-DER"</f>
        <v>RF015-DER</v>
      </c>
      <c r="AJ2545" t="str">
        <f>"RF015-DER"</f>
        <v>RF015-DER</v>
      </c>
      <c r="AK2545" t="s">
        <v>46</v>
      </c>
      <c r="AL2545" s="1">
        <v>44858.779027777775</v>
      </c>
      <c r="AM2545" t="s">
        <v>44</v>
      </c>
    </row>
    <row r="2546" spans="1:39" x14ac:dyDescent="0.2">
      <c r="A2546" t="s">
        <v>2435</v>
      </c>
      <c r="B2546" t="s">
        <v>40</v>
      </c>
      <c r="C2546" t="s">
        <v>2388</v>
      </c>
      <c r="D2546" t="s">
        <v>42</v>
      </c>
      <c r="E2546" t="s">
        <v>43</v>
      </c>
      <c r="F2546" t="s">
        <v>44</v>
      </c>
      <c r="G2546" t="s">
        <v>45</v>
      </c>
      <c r="H2546" t="s">
        <v>2417</v>
      </c>
      <c r="AH2546" t="s">
        <v>42</v>
      </c>
      <c r="AI2546" t="str">
        <f>"RF015-IZQ"</f>
        <v>RF015-IZQ</v>
      </c>
      <c r="AJ2546" t="str">
        <f>"RF015-IZQ"</f>
        <v>RF015-IZQ</v>
      </c>
      <c r="AK2546" t="s">
        <v>46</v>
      </c>
      <c r="AL2546" s="1">
        <v>44858.779247685183</v>
      </c>
      <c r="AM2546" t="s">
        <v>44</v>
      </c>
    </row>
    <row r="2547" spans="1:39" x14ac:dyDescent="0.2">
      <c r="A2547" t="s">
        <v>2436</v>
      </c>
      <c r="B2547" t="s">
        <v>40</v>
      </c>
      <c r="C2547" t="s">
        <v>2388</v>
      </c>
      <c r="D2547" t="s">
        <v>42</v>
      </c>
      <c r="E2547" t="s">
        <v>43</v>
      </c>
      <c r="F2547" t="s">
        <v>44</v>
      </c>
      <c r="G2547" t="s">
        <v>45</v>
      </c>
      <c r="AH2547" t="s">
        <v>42</v>
      </c>
      <c r="AI2547" t="str">
        <f>"66298890672498"</f>
        <v>66298890672498</v>
      </c>
      <c r="AJ2547" t="str">
        <f>"RF006-IZQ"</f>
        <v>RF006-IZQ</v>
      </c>
      <c r="AK2547" t="s">
        <v>46</v>
      </c>
      <c r="AL2547" s="1">
        <v>44816.55678240741</v>
      </c>
      <c r="AM2547" t="s">
        <v>44</v>
      </c>
    </row>
    <row r="2548" spans="1:39" x14ac:dyDescent="0.2">
      <c r="A2548" t="s">
        <v>2437</v>
      </c>
      <c r="B2548" t="s">
        <v>40</v>
      </c>
      <c r="C2548" t="s">
        <v>2344</v>
      </c>
      <c r="D2548" t="s">
        <v>42</v>
      </c>
      <c r="E2548" t="s">
        <v>43</v>
      </c>
      <c r="F2548" t="s">
        <v>44</v>
      </c>
      <c r="G2548" t="s">
        <v>45</v>
      </c>
      <c r="AH2548" t="s">
        <v>42</v>
      </c>
      <c r="AI2548" t="str">
        <f>"66298890714957"</f>
        <v>66298890714957</v>
      </c>
      <c r="AJ2548" t="str">
        <f>"110252"</f>
        <v>110252</v>
      </c>
      <c r="AK2548" t="s">
        <v>46</v>
      </c>
      <c r="AL2548" s="1">
        <v>44816.556793981479</v>
      </c>
      <c r="AM2548" t="s">
        <v>44</v>
      </c>
    </row>
    <row r="2549" spans="1:39" x14ac:dyDescent="0.2">
      <c r="A2549" t="s">
        <v>2438</v>
      </c>
      <c r="B2549" t="s">
        <v>40</v>
      </c>
      <c r="C2549" t="s">
        <v>2344</v>
      </c>
      <c r="D2549" t="s">
        <v>42</v>
      </c>
      <c r="E2549" t="s">
        <v>43</v>
      </c>
      <c r="F2549" t="s">
        <v>44</v>
      </c>
      <c r="G2549" t="s">
        <v>45</v>
      </c>
      <c r="AH2549" t="s">
        <v>42</v>
      </c>
      <c r="AI2549" t="str">
        <f>"66298890758228"</f>
        <v>66298890758228</v>
      </c>
      <c r="AJ2549" t="str">
        <f>"1529"</f>
        <v>1529</v>
      </c>
      <c r="AK2549" t="s">
        <v>46</v>
      </c>
      <c r="AL2549" s="1">
        <v>44816.556793981479</v>
      </c>
      <c r="AM2549" t="s">
        <v>44</v>
      </c>
    </row>
    <row r="2550" spans="1:39" x14ac:dyDescent="0.2">
      <c r="A2550" t="s">
        <v>2439</v>
      </c>
      <c r="B2550" t="s">
        <v>40</v>
      </c>
      <c r="C2550" t="s">
        <v>2344</v>
      </c>
      <c r="D2550" t="s">
        <v>42</v>
      </c>
      <c r="E2550" t="s">
        <v>43</v>
      </c>
      <c r="F2550" t="s">
        <v>44</v>
      </c>
      <c r="G2550" t="s">
        <v>45</v>
      </c>
      <c r="AH2550" t="s">
        <v>42</v>
      </c>
      <c r="AI2550" t="str">
        <f>"PB018"</f>
        <v>PB018</v>
      </c>
      <c r="AJ2550" t="str">
        <f>"PB018"</f>
        <v>PB018</v>
      </c>
      <c r="AK2550" t="s">
        <v>46</v>
      </c>
      <c r="AL2550" s="1">
        <v>44858.705509259256</v>
      </c>
      <c r="AM2550" t="s">
        <v>44</v>
      </c>
    </row>
    <row r="2551" spans="1:39" x14ac:dyDescent="0.2">
      <c r="A2551" t="s">
        <v>2440</v>
      </c>
      <c r="B2551" t="s">
        <v>40</v>
      </c>
      <c r="C2551" t="s">
        <v>2344</v>
      </c>
      <c r="D2551" t="s">
        <v>42</v>
      </c>
      <c r="E2551" t="s">
        <v>43</v>
      </c>
      <c r="F2551" t="s">
        <v>44</v>
      </c>
      <c r="G2551" t="s">
        <v>45</v>
      </c>
      <c r="AH2551" t="s">
        <v>42</v>
      </c>
      <c r="AI2551" t="str">
        <f>"PB016"</f>
        <v>PB016</v>
      </c>
      <c r="AJ2551" t="str">
        <f>"PB016"</f>
        <v>PB016</v>
      </c>
      <c r="AK2551" t="s">
        <v>46</v>
      </c>
      <c r="AL2551" s="1">
        <v>45091.944953703707</v>
      </c>
      <c r="AM2551" t="s">
        <v>44</v>
      </c>
    </row>
    <row r="2552" spans="1:39" x14ac:dyDescent="0.2">
      <c r="A2552" t="s">
        <v>2441</v>
      </c>
      <c r="B2552" t="s">
        <v>40</v>
      </c>
      <c r="C2552" t="s">
        <v>2344</v>
      </c>
      <c r="D2552" t="s">
        <v>42</v>
      </c>
      <c r="E2552" t="s">
        <v>43</v>
      </c>
      <c r="F2552" t="s">
        <v>44</v>
      </c>
      <c r="G2552" t="s">
        <v>45</v>
      </c>
      <c r="AH2552" t="s">
        <v>42</v>
      </c>
      <c r="AI2552" t="str">
        <f>"66298890793010"</f>
        <v>66298890793010</v>
      </c>
      <c r="AJ2552" t="str">
        <f>"1039-TWISTER"</f>
        <v>1039-TWISTER</v>
      </c>
      <c r="AK2552" t="s">
        <v>46</v>
      </c>
      <c r="AL2552" s="1">
        <v>44816.556793981479</v>
      </c>
      <c r="AM2552" t="s">
        <v>44</v>
      </c>
    </row>
    <row r="2553" spans="1:39" x14ac:dyDescent="0.2">
      <c r="A2553" t="s">
        <v>2441</v>
      </c>
      <c r="B2553" t="s">
        <v>40</v>
      </c>
      <c r="C2553" t="s">
        <v>2344</v>
      </c>
      <c r="D2553" t="s">
        <v>42</v>
      </c>
      <c r="E2553" t="s">
        <v>43</v>
      </c>
      <c r="F2553" t="s">
        <v>44</v>
      </c>
      <c r="G2553" t="s">
        <v>45</v>
      </c>
      <c r="AH2553" t="s">
        <v>42</v>
      </c>
      <c r="AI2553" t="str">
        <f>"66298890829939"</f>
        <v>66298890829939</v>
      </c>
      <c r="AJ2553" t="str">
        <f>"PB011"</f>
        <v>PB011</v>
      </c>
      <c r="AK2553" t="s">
        <v>46</v>
      </c>
      <c r="AL2553" s="1">
        <v>44816.556805555556</v>
      </c>
      <c r="AM2553" t="s">
        <v>44</v>
      </c>
    </row>
    <row r="2554" spans="1:39" x14ac:dyDescent="0.2">
      <c r="A2554" t="s">
        <v>2442</v>
      </c>
      <c r="B2554" t="s">
        <v>40</v>
      </c>
      <c r="C2554" t="s">
        <v>2344</v>
      </c>
      <c r="D2554" t="s">
        <v>42</v>
      </c>
      <c r="E2554" t="s">
        <v>43</v>
      </c>
      <c r="F2554" t="s">
        <v>44</v>
      </c>
      <c r="G2554" t="s">
        <v>45</v>
      </c>
      <c r="AH2554" t="s">
        <v>42</v>
      </c>
      <c r="AI2554" t="str">
        <f>"FOCO-TRA-CG"</f>
        <v>FOCO-TRA-CG</v>
      </c>
      <c r="AJ2554" t="str">
        <f>"FOCO-TRA-CG"</f>
        <v>FOCO-TRA-CG</v>
      </c>
      <c r="AK2554" t="s">
        <v>46</v>
      </c>
      <c r="AL2554" s="1">
        <v>45000.829953703702</v>
      </c>
      <c r="AM2554" t="s">
        <v>44</v>
      </c>
    </row>
    <row r="2555" spans="1:39" x14ac:dyDescent="0.2">
      <c r="A2555" t="s">
        <v>2443</v>
      </c>
      <c r="B2555" t="s">
        <v>40</v>
      </c>
      <c r="C2555" t="s">
        <v>2344</v>
      </c>
      <c r="D2555" t="s">
        <v>42</v>
      </c>
      <c r="E2555" t="s">
        <v>43</v>
      </c>
      <c r="F2555" t="s">
        <v>44</v>
      </c>
      <c r="G2555" t="s">
        <v>45</v>
      </c>
      <c r="AH2555" t="s">
        <v>42</v>
      </c>
      <c r="AI2555" t="str">
        <f>"66298890870101"</f>
        <v>66298890870101</v>
      </c>
      <c r="AJ2555" t="str">
        <f>"RD019"</f>
        <v>RD019</v>
      </c>
      <c r="AK2555" t="s">
        <v>46</v>
      </c>
      <c r="AL2555" s="1">
        <v>44816.556805555556</v>
      </c>
      <c r="AM2555" t="s">
        <v>44</v>
      </c>
    </row>
    <row r="2556" spans="1:39" x14ac:dyDescent="0.2">
      <c r="A2556" t="s">
        <v>2443</v>
      </c>
      <c r="B2556" t="s">
        <v>40</v>
      </c>
      <c r="C2556" t="s">
        <v>2344</v>
      </c>
      <c r="D2556" t="s">
        <v>42</v>
      </c>
      <c r="E2556" t="s">
        <v>43</v>
      </c>
      <c r="F2556" t="s">
        <v>44</v>
      </c>
      <c r="G2556" t="s">
        <v>45</v>
      </c>
      <c r="AH2556" t="s">
        <v>42</v>
      </c>
      <c r="AI2556" t="str">
        <f>"RD018"</f>
        <v>RD018</v>
      </c>
      <c r="AJ2556" t="str">
        <f>"RD018"</f>
        <v>RD018</v>
      </c>
      <c r="AK2556" t="s">
        <v>46</v>
      </c>
      <c r="AL2556" s="1">
        <v>45091.950023148151</v>
      </c>
      <c r="AM2556" t="s">
        <v>44</v>
      </c>
    </row>
    <row r="2557" spans="1:39" x14ac:dyDescent="0.2">
      <c r="A2557" t="s">
        <v>2444</v>
      </c>
      <c r="B2557" t="s">
        <v>40</v>
      </c>
      <c r="C2557" t="s">
        <v>2344</v>
      </c>
      <c r="D2557" t="s">
        <v>42</v>
      </c>
      <c r="E2557" t="s">
        <v>43</v>
      </c>
      <c r="F2557" t="s">
        <v>44</v>
      </c>
      <c r="G2557" t="s">
        <v>45</v>
      </c>
      <c r="AH2557" t="s">
        <v>42</v>
      </c>
      <c r="AI2557" t="str">
        <f>"PB014"</f>
        <v>PB014</v>
      </c>
      <c r="AJ2557" t="str">
        <f>"PB014"</f>
        <v>PB014</v>
      </c>
      <c r="AK2557" t="s">
        <v>46</v>
      </c>
      <c r="AL2557" s="1">
        <v>44858.70045138889</v>
      </c>
      <c r="AM2557" t="s">
        <v>44</v>
      </c>
    </row>
    <row r="2558" spans="1:39" x14ac:dyDescent="0.2">
      <c r="A2558" t="s">
        <v>2445</v>
      </c>
      <c r="B2558" t="s">
        <v>40</v>
      </c>
      <c r="C2558" t="s">
        <v>2344</v>
      </c>
      <c r="D2558" t="s">
        <v>42</v>
      </c>
      <c r="E2558" t="s">
        <v>43</v>
      </c>
      <c r="F2558" t="s">
        <v>44</v>
      </c>
      <c r="G2558" t="s">
        <v>45</v>
      </c>
      <c r="AH2558" t="s">
        <v>42</v>
      </c>
      <c r="AI2558" t="str">
        <f>"66298890907486"</f>
        <v>66298890907486</v>
      </c>
      <c r="AJ2558" t="str">
        <f>"PB002"</f>
        <v>PB002</v>
      </c>
      <c r="AK2558" t="s">
        <v>46</v>
      </c>
      <c r="AL2558" s="1">
        <v>44816.556817129633</v>
      </c>
      <c r="AM2558" t="s">
        <v>44</v>
      </c>
    </row>
    <row r="2559" spans="1:39" x14ac:dyDescent="0.2">
      <c r="A2559" t="s">
        <v>2446</v>
      </c>
      <c r="B2559" t="s">
        <v>40</v>
      </c>
      <c r="C2559" t="s">
        <v>2344</v>
      </c>
      <c r="D2559" t="s">
        <v>42</v>
      </c>
      <c r="E2559" t="s">
        <v>43</v>
      </c>
      <c r="F2559" t="s">
        <v>44</v>
      </c>
      <c r="G2559" t="s">
        <v>45</v>
      </c>
      <c r="AH2559" t="s">
        <v>42</v>
      </c>
      <c r="AI2559" t="str">
        <f>"66298890947517"</f>
        <v>66298890947517</v>
      </c>
      <c r="AJ2559" t="str">
        <f>"80778"</f>
        <v>80778</v>
      </c>
      <c r="AK2559" t="s">
        <v>46</v>
      </c>
      <c r="AL2559" s="1">
        <v>44816.556817129633</v>
      </c>
      <c r="AM2559" t="s">
        <v>44</v>
      </c>
    </row>
    <row r="2560" spans="1:39" x14ac:dyDescent="0.2">
      <c r="A2560" t="s">
        <v>2447</v>
      </c>
      <c r="B2560" t="s">
        <v>40</v>
      </c>
      <c r="C2560" t="s">
        <v>2344</v>
      </c>
      <c r="D2560" t="s">
        <v>42</v>
      </c>
      <c r="E2560" t="s">
        <v>43</v>
      </c>
      <c r="F2560" t="s">
        <v>44</v>
      </c>
      <c r="G2560" t="s">
        <v>45</v>
      </c>
      <c r="AH2560" t="s">
        <v>42</v>
      </c>
      <c r="AI2560" t="str">
        <f>"PB005"</f>
        <v>PB005</v>
      </c>
      <c r="AJ2560" t="str">
        <f>"PB005"</f>
        <v>PB005</v>
      </c>
      <c r="AK2560" t="s">
        <v>46</v>
      </c>
      <c r="AL2560" s="1">
        <v>44858.7033912037</v>
      </c>
      <c r="AM2560" t="s">
        <v>44</v>
      </c>
    </row>
    <row r="2561" spans="1:39" x14ac:dyDescent="0.2">
      <c r="A2561" t="s">
        <v>2448</v>
      </c>
      <c r="B2561" t="s">
        <v>40</v>
      </c>
      <c r="C2561" t="s">
        <v>2344</v>
      </c>
      <c r="D2561" t="s">
        <v>42</v>
      </c>
      <c r="E2561" t="s">
        <v>43</v>
      </c>
      <c r="F2561" t="s">
        <v>44</v>
      </c>
      <c r="G2561" t="s">
        <v>45</v>
      </c>
      <c r="AH2561" t="s">
        <v>42</v>
      </c>
      <c r="AI2561" t="str">
        <f>"66298890988279"</f>
        <v>66298890988279</v>
      </c>
      <c r="AJ2561" t="str">
        <f>"PB033"</f>
        <v>PB033</v>
      </c>
      <c r="AK2561" t="s">
        <v>46</v>
      </c>
      <c r="AL2561" s="1">
        <v>44816.556817129633</v>
      </c>
      <c r="AM2561" t="s">
        <v>44</v>
      </c>
    </row>
    <row r="2562" spans="1:39" x14ac:dyDescent="0.2">
      <c r="A2562" t="s">
        <v>2449</v>
      </c>
      <c r="B2562" t="s">
        <v>40</v>
      </c>
      <c r="C2562" t="s">
        <v>2344</v>
      </c>
      <c r="D2562" t="s">
        <v>42</v>
      </c>
      <c r="E2562" t="s">
        <v>43</v>
      </c>
      <c r="F2562" t="s">
        <v>44</v>
      </c>
      <c r="G2562" t="s">
        <v>45</v>
      </c>
      <c r="AH2562" t="s">
        <v>42</v>
      </c>
      <c r="AI2562" t="str">
        <f>"PB040"</f>
        <v>PB040</v>
      </c>
      <c r="AJ2562" t="str">
        <f>"PB040"</f>
        <v>PB040</v>
      </c>
      <c r="AK2562" t="s">
        <v>46</v>
      </c>
      <c r="AL2562" s="1">
        <v>44890.61310185185</v>
      </c>
      <c r="AM2562" t="s">
        <v>44</v>
      </c>
    </row>
    <row r="2563" spans="1:39" x14ac:dyDescent="0.2">
      <c r="A2563" t="s">
        <v>2450</v>
      </c>
      <c r="B2563" t="s">
        <v>40</v>
      </c>
      <c r="C2563" t="s">
        <v>2344</v>
      </c>
      <c r="D2563" t="s">
        <v>42</v>
      </c>
      <c r="E2563" t="s">
        <v>43</v>
      </c>
      <c r="F2563" t="s">
        <v>44</v>
      </c>
      <c r="G2563" t="s">
        <v>45</v>
      </c>
      <c r="AH2563" t="s">
        <v>42</v>
      </c>
      <c r="AI2563" t="str">
        <f>"66298891028219"</f>
        <v>66298891028219</v>
      </c>
      <c r="AJ2563" t="str">
        <f>"RD015"</f>
        <v>RD015</v>
      </c>
      <c r="AK2563" t="s">
        <v>46</v>
      </c>
      <c r="AL2563" s="1">
        <v>44816.556828703702</v>
      </c>
      <c r="AM2563" t="s">
        <v>44</v>
      </c>
    </row>
    <row r="2564" spans="1:39" x14ac:dyDescent="0.2">
      <c r="A2564" t="s">
        <v>2451</v>
      </c>
      <c r="B2564" t="s">
        <v>40</v>
      </c>
      <c r="C2564" t="s">
        <v>2344</v>
      </c>
      <c r="D2564" t="s">
        <v>42</v>
      </c>
      <c r="E2564" t="s">
        <v>43</v>
      </c>
      <c r="F2564" t="s">
        <v>44</v>
      </c>
      <c r="G2564" t="s">
        <v>45</v>
      </c>
      <c r="AH2564" t="s">
        <v>42</v>
      </c>
      <c r="AI2564" t="str">
        <f>"66298891069012"</f>
        <v>66298891069012</v>
      </c>
      <c r="AJ2564" t="str">
        <f>"B009"</f>
        <v>B009</v>
      </c>
      <c r="AK2564" t="s">
        <v>46</v>
      </c>
      <c r="AL2564" s="1">
        <v>44816.556828703702</v>
      </c>
      <c r="AM2564" t="s">
        <v>44</v>
      </c>
    </row>
    <row r="2565" spans="1:39" x14ac:dyDescent="0.2">
      <c r="A2565" t="s">
        <v>2452</v>
      </c>
      <c r="B2565" t="s">
        <v>40</v>
      </c>
      <c r="C2565" t="s">
        <v>2344</v>
      </c>
      <c r="D2565" t="s">
        <v>42</v>
      </c>
      <c r="E2565" t="s">
        <v>43</v>
      </c>
      <c r="F2565" t="s">
        <v>44</v>
      </c>
      <c r="G2565" t="s">
        <v>45</v>
      </c>
      <c r="AH2565" t="s">
        <v>42</v>
      </c>
      <c r="AI2565" t="str">
        <f>"PB049"</f>
        <v>PB049</v>
      </c>
      <c r="AJ2565" t="str">
        <f>"PB049"</f>
        <v>PB049</v>
      </c>
      <c r="AK2565" t="s">
        <v>46</v>
      </c>
      <c r="AL2565" s="1">
        <v>44999.745127314818</v>
      </c>
      <c r="AM2565" t="s">
        <v>44</v>
      </c>
    </row>
    <row r="2566" spans="1:39" x14ac:dyDescent="0.2">
      <c r="A2566" t="s">
        <v>2453</v>
      </c>
      <c r="B2566" t="s">
        <v>40</v>
      </c>
      <c r="C2566" t="s">
        <v>2344</v>
      </c>
      <c r="D2566" t="s">
        <v>42</v>
      </c>
      <c r="E2566" t="s">
        <v>43</v>
      </c>
      <c r="F2566" t="s">
        <v>44</v>
      </c>
      <c r="G2566" t="s">
        <v>45</v>
      </c>
      <c r="AH2566" t="s">
        <v>42</v>
      </c>
      <c r="AI2566" t="str">
        <f>"66298891112827"</f>
        <v>66298891112827</v>
      </c>
      <c r="AJ2566" t="str">
        <f>"20009"</f>
        <v>20009</v>
      </c>
      <c r="AK2566" t="s">
        <v>46</v>
      </c>
      <c r="AL2566" s="1">
        <v>44816.556840277779</v>
      </c>
      <c r="AM2566" t="s">
        <v>44</v>
      </c>
    </row>
    <row r="2567" spans="1:39" x14ac:dyDescent="0.2">
      <c r="A2567" t="s">
        <v>2454</v>
      </c>
      <c r="B2567" t="s">
        <v>40</v>
      </c>
      <c r="C2567" t="s">
        <v>2344</v>
      </c>
      <c r="D2567" t="s">
        <v>42</v>
      </c>
      <c r="E2567" t="s">
        <v>43</v>
      </c>
      <c r="F2567" t="s">
        <v>44</v>
      </c>
      <c r="G2567" t="s">
        <v>45</v>
      </c>
      <c r="AH2567" t="s">
        <v>42</v>
      </c>
      <c r="AI2567" t="str">
        <f>"RD024"</f>
        <v>RD024</v>
      </c>
      <c r="AJ2567" t="str">
        <f>"RD024"</f>
        <v>RD024</v>
      </c>
      <c r="AK2567" t="s">
        <v>46</v>
      </c>
      <c r="AL2567" s="1">
        <v>45091.950902777775</v>
      </c>
      <c r="AM2567" t="s">
        <v>44</v>
      </c>
    </row>
    <row r="2568" spans="1:39" x14ac:dyDescent="0.2">
      <c r="A2568" t="s">
        <v>2455</v>
      </c>
      <c r="B2568" t="s">
        <v>40</v>
      </c>
      <c r="C2568" t="s">
        <v>2344</v>
      </c>
      <c r="D2568" t="s">
        <v>42</v>
      </c>
      <c r="E2568" t="s">
        <v>43</v>
      </c>
      <c r="F2568" t="s">
        <v>44</v>
      </c>
      <c r="G2568" t="s">
        <v>45</v>
      </c>
      <c r="AH2568" t="s">
        <v>42</v>
      </c>
      <c r="AI2568" t="str">
        <f>"PB008"</f>
        <v>PB008</v>
      </c>
      <c r="AJ2568" t="str">
        <f>"PB008"</f>
        <v>PB008</v>
      </c>
      <c r="AK2568" t="s">
        <v>46</v>
      </c>
      <c r="AL2568" s="1">
        <v>44858.705914351849</v>
      </c>
      <c r="AM2568" t="s">
        <v>44</v>
      </c>
    </row>
    <row r="2569" spans="1:39" x14ac:dyDescent="0.2">
      <c r="A2569" t="s">
        <v>2456</v>
      </c>
      <c r="B2569" t="s">
        <v>40</v>
      </c>
      <c r="C2569" t="s">
        <v>2344</v>
      </c>
      <c r="D2569" t="s">
        <v>42</v>
      </c>
      <c r="E2569" t="s">
        <v>43</v>
      </c>
      <c r="F2569" t="s">
        <v>44</v>
      </c>
      <c r="G2569" t="s">
        <v>45</v>
      </c>
      <c r="AH2569" t="s">
        <v>42</v>
      </c>
      <c r="AI2569" t="str">
        <f>"66298891149797"</f>
        <v>66298891149797</v>
      </c>
      <c r="AJ2569" t="str">
        <f>"PB017"</f>
        <v>PB017</v>
      </c>
      <c r="AK2569" t="s">
        <v>46</v>
      </c>
      <c r="AL2569" s="1">
        <v>44816.556840277779</v>
      </c>
      <c r="AM2569" t="s">
        <v>44</v>
      </c>
    </row>
    <row r="2570" spans="1:39" x14ac:dyDescent="0.2">
      <c r="A2570" t="s">
        <v>2457</v>
      </c>
      <c r="B2570" t="s">
        <v>40</v>
      </c>
      <c r="C2570" t="s">
        <v>2344</v>
      </c>
      <c r="D2570" t="s">
        <v>42</v>
      </c>
      <c r="E2570" t="s">
        <v>43</v>
      </c>
      <c r="F2570" t="s">
        <v>44</v>
      </c>
      <c r="G2570" t="s">
        <v>45</v>
      </c>
      <c r="AH2570" t="s">
        <v>42</v>
      </c>
      <c r="AI2570" t="str">
        <f>"66298891189846"</f>
        <v>66298891189846</v>
      </c>
      <c r="AJ2570" t="str">
        <f>"B014"</f>
        <v>B014</v>
      </c>
      <c r="AK2570" t="s">
        <v>46</v>
      </c>
      <c r="AL2570" s="1">
        <v>44816.556840277779</v>
      </c>
      <c r="AM2570" t="s">
        <v>44</v>
      </c>
    </row>
    <row r="2571" spans="1:39" x14ac:dyDescent="0.2">
      <c r="A2571" t="s">
        <v>2458</v>
      </c>
      <c r="B2571" t="s">
        <v>40</v>
      </c>
      <c r="C2571" t="s">
        <v>2344</v>
      </c>
      <c r="D2571" t="s">
        <v>42</v>
      </c>
      <c r="E2571" t="s">
        <v>43</v>
      </c>
      <c r="F2571" t="s">
        <v>44</v>
      </c>
      <c r="G2571" t="s">
        <v>45</v>
      </c>
      <c r="AH2571" t="s">
        <v>42</v>
      </c>
      <c r="AI2571" t="str">
        <f>"66298891263582"</f>
        <v>66298891263582</v>
      </c>
      <c r="AJ2571" t="str">
        <f>"RD030"</f>
        <v>RD030</v>
      </c>
      <c r="AK2571" t="s">
        <v>46</v>
      </c>
      <c r="AL2571" s="1">
        <v>44816.556851851848</v>
      </c>
      <c r="AM2571" t="s">
        <v>44</v>
      </c>
    </row>
    <row r="2572" spans="1:39" x14ac:dyDescent="0.2">
      <c r="A2572" t="s">
        <v>2459</v>
      </c>
      <c r="B2572" t="s">
        <v>40</v>
      </c>
      <c r="C2572" t="s">
        <v>2344</v>
      </c>
      <c r="D2572" t="s">
        <v>42</v>
      </c>
      <c r="E2572" t="s">
        <v>43</v>
      </c>
      <c r="F2572" t="s">
        <v>44</v>
      </c>
      <c r="G2572" t="s">
        <v>45</v>
      </c>
      <c r="AH2572" t="s">
        <v>42</v>
      </c>
      <c r="AI2572" t="str">
        <f>"66298891303123"</f>
        <v>66298891303123</v>
      </c>
      <c r="AJ2572" t="str">
        <f>"RD031"</f>
        <v>RD031</v>
      </c>
      <c r="AK2572" t="s">
        <v>46</v>
      </c>
      <c r="AL2572" s="1">
        <v>44816.556863425925</v>
      </c>
      <c r="AM2572" t="s">
        <v>44</v>
      </c>
    </row>
    <row r="2573" spans="1:39" x14ac:dyDescent="0.2">
      <c r="A2573" t="s">
        <v>2460</v>
      </c>
      <c r="B2573" t="s">
        <v>40</v>
      </c>
      <c r="C2573" t="s">
        <v>2344</v>
      </c>
      <c r="D2573" t="s">
        <v>42</v>
      </c>
      <c r="E2573" t="s">
        <v>43</v>
      </c>
      <c r="F2573" t="s">
        <v>44</v>
      </c>
      <c r="G2573" t="s">
        <v>45</v>
      </c>
      <c r="AH2573" t="s">
        <v>42</v>
      </c>
      <c r="AI2573" t="str">
        <f>"66298891227504"</f>
        <v>66298891227504</v>
      </c>
      <c r="AJ2573" t="str">
        <f>"RD022"</f>
        <v>RD022</v>
      </c>
      <c r="AK2573" t="s">
        <v>46</v>
      </c>
      <c r="AL2573" s="1">
        <v>44816.556851851848</v>
      </c>
      <c r="AM2573" t="s">
        <v>44</v>
      </c>
    </row>
    <row r="2574" spans="1:39" x14ac:dyDescent="0.2">
      <c r="A2574" t="s">
        <v>2461</v>
      </c>
      <c r="B2574" t="s">
        <v>40</v>
      </c>
      <c r="C2574" t="s">
        <v>2344</v>
      </c>
      <c r="D2574" t="s">
        <v>42</v>
      </c>
      <c r="E2574" t="s">
        <v>43</v>
      </c>
      <c r="F2574" t="s">
        <v>44</v>
      </c>
      <c r="G2574" t="s">
        <v>45</v>
      </c>
      <c r="AH2574" t="s">
        <v>42</v>
      </c>
      <c r="AI2574" t="str">
        <f>"PB013"</f>
        <v>PB013</v>
      </c>
      <c r="AJ2574" t="str">
        <f>"PB013"</f>
        <v>PB013</v>
      </c>
      <c r="AK2574" t="s">
        <v>46</v>
      </c>
      <c r="AL2574" s="1">
        <v>44858.70689814815</v>
      </c>
      <c r="AM2574" t="s">
        <v>44</v>
      </c>
    </row>
    <row r="2575" spans="1:39" x14ac:dyDescent="0.2">
      <c r="A2575" t="s">
        <v>2462</v>
      </c>
      <c r="B2575" t="s">
        <v>40</v>
      </c>
      <c r="C2575" t="s">
        <v>2344</v>
      </c>
      <c r="D2575" t="s">
        <v>42</v>
      </c>
      <c r="E2575" t="s">
        <v>43</v>
      </c>
      <c r="F2575" t="s">
        <v>44</v>
      </c>
      <c r="G2575" t="s">
        <v>45</v>
      </c>
      <c r="AH2575" t="s">
        <v>42</v>
      </c>
      <c r="AI2575" t="str">
        <f>"66298891343433"</f>
        <v>66298891343433</v>
      </c>
      <c r="AJ2575" t="str">
        <f>"33701-KCZ-004"</f>
        <v>33701-KCZ-004</v>
      </c>
      <c r="AK2575" t="s">
        <v>46</v>
      </c>
      <c r="AL2575" s="1">
        <v>44816.556863425925</v>
      </c>
      <c r="AM2575" t="s">
        <v>44</v>
      </c>
    </row>
    <row r="2576" spans="1:39" x14ac:dyDescent="0.2">
      <c r="A2576" t="s">
        <v>2463</v>
      </c>
      <c r="B2576" t="s">
        <v>40</v>
      </c>
      <c r="C2576" t="s">
        <v>2344</v>
      </c>
      <c r="D2576" t="s">
        <v>42</v>
      </c>
      <c r="E2576" t="s">
        <v>43</v>
      </c>
      <c r="F2576" t="s">
        <v>44</v>
      </c>
      <c r="G2576" t="s">
        <v>45</v>
      </c>
      <c r="AH2576" t="s">
        <v>42</v>
      </c>
      <c r="AI2576" t="str">
        <f>"PB021"</f>
        <v>PB021</v>
      </c>
      <c r="AJ2576" t="str">
        <f>"PB021"</f>
        <v>PB021</v>
      </c>
      <c r="AK2576" t="s">
        <v>46</v>
      </c>
      <c r="AL2576" s="1">
        <v>44926.608773148146</v>
      </c>
      <c r="AM2576" t="s">
        <v>44</v>
      </c>
    </row>
    <row r="2577" spans="1:39" x14ac:dyDescent="0.2">
      <c r="A2577" t="s">
        <v>2464</v>
      </c>
      <c r="B2577" t="s">
        <v>40</v>
      </c>
      <c r="C2577" t="s">
        <v>2344</v>
      </c>
      <c r="D2577" t="s">
        <v>42</v>
      </c>
      <c r="E2577" t="s">
        <v>43</v>
      </c>
      <c r="F2577" t="s">
        <v>44</v>
      </c>
      <c r="G2577" t="s">
        <v>45</v>
      </c>
      <c r="AH2577" t="s">
        <v>42</v>
      </c>
      <c r="AI2577" t="str">
        <f>"PB029"</f>
        <v>PB029</v>
      </c>
      <c r="AJ2577" t="str">
        <f>"PB029"</f>
        <v>PB029</v>
      </c>
      <c r="AK2577" t="s">
        <v>46</v>
      </c>
      <c r="AL2577" s="1">
        <v>44890.613599537035</v>
      </c>
      <c r="AM2577" t="s">
        <v>44</v>
      </c>
    </row>
    <row r="2578" spans="1:39" x14ac:dyDescent="0.2">
      <c r="A2578" t="s">
        <v>2465</v>
      </c>
      <c r="B2578" t="s">
        <v>40</v>
      </c>
      <c r="C2578" t="s">
        <v>2388</v>
      </c>
      <c r="D2578" t="s">
        <v>42</v>
      </c>
      <c r="E2578" t="s">
        <v>43</v>
      </c>
      <c r="F2578" t="s">
        <v>44</v>
      </c>
      <c r="G2578" t="s">
        <v>45</v>
      </c>
      <c r="AH2578" t="s">
        <v>42</v>
      </c>
      <c r="AI2578" t="str">
        <f>"66298891386992"</f>
        <v>66298891386992</v>
      </c>
      <c r="AJ2578" t="str">
        <f>"3228"</f>
        <v>3228</v>
      </c>
      <c r="AK2578" t="s">
        <v>46</v>
      </c>
      <c r="AL2578" s="1">
        <v>44816.556863425925</v>
      </c>
      <c r="AM2578" t="s">
        <v>44</v>
      </c>
    </row>
    <row r="2579" spans="1:39" x14ac:dyDescent="0.2">
      <c r="A2579" t="s">
        <v>2466</v>
      </c>
      <c r="B2579" t="s">
        <v>40</v>
      </c>
      <c r="C2579" t="s">
        <v>2388</v>
      </c>
      <c r="D2579" t="s">
        <v>42</v>
      </c>
      <c r="E2579" t="s">
        <v>43</v>
      </c>
      <c r="F2579" t="s">
        <v>44</v>
      </c>
      <c r="G2579" t="s">
        <v>45</v>
      </c>
      <c r="AH2579" t="s">
        <v>42</v>
      </c>
      <c r="AI2579" t="str">
        <f>"66298891425878"</f>
        <v>66298891425878</v>
      </c>
      <c r="AJ2579" t="str">
        <f>"0038A"</f>
        <v>0038A</v>
      </c>
      <c r="AK2579" t="s">
        <v>46</v>
      </c>
      <c r="AL2579" s="1">
        <v>44816.556875000002</v>
      </c>
      <c r="AM2579" t="s">
        <v>44</v>
      </c>
    </row>
    <row r="2580" spans="1:39" x14ac:dyDescent="0.2">
      <c r="A2580" t="s">
        <v>2467</v>
      </c>
      <c r="B2580" t="s">
        <v>40</v>
      </c>
      <c r="C2580" t="s">
        <v>2344</v>
      </c>
      <c r="D2580" t="s">
        <v>42</v>
      </c>
      <c r="E2580" t="s">
        <v>43</v>
      </c>
      <c r="F2580" t="s">
        <v>44</v>
      </c>
      <c r="G2580" t="s">
        <v>45</v>
      </c>
      <c r="AH2580" t="s">
        <v>42</v>
      </c>
      <c r="AI2580" t="str">
        <f>"RF029"</f>
        <v>RF029</v>
      </c>
      <c r="AJ2580" t="str">
        <f>"RF029"</f>
        <v>RF029</v>
      </c>
      <c r="AK2580" t="s">
        <v>46</v>
      </c>
      <c r="AL2580" s="1">
        <v>45092.847997685189</v>
      </c>
      <c r="AM2580" t="s">
        <v>44</v>
      </c>
    </row>
    <row r="2581" spans="1:39" x14ac:dyDescent="0.2">
      <c r="A2581" t="s">
        <v>2468</v>
      </c>
      <c r="B2581" t="s">
        <v>40</v>
      </c>
      <c r="C2581" t="s">
        <v>2344</v>
      </c>
      <c r="D2581" t="s">
        <v>42</v>
      </c>
      <c r="E2581" t="s">
        <v>43</v>
      </c>
      <c r="F2581" t="s">
        <v>44</v>
      </c>
      <c r="G2581" t="s">
        <v>45</v>
      </c>
      <c r="AH2581" t="s">
        <v>42</v>
      </c>
      <c r="AI2581" t="str">
        <f>"RF016"</f>
        <v>RF016</v>
      </c>
      <c r="AJ2581" t="str">
        <f>"RF016"</f>
        <v>RF016</v>
      </c>
      <c r="AK2581" t="s">
        <v>46</v>
      </c>
      <c r="AL2581" s="1">
        <v>45092.862083333333</v>
      </c>
      <c r="AM2581" t="s">
        <v>44</v>
      </c>
    </row>
    <row r="2582" spans="1:39" x14ac:dyDescent="0.2">
      <c r="A2582" t="s">
        <v>2469</v>
      </c>
      <c r="B2582" t="s">
        <v>40</v>
      </c>
      <c r="C2582" t="s">
        <v>2344</v>
      </c>
      <c r="D2582" t="s">
        <v>42</v>
      </c>
      <c r="E2582" t="s">
        <v>43</v>
      </c>
      <c r="F2582" t="s">
        <v>44</v>
      </c>
      <c r="G2582" t="s">
        <v>45</v>
      </c>
      <c r="AH2582" t="s">
        <v>42</v>
      </c>
      <c r="AI2582" t="str">
        <f>"RF025"</f>
        <v>RF025</v>
      </c>
      <c r="AJ2582" t="str">
        <f>"RF025"</f>
        <v>RF025</v>
      </c>
      <c r="AK2582" t="s">
        <v>46</v>
      </c>
      <c r="AL2582" s="1">
        <v>45092.849108796298</v>
      </c>
      <c r="AM2582" t="s">
        <v>44</v>
      </c>
    </row>
    <row r="2583" spans="1:39" x14ac:dyDescent="0.2">
      <c r="A2583" t="s">
        <v>2470</v>
      </c>
      <c r="B2583" t="s">
        <v>40</v>
      </c>
      <c r="C2583" t="s">
        <v>2388</v>
      </c>
      <c r="D2583" t="s">
        <v>42</v>
      </c>
      <c r="E2583" t="s">
        <v>43</v>
      </c>
      <c r="F2583" t="s">
        <v>44</v>
      </c>
      <c r="G2583" t="s">
        <v>45</v>
      </c>
      <c r="AH2583" t="s">
        <v>42</v>
      </c>
      <c r="AI2583" t="str">
        <f>"49CC05"</f>
        <v>49CC05</v>
      </c>
      <c r="AJ2583" t="str">
        <f>"49CC05"</f>
        <v>49CC05</v>
      </c>
      <c r="AK2583" t="s">
        <v>46</v>
      </c>
      <c r="AL2583" s="1">
        <v>44980.854826388888</v>
      </c>
      <c r="AM2583" t="s">
        <v>44</v>
      </c>
    </row>
    <row r="2584" spans="1:39" x14ac:dyDescent="0.2">
      <c r="A2584" t="s">
        <v>2471</v>
      </c>
      <c r="B2584" t="s">
        <v>40</v>
      </c>
      <c r="C2584" t="s">
        <v>2344</v>
      </c>
      <c r="D2584" t="s">
        <v>42</v>
      </c>
      <c r="E2584" t="s">
        <v>43</v>
      </c>
      <c r="F2584" t="s">
        <v>44</v>
      </c>
      <c r="G2584" t="s">
        <v>45</v>
      </c>
      <c r="AH2584" t="s">
        <v>42</v>
      </c>
      <c r="AI2584" t="str">
        <f>"12072-PAR"</f>
        <v>12072-PAR</v>
      </c>
      <c r="AJ2584" t="str">
        <f>"12072-PAR"</f>
        <v>12072-PAR</v>
      </c>
      <c r="AK2584" t="s">
        <v>46</v>
      </c>
      <c r="AL2584" s="1">
        <v>45104.775150462963</v>
      </c>
      <c r="AM2584" t="s">
        <v>44</v>
      </c>
    </row>
    <row r="2585" spans="1:39" x14ac:dyDescent="0.2">
      <c r="A2585" t="s">
        <v>2472</v>
      </c>
      <c r="B2585" t="s">
        <v>40</v>
      </c>
      <c r="C2585" t="s">
        <v>2344</v>
      </c>
      <c r="D2585" t="s">
        <v>42</v>
      </c>
      <c r="E2585" t="s">
        <v>43</v>
      </c>
      <c r="F2585" t="s">
        <v>44</v>
      </c>
      <c r="G2585" t="s">
        <v>45</v>
      </c>
      <c r="AH2585" t="s">
        <v>42</v>
      </c>
      <c r="AI2585" t="str">
        <f>"RF013"</f>
        <v>RF013</v>
      </c>
      <c r="AJ2585" t="str">
        <f>"RF013"</f>
        <v>RF013</v>
      </c>
      <c r="AK2585" t="s">
        <v>46</v>
      </c>
      <c r="AL2585" s="1">
        <v>45092.850451388891</v>
      </c>
      <c r="AM2585" t="s">
        <v>44</v>
      </c>
    </row>
    <row r="2586" spans="1:39" x14ac:dyDescent="0.2">
      <c r="A2586" t="s">
        <v>2473</v>
      </c>
      <c r="B2586" t="s">
        <v>40</v>
      </c>
      <c r="C2586" t="s">
        <v>2344</v>
      </c>
      <c r="D2586" t="s">
        <v>42</v>
      </c>
      <c r="E2586" t="s">
        <v>43</v>
      </c>
      <c r="F2586" t="s">
        <v>44</v>
      </c>
      <c r="G2586" t="s">
        <v>45</v>
      </c>
      <c r="AH2586" t="s">
        <v>42</v>
      </c>
      <c r="AI2586" t="str">
        <f>"RF024"</f>
        <v>RF024</v>
      </c>
      <c r="AJ2586" t="str">
        <f>"RF024"</f>
        <v>RF024</v>
      </c>
      <c r="AK2586" t="s">
        <v>46</v>
      </c>
      <c r="AL2586" s="1">
        <v>45092.855821759258</v>
      </c>
      <c r="AM2586" t="s">
        <v>44</v>
      </c>
    </row>
    <row r="2587" spans="1:39" x14ac:dyDescent="0.2">
      <c r="A2587" t="s">
        <v>2474</v>
      </c>
      <c r="B2587" t="s">
        <v>40</v>
      </c>
      <c r="C2587" t="s">
        <v>2344</v>
      </c>
      <c r="D2587" t="s">
        <v>42</v>
      </c>
      <c r="E2587" t="s">
        <v>43</v>
      </c>
      <c r="F2587" t="s">
        <v>44</v>
      </c>
      <c r="G2587" t="s">
        <v>45</v>
      </c>
      <c r="AH2587" t="s">
        <v>42</v>
      </c>
      <c r="AI2587" t="str">
        <f>"RF021"</f>
        <v>RF021</v>
      </c>
      <c r="AJ2587" t="str">
        <f>"RF021"</f>
        <v>RF021</v>
      </c>
      <c r="AK2587" t="s">
        <v>46</v>
      </c>
      <c r="AL2587" s="1">
        <v>45092.84946759259</v>
      </c>
      <c r="AM2587" t="s">
        <v>44</v>
      </c>
    </row>
    <row r="2588" spans="1:39" x14ac:dyDescent="0.2">
      <c r="A2588" t="s">
        <v>2475</v>
      </c>
      <c r="B2588" t="s">
        <v>40</v>
      </c>
      <c r="C2588" t="s">
        <v>2388</v>
      </c>
      <c r="D2588" t="s">
        <v>42</v>
      </c>
      <c r="E2588" t="s">
        <v>43</v>
      </c>
      <c r="F2588" t="s">
        <v>44</v>
      </c>
      <c r="G2588" t="s">
        <v>45</v>
      </c>
      <c r="AH2588" t="s">
        <v>42</v>
      </c>
      <c r="AI2588" t="str">
        <f>"66298891470234"</f>
        <v>66298891470234</v>
      </c>
      <c r="AJ2588" t="str">
        <f>"RF036"</f>
        <v>RF036</v>
      </c>
      <c r="AK2588" t="s">
        <v>46</v>
      </c>
      <c r="AL2588" s="1">
        <v>44816.556875000002</v>
      </c>
      <c r="AM2588" t="s">
        <v>44</v>
      </c>
    </row>
    <row r="2589" spans="1:39" x14ac:dyDescent="0.2">
      <c r="A2589" t="s">
        <v>2476</v>
      </c>
      <c r="B2589" t="s">
        <v>40</v>
      </c>
      <c r="C2589" t="s">
        <v>2388</v>
      </c>
      <c r="D2589" t="s">
        <v>42</v>
      </c>
      <c r="E2589" t="s">
        <v>43</v>
      </c>
      <c r="F2589" t="s">
        <v>44</v>
      </c>
      <c r="G2589" t="s">
        <v>45</v>
      </c>
      <c r="AH2589" t="s">
        <v>42</v>
      </c>
      <c r="AI2589" t="str">
        <f>"66298891511281"</f>
        <v>66298891511281</v>
      </c>
      <c r="AJ2589" t="str">
        <f>"0152"</f>
        <v>0152</v>
      </c>
      <c r="AK2589" t="s">
        <v>46</v>
      </c>
      <c r="AL2589" s="1">
        <v>44816.556886574072</v>
      </c>
      <c r="AM2589" t="s">
        <v>44</v>
      </c>
    </row>
    <row r="2590" spans="1:39" x14ac:dyDescent="0.2">
      <c r="A2590" t="s">
        <v>2476</v>
      </c>
      <c r="B2590" t="s">
        <v>40</v>
      </c>
      <c r="C2590" t="s">
        <v>2388</v>
      </c>
      <c r="D2590" t="s">
        <v>42</v>
      </c>
      <c r="E2590" t="s">
        <v>43</v>
      </c>
      <c r="F2590" t="s">
        <v>44</v>
      </c>
      <c r="G2590" t="s">
        <v>45</v>
      </c>
      <c r="AH2590" t="s">
        <v>42</v>
      </c>
      <c r="AI2590" t="str">
        <f>"66298891551355"</f>
        <v>66298891551355</v>
      </c>
      <c r="AJ2590" t="str">
        <f>"83037"</f>
        <v>83037</v>
      </c>
      <c r="AK2590" t="s">
        <v>46</v>
      </c>
      <c r="AL2590" s="1">
        <v>44816.556886574072</v>
      </c>
      <c r="AM2590" t="s">
        <v>44</v>
      </c>
    </row>
    <row r="2591" spans="1:39" x14ac:dyDescent="0.2">
      <c r="A2591" t="s">
        <v>2477</v>
      </c>
      <c r="B2591" t="s">
        <v>40</v>
      </c>
      <c r="C2591" t="s">
        <v>2388</v>
      </c>
      <c r="D2591" t="s">
        <v>42</v>
      </c>
      <c r="E2591" t="s">
        <v>43</v>
      </c>
      <c r="F2591" t="s">
        <v>44</v>
      </c>
      <c r="G2591" t="s">
        <v>45</v>
      </c>
      <c r="AH2591" t="s">
        <v>42</v>
      </c>
      <c r="AI2591" t="str">
        <f>"66298891592320"</f>
        <v>66298891592320</v>
      </c>
      <c r="AJ2591" t="str">
        <f>"1433"</f>
        <v>1433</v>
      </c>
      <c r="AK2591" t="s">
        <v>46</v>
      </c>
      <c r="AL2591" s="1">
        <v>44816.556886574072</v>
      </c>
      <c r="AM2591" t="s">
        <v>44</v>
      </c>
    </row>
    <row r="2592" spans="1:39" x14ac:dyDescent="0.2">
      <c r="A2592" t="s">
        <v>2478</v>
      </c>
      <c r="B2592" t="s">
        <v>40</v>
      </c>
      <c r="C2592" t="s">
        <v>2388</v>
      </c>
      <c r="D2592" t="s">
        <v>42</v>
      </c>
      <c r="E2592" t="s">
        <v>43</v>
      </c>
      <c r="F2592" t="s">
        <v>44</v>
      </c>
      <c r="G2592" t="s">
        <v>45</v>
      </c>
      <c r="AH2592" t="s">
        <v>42</v>
      </c>
      <c r="AI2592" t="str">
        <f>"66298891666844"</f>
        <v>66298891666844</v>
      </c>
      <c r="AJ2592" t="str">
        <f>"0145"</f>
        <v>0145</v>
      </c>
      <c r="AK2592" t="s">
        <v>46</v>
      </c>
      <c r="AL2592" s="1">
        <v>44816.556898148148</v>
      </c>
      <c r="AM2592" t="s">
        <v>44</v>
      </c>
    </row>
    <row r="2593" spans="1:39" x14ac:dyDescent="0.2">
      <c r="A2593" t="s">
        <v>2478</v>
      </c>
      <c r="B2593" t="s">
        <v>40</v>
      </c>
      <c r="C2593" t="s">
        <v>2388</v>
      </c>
      <c r="D2593" t="s">
        <v>42</v>
      </c>
      <c r="E2593" t="s">
        <v>43</v>
      </c>
      <c r="F2593" t="s">
        <v>44</v>
      </c>
      <c r="G2593" t="s">
        <v>45</v>
      </c>
      <c r="AH2593" t="s">
        <v>42</v>
      </c>
      <c r="AI2593" t="str">
        <f>"66298891672884"</f>
        <v>66298891672884</v>
      </c>
      <c r="AJ2593" t="str">
        <f>"0028"</f>
        <v>0028</v>
      </c>
      <c r="AK2593" t="s">
        <v>46</v>
      </c>
      <c r="AL2593" s="1">
        <v>44816.556898148148</v>
      </c>
      <c r="AM2593" t="s">
        <v>44</v>
      </c>
    </row>
    <row r="2594" spans="1:39" x14ac:dyDescent="0.2">
      <c r="A2594" t="s">
        <v>2478</v>
      </c>
      <c r="B2594" t="s">
        <v>40</v>
      </c>
      <c r="C2594" t="s">
        <v>2388</v>
      </c>
      <c r="D2594" t="s">
        <v>42</v>
      </c>
      <c r="E2594" t="s">
        <v>43</v>
      </c>
      <c r="F2594" t="s">
        <v>44</v>
      </c>
      <c r="G2594" t="s">
        <v>45</v>
      </c>
      <c r="AH2594" t="s">
        <v>42</v>
      </c>
      <c r="AI2594" t="str">
        <f>"66298891679398"</f>
        <v>66298891679398</v>
      </c>
      <c r="AJ2594" t="str">
        <f>"0114"</f>
        <v>0114</v>
      </c>
      <c r="AK2594" t="s">
        <v>46</v>
      </c>
      <c r="AL2594" s="1">
        <v>44816.556898148148</v>
      </c>
      <c r="AM2594" t="s">
        <v>44</v>
      </c>
    </row>
    <row r="2595" spans="1:39" x14ac:dyDescent="0.2">
      <c r="A2595" t="s">
        <v>2478</v>
      </c>
      <c r="B2595" t="s">
        <v>40</v>
      </c>
      <c r="C2595" t="s">
        <v>2388</v>
      </c>
      <c r="D2595" t="s">
        <v>42</v>
      </c>
      <c r="E2595" t="s">
        <v>43</v>
      </c>
      <c r="F2595" t="s">
        <v>44</v>
      </c>
      <c r="G2595" t="s">
        <v>45</v>
      </c>
      <c r="AH2595" t="s">
        <v>42</v>
      </c>
      <c r="AI2595" t="str">
        <f>"66298891688174"</f>
        <v>66298891688174</v>
      </c>
      <c r="AJ2595" t="str">
        <f>"84953"</f>
        <v>84953</v>
      </c>
      <c r="AK2595" t="s">
        <v>46</v>
      </c>
      <c r="AL2595" s="1">
        <v>44816.556898148148</v>
      </c>
      <c r="AM2595" t="s">
        <v>44</v>
      </c>
    </row>
    <row r="2596" spans="1:39" x14ac:dyDescent="0.2">
      <c r="A2596" t="s">
        <v>2478</v>
      </c>
      <c r="B2596" t="s">
        <v>40</v>
      </c>
      <c r="C2596" t="s">
        <v>2388</v>
      </c>
      <c r="D2596" t="s">
        <v>42</v>
      </c>
      <c r="E2596" t="s">
        <v>43</v>
      </c>
      <c r="F2596" t="s">
        <v>44</v>
      </c>
      <c r="G2596" t="s">
        <v>45</v>
      </c>
      <c r="AH2596" t="s">
        <v>42</v>
      </c>
      <c r="AI2596" t="str">
        <f>"66298891693700"</f>
        <v>66298891693700</v>
      </c>
      <c r="AJ2596" t="str">
        <f>"84961"</f>
        <v>84961</v>
      </c>
      <c r="AK2596" t="s">
        <v>46</v>
      </c>
      <c r="AL2596" s="1">
        <v>44816.556898148148</v>
      </c>
      <c r="AM2596" t="s">
        <v>44</v>
      </c>
    </row>
    <row r="2597" spans="1:39" x14ac:dyDescent="0.2">
      <c r="A2597" t="s">
        <v>2478</v>
      </c>
      <c r="B2597" t="s">
        <v>40</v>
      </c>
      <c r="C2597" t="s">
        <v>2388</v>
      </c>
      <c r="D2597" t="s">
        <v>42</v>
      </c>
      <c r="E2597" t="s">
        <v>43</v>
      </c>
      <c r="F2597" t="s">
        <v>44</v>
      </c>
      <c r="G2597" t="s">
        <v>45</v>
      </c>
      <c r="AH2597" t="s">
        <v>42</v>
      </c>
      <c r="AI2597" t="str">
        <f>"66298891698839"</f>
        <v>66298891698839</v>
      </c>
      <c r="AJ2597" t="str">
        <f>"84958"</f>
        <v>84958</v>
      </c>
      <c r="AK2597" t="s">
        <v>46</v>
      </c>
      <c r="AL2597" s="1">
        <v>44816.556898148148</v>
      </c>
      <c r="AM2597" t="s">
        <v>44</v>
      </c>
    </row>
    <row r="2598" spans="1:39" x14ac:dyDescent="0.2">
      <c r="A2598" t="s">
        <v>2478</v>
      </c>
      <c r="B2598" t="s">
        <v>40</v>
      </c>
      <c r="C2598" t="s">
        <v>2388</v>
      </c>
      <c r="D2598" t="s">
        <v>42</v>
      </c>
      <c r="E2598" t="s">
        <v>43</v>
      </c>
      <c r="F2598" t="s">
        <v>44</v>
      </c>
      <c r="G2598" t="s">
        <v>45</v>
      </c>
      <c r="AH2598" t="s">
        <v>42</v>
      </c>
      <c r="AI2598" t="str">
        <f>"66298891704600"</f>
        <v>66298891704600</v>
      </c>
      <c r="AJ2598" t="str">
        <f>"84962"</f>
        <v>84962</v>
      </c>
      <c r="AK2598" t="s">
        <v>46</v>
      </c>
      <c r="AL2598" s="1">
        <v>44816.556909722225</v>
      </c>
      <c r="AM2598" t="s">
        <v>44</v>
      </c>
    </row>
    <row r="2599" spans="1:39" x14ac:dyDescent="0.2">
      <c r="A2599" t="s">
        <v>2478</v>
      </c>
      <c r="B2599" t="s">
        <v>40</v>
      </c>
      <c r="C2599" t="s">
        <v>2388</v>
      </c>
      <c r="D2599" t="s">
        <v>42</v>
      </c>
      <c r="E2599" t="s">
        <v>43</v>
      </c>
      <c r="F2599" t="s">
        <v>44</v>
      </c>
      <c r="G2599" t="s">
        <v>45</v>
      </c>
      <c r="AH2599" t="s">
        <v>42</v>
      </c>
      <c r="AI2599" t="str">
        <f>"66298891709689"</f>
        <v>66298891709689</v>
      </c>
      <c r="AJ2599" t="str">
        <f>"84959"</f>
        <v>84959</v>
      </c>
      <c r="AK2599" t="s">
        <v>46</v>
      </c>
      <c r="AL2599" s="1">
        <v>44816.556909722225</v>
      </c>
      <c r="AM2599" t="s">
        <v>44</v>
      </c>
    </row>
    <row r="2600" spans="1:39" x14ac:dyDescent="0.2">
      <c r="A2600" t="s">
        <v>2478</v>
      </c>
      <c r="B2600" t="s">
        <v>40</v>
      </c>
      <c r="C2600" t="s">
        <v>2388</v>
      </c>
      <c r="D2600" t="s">
        <v>42</v>
      </c>
      <c r="E2600" t="s">
        <v>43</v>
      </c>
      <c r="F2600" t="s">
        <v>44</v>
      </c>
      <c r="G2600" t="s">
        <v>45</v>
      </c>
      <c r="AH2600" t="s">
        <v>42</v>
      </c>
      <c r="AI2600" t="str">
        <f>"66298891714033"</f>
        <v>66298891714033</v>
      </c>
      <c r="AJ2600" t="str">
        <f>"RE009"</f>
        <v>RE009</v>
      </c>
      <c r="AK2600" t="s">
        <v>46</v>
      </c>
      <c r="AL2600" s="1">
        <v>44816.556909722225</v>
      </c>
      <c r="AM2600" t="s">
        <v>44</v>
      </c>
    </row>
    <row r="2601" spans="1:39" x14ac:dyDescent="0.2">
      <c r="A2601" t="s">
        <v>2478</v>
      </c>
      <c r="B2601" t="s">
        <v>40</v>
      </c>
      <c r="C2601" t="s">
        <v>2388</v>
      </c>
      <c r="D2601" t="s">
        <v>42</v>
      </c>
      <c r="E2601" t="s">
        <v>43</v>
      </c>
      <c r="F2601" t="s">
        <v>44</v>
      </c>
      <c r="G2601" t="s">
        <v>45</v>
      </c>
      <c r="AH2601" t="s">
        <v>42</v>
      </c>
      <c r="AI2601" t="str">
        <f>"66298891720280"</f>
        <v>66298891720280</v>
      </c>
      <c r="AJ2601" t="str">
        <f>"RE010"</f>
        <v>RE010</v>
      </c>
      <c r="AK2601" t="s">
        <v>46</v>
      </c>
      <c r="AL2601" s="1">
        <v>44816.556909722225</v>
      </c>
      <c r="AM2601" t="s">
        <v>44</v>
      </c>
    </row>
    <row r="2602" spans="1:39" x14ac:dyDescent="0.2">
      <c r="A2602" t="s">
        <v>2478</v>
      </c>
      <c r="B2602" t="s">
        <v>40</v>
      </c>
      <c r="C2602" t="s">
        <v>2388</v>
      </c>
      <c r="D2602" t="s">
        <v>42</v>
      </c>
      <c r="E2602" t="s">
        <v>43</v>
      </c>
      <c r="F2602" t="s">
        <v>44</v>
      </c>
      <c r="G2602" t="s">
        <v>45</v>
      </c>
      <c r="AH2602" t="s">
        <v>42</v>
      </c>
      <c r="AI2602" t="str">
        <f>"66298891725473"</f>
        <v>66298891725473</v>
      </c>
      <c r="AJ2602" t="str">
        <f>"RE014"</f>
        <v>RE014</v>
      </c>
      <c r="AK2602" t="s">
        <v>46</v>
      </c>
      <c r="AL2602" s="1">
        <v>44816.556909722225</v>
      </c>
      <c r="AM2602" t="s">
        <v>44</v>
      </c>
    </row>
    <row r="2603" spans="1:39" x14ac:dyDescent="0.2">
      <c r="A2603" t="s">
        <v>2478</v>
      </c>
      <c r="B2603" t="s">
        <v>40</v>
      </c>
      <c r="C2603" t="s">
        <v>2388</v>
      </c>
      <c r="D2603" t="s">
        <v>42</v>
      </c>
      <c r="E2603" t="s">
        <v>43</v>
      </c>
      <c r="F2603" t="s">
        <v>44</v>
      </c>
      <c r="G2603" t="s">
        <v>45</v>
      </c>
      <c r="AH2603" t="s">
        <v>42</v>
      </c>
      <c r="AI2603" t="str">
        <f>"66298891908237"</f>
        <v>66298891908237</v>
      </c>
      <c r="AJ2603" t="str">
        <f>"556"</f>
        <v>556</v>
      </c>
      <c r="AK2603" t="s">
        <v>46</v>
      </c>
      <c r="AL2603" s="1">
        <v>44816.556932870371</v>
      </c>
      <c r="AM2603" t="s">
        <v>44</v>
      </c>
    </row>
    <row r="2604" spans="1:39" x14ac:dyDescent="0.2">
      <c r="A2604" t="s">
        <v>2478</v>
      </c>
      <c r="B2604" t="s">
        <v>40</v>
      </c>
      <c r="C2604" t="s">
        <v>2344</v>
      </c>
      <c r="D2604" t="s">
        <v>42</v>
      </c>
      <c r="E2604" t="s">
        <v>43</v>
      </c>
      <c r="F2604" t="s">
        <v>44</v>
      </c>
      <c r="G2604" t="s">
        <v>45</v>
      </c>
      <c r="AH2604" t="s">
        <v>42</v>
      </c>
      <c r="AI2604" t="str">
        <f>"55003"</f>
        <v>55003</v>
      </c>
      <c r="AJ2604" t="str">
        <f>"55003"</f>
        <v>55003</v>
      </c>
      <c r="AK2604" t="s">
        <v>46</v>
      </c>
      <c r="AL2604" s="1">
        <v>45091.943958333337</v>
      </c>
      <c r="AM2604" t="s">
        <v>44</v>
      </c>
    </row>
    <row r="2605" spans="1:39" x14ac:dyDescent="0.2">
      <c r="A2605" t="s">
        <v>2478</v>
      </c>
      <c r="B2605" t="s">
        <v>40</v>
      </c>
      <c r="C2605" t="s">
        <v>2344</v>
      </c>
      <c r="D2605" t="s">
        <v>42</v>
      </c>
      <c r="E2605" t="s">
        <v>43</v>
      </c>
      <c r="F2605" t="s">
        <v>44</v>
      </c>
      <c r="G2605" t="s">
        <v>45</v>
      </c>
      <c r="AH2605" t="s">
        <v>42</v>
      </c>
      <c r="AI2605" t="str">
        <f>"134353"</f>
        <v>134353</v>
      </c>
      <c r="AJ2605" t="str">
        <f>"134353"</f>
        <v>134353</v>
      </c>
      <c r="AK2605" t="s">
        <v>46</v>
      </c>
      <c r="AL2605" s="1">
        <v>45091.951770833337</v>
      </c>
      <c r="AM2605" t="s">
        <v>44</v>
      </c>
    </row>
    <row r="2606" spans="1:39" x14ac:dyDescent="0.2">
      <c r="A2606" t="s">
        <v>2478</v>
      </c>
      <c r="B2606" t="s">
        <v>40</v>
      </c>
      <c r="C2606" t="s">
        <v>2344</v>
      </c>
      <c r="D2606" t="s">
        <v>42</v>
      </c>
      <c r="E2606" t="s">
        <v>43</v>
      </c>
      <c r="F2606" t="s">
        <v>44</v>
      </c>
      <c r="G2606" t="s">
        <v>45</v>
      </c>
      <c r="AH2606" t="s">
        <v>42</v>
      </c>
      <c r="AI2606" t="str">
        <f>"136795"</f>
        <v>136795</v>
      </c>
      <c r="AJ2606" t="str">
        <f>"136795"</f>
        <v>136795</v>
      </c>
      <c r="AK2606" t="s">
        <v>46</v>
      </c>
      <c r="AL2606" s="1">
        <v>45091.952268518522</v>
      </c>
      <c r="AM2606" t="s">
        <v>44</v>
      </c>
    </row>
    <row r="2607" spans="1:39" x14ac:dyDescent="0.2">
      <c r="A2607" t="s">
        <v>2478</v>
      </c>
      <c r="B2607" t="s">
        <v>40</v>
      </c>
      <c r="C2607" t="s">
        <v>2344</v>
      </c>
      <c r="D2607" t="s">
        <v>42</v>
      </c>
      <c r="E2607" t="s">
        <v>43</v>
      </c>
      <c r="F2607" t="s">
        <v>44</v>
      </c>
      <c r="G2607" t="s">
        <v>45</v>
      </c>
      <c r="AH2607" t="s">
        <v>42</v>
      </c>
      <c r="AI2607" t="str">
        <f>"RE013"</f>
        <v>RE013</v>
      </c>
      <c r="AJ2607" t="str">
        <f>"RE013"</f>
        <v>RE013</v>
      </c>
      <c r="AK2607" t="s">
        <v>46</v>
      </c>
      <c r="AL2607" s="1">
        <v>45091.952789351853</v>
      </c>
      <c r="AM2607" t="s">
        <v>44</v>
      </c>
    </row>
    <row r="2608" spans="1:39" x14ac:dyDescent="0.2">
      <c r="A2608" t="s">
        <v>2478</v>
      </c>
      <c r="B2608" t="s">
        <v>40</v>
      </c>
      <c r="C2608" t="s">
        <v>2344</v>
      </c>
      <c r="D2608" t="s">
        <v>42</v>
      </c>
      <c r="E2608" t="s">
        <v>43</v>
      </c>
      <c r="F2608" t="s">
        <v>44</v>
      </c>
      <c r="G2608" t="s">
        <v>45</v>
      </c>
      <c r="AH2608" t="s">
        <v>42</v>
      </c>
      <c r="AI2608" t="str">
        <f>"RE074"</f>
        <v>RE074</v>
      </c>
      <c r="AJ2608" t="str">
        <f>"RE074"</f>
        <v>RE074</v>
      </c>
      <c r="AK2608" t="s">
        <v>46</v>
      </c>
      <c r="AL2608" s="1">
        <v>45092.842372685183</v>
      </c>
      <c r="AM2608" t="s">
        <v>44</v>
      </c>
    </row>
    <row r="2609" spans="1:39" x14ac:dyDescent="0.2">
      <c r="A2609" t="s">
        <v>2478</v>
      </c>
      <c r="B2609" t="s">
        <v>40</v>
      </c>
      <c r="C2609" t="s">
        <v>2344</v>
      </c>
      <c r="D2609" t="s">
        <v>42</v>
      </c>
      <c r="E2609" t="s">
        <v>43</v>
      </c>
      <c r="F2609" t="s">
        <v>44</v>
      </c>
      <c r="G2609" t="s">
        <v>45</v>
      </c>
      <c r="AH2609" t="s">
        <v>42</v>
      </c>
      <c r="AI2609" t="str">
        <f>"136817"</f>
        <v>136817</v>
      </c>
      <c r="AJ2609" t="str">
        <f>"136817"</f>
        <v>136817</v>
      </c>
      <c r="AK2609" t="s">
        <v>46</v>
      </c>
      <c r="AL2609" s="1">
        <v>45092.842847222222</v>
      </c>
      <c r="AM2609" t="s">
        <v>44</v>
      </c>
    </row>
    <row r="2610" spans="1:39" x14ac:dyDescent="0.2">
      <c r="A2610" t="s">
        <v>2478</v>
      </c>
      <c r="B2610" t="s">
        <v>40</v>
      </c>
      <c r="C2610" t="s">
        <v>2344</v>
      </c>
      <c r="D2610" t="s">
        <v>42</v>
      </c>
      <c r="E2610" t="s">
        <v>43</v>
      </c>
      <c r="F2610" t="s">
        <v>44</v>
      </c>
      <c r="G2610" t="s">
        <v>45</v>
      </c>
      <c r="AH2610" t="s">
        <v>42</v>
      </c>
      <c r="AI2610" t="str">
        <f>"2116"</f>
        <v>2116</v>
      </c>
      <c r="AJ2610" t="str">
        <f>"2116"</f>
        <v>2116</v>
      </c>
      <c r="AK2610" t="s">
        <v>46</v>
      </c>
      <c r="AL2610" s="1">
        <v>45092.843541666669</v>
      </c>
      <c r="AM2610" t="s">
        <v>44</v>
      </c>
    </row>
    <row r="2611" spans="1:39" x14ac:dyDescent="0.2">
      <c r="A2611" t="s">
        <v>2478</v>
      </c>
      <c r="B2611" t="s">
        <v>40</v>
      </c>
      <c r="C2611" t="s">
        <v>2344</v>
      </c>
      <c r="D2611" t="s">
        <v>42</v>
      </c>
      <c r="E2611" t="s">
        <v>43</v>
      </c>
      <c r="F2611" t="s">
        <v>44</v>
      </c>
      <c r="G2611" t="s">
        <v>45</v>
      </c>
      <c r="AH2611" t="s">
        <v>42</v>
      </c>
      <c r="AI2611" t="str">
        <f>"55002"</f>
        <v>55002</v>
      </c>
      <c r="AJ2611" t="str">
        <f>"55002"</f>
        <v>55002</v>
      </c>
      <c r="AK2611" t="s">
        <v>46</v>
      </c>
      <c r="AL2611" s="1">
        <v>45092.844178240739</v>
      </c>
      <c r="AM2611" t="s">
        <v>44</v>
      </c>
    </row>
    <row r="2612" spans="1:39" x14ac:dyDescent="0.2">
      <c r="A2612" t="s">
        <v>2478</v>
      </c>
      <c r="B2612" t="s">
        <v>40</v>
      </c>
      <c r="C2612" t="s">
        <v>2344</v>
      </c>
      <c r="D2612" t="s">
        <v>42</v>
      </c>
      <c r="E2612" t="s">
        <v>43</v>
      </c>
      <c r="F2612" t="s">
        <v>44</v>
      </c>
      <c r="G2612" t="s">
        <v>45</v>
      </c>
      <c r="AH2612" t="s">
        <v>42</v>
      </c>
      <c r="AI2612" t="str">
        <f>"55004"</f>
        <v>55004</v>
      </c>
      <c r="AJ2612" t="str">
        <f>"55004"</f>
        <v>55004</v>
      </c>
      <c r="AK2612" t="s">
        <v>46</v>
      </c>
      <c r="AL2612" s="1">
        <v>45092.84443287037</v>
      </c>
      <c r="AM2612" t="s">
        <v>44</v>
      </c>
    </row>
    <row r="2613" spans="1:39" x14ac:dyDescent="0.2">
      <c r="A2613" t="s">
        <v>2478</v>
      </c>
      <c r="B2613" t="s">
        <v>40</v>
      </c>
      <c r="C2613" t="s">
        <v>2344</v>
      </c>
      <c r="D2613" t="s">
        <v>42</v>
      </c>
      <c r="E2613" t="s">
        <v>43</v>
      </c>
      <c r="F2613" t="s">
        <v>44</v>
      </c>
      <c r="G2613" t="s">
        <v>45</v>
      </c>
      <c r="AH2613" t="s">
        <v>42</v>
      </c>
      <c r="AI2613" t="str">
        <f>"55005"</f>
        <v>55005</v>
      </c>
      <c r="AJ2613" t="str">
        <f>"55005"</f>
        <v>55005</v>
      </c>
      <c r="AK2613" t="s">
        <v>46</v>
      </c>
      <c r="AL2613" s="1">
        <v>45092.844641203701</v>
      </c>
      <c r="AM2613" t="s">
        <v>44</v>
      </c>
    </row>
    <row r="2614" spans="1:39" x14ac:dyDescent="0.2">
      <c r="A2614" t="s">
        <v>2478</v>
      </c>
      <c r="B2614" t="s">
        <v>40</v>
      </c>
      <c r="C2614" t="s">
        <v>2344</v>
      </c>
      <c r="D2614" t="s">
        <v>42</v>
      </c>
      <c r="E2614" t="s">
        <v>43</v>
      </c>
      <c r="F2614" t="s">
        <v>44</v>
      </c>
      <c r="G2614" t="s">
        <v>45</v>
      </c>
      <c r="AH2614" t="s">
        <v>42</v>
      </c>
      <c r="AI2614" t="str">
        <f>"121604"</f>
        <v>121604</v>
      </c>
      <c r="AJ2614" t="str">
        <f>"121604"</f>
        <v>121604</v>
      </c>
      <c r="AK2614" t="s">
        <v>46</v>
      </c>
      <c r="AL2614" s="1">
        <v>45092.844976851855</v>
      </c>
      <c r="AM2614" t="s">
        <v>44</v>
      </c>
    </row>
    <row r="2615" spans="1:39" x14ac:dyDescent="0.2">
      <c r="A2615" t="s">
        <v>2478</v>
      </c>
      <c r="B2615" t="s">
        <v>40</v>
      </c>
      <c r="C2615" t="s">
        <v>2344</v>
      </c>
      <c r="D2615" t="s">
        <v>42</v>
      </c>
      <c r="E2615" t="s">
        <v>43</v>
      </c>
      <c r="F2615" t="s">
        <v>44</v>
      </c>
      <c r="G2615" t="s">
        <v>45</v>
      </c>
      <c r="AH2615" t="s">
        <v>42</v>
      </c>
      <c r="AI2615" t="str">
        <f>"13551"</f>
        <v>13551</v>
      </c>
      <c r="AJ2615" t="str">
        <f>"13551"</f>
        <v>13551</v>
      </c>
      <c r="AK2615" t="s">
        <v>46</v>
      </c>
      <c r="AL2615" s="1">
        <v>45092.858703703707</v>
      </c>
      <c r="AM2615" t="s">
        <v>44</v>
      </c>
    </row>
    <row r="2616" spans="1:39" x14ac:dyDescent="0.2">
      <c r="A2616" t="s">
        <v>2478</v>
      </c>
      <c r="B2616" t="s">
        <v>40</v>
      </c>
      <c r="C2616" t="s">
        <v>2344</v>
      </c>
      <c r="D2616" t="s">
        <v>42</v>
      </c>
      <c r="E2616" t="s">
        <v>43</v>
      </c>
      <c r="F2616" t="s">
        <v>44</v>
      </c>
      <c r="G2616" t="s">
        <v>45</v>
      </c>
      <c r="AH2616" t="s">
        <v>42</v>
      </c>
      <c r="AI2616" t="str">
        <f>"13552"</f>
        <v>13552</v>
      </c>
      <c r="AJ2616" t="str">
        <f>"13552"</f>
        <v>13552</v>
      </c>
      <c r="AK2616" t="s">
        <v>46</v>
      </c>
      <c r="AL2616" s="1">
        <v>45092.859027777777</v>
      </c>
      <c r="AM2616" t="s">
        <v>44</v>
      </c>
    </row>
    <row r="2617" spans="1:39" x14ac:dyDescent="0.2">
      <c r="A2617" t="s">
        <v>2478</v>
      </c>
      <c r="B2617" t="s">
        <v>40</v>
      </c>
      <c r="C2617" t="s">
        <v>2344</v>
      </c>
      <c r="D2617" t="s">
        <v>42</v>
      </c>
      <c r="E2617" t="s">
        <v>43</v>
      </c>
      <c r="F2617" t="s">
        <v>44</v>
      </c>
      <c r="G2617" t="s">
        <v>45</v>
      </c>
      <c r="AH2617" t="s">
        <v>42</v>
      </c>
      <c r="AI2617" t="str">
        <f>"RE030"</f>
        <v>RE030</v>
      </c>
      <c r="AJ2617" t="str">
        <f>"RE030"</f>
        <v>RE030</v>
      </c>
      <c r="AK2617" t="s">
        <v>46</v>
      </c>
      <c r="AL2617" s="1">
        <v>45092.859409722223</v>
      </c>
      <c r="AM2617" t="s">
        <v>44</v>
      </c>
    </row>
    <row r="2618" spans="1:39" x14ac:dyDescent="0.2">
      <c r="A2618" t="s">
        <v>2478</v>
      </c>
      <c r="B2618" t="s">
        <v>40</v>
      </c>
      <c r="C2618" t="s">
        <v>2344</v>
      </c>
      <c r="D2618" t="s">
        <v>42</v>
      </c>
      <c r="E2618" t="s">
        <v>43</v>
      </c>
      <c r="F2618" t="s">
        <v>44</v>
      </c>
      <c r="G2618" t="s">
        <v>45</v>
      </c>
      <c r="AH2618" t="s">
        <v>42</v>
      </c>
      <c r="AI2618" t="str">
        <f>"RE037"</f>
        <v>RE037</v>
      </c>
      <c r="AJ2618" t="str">
        <f>"RE037"</f>
        <v>RE037</v>
      </c>
      <c r="AK2618" t="s">
        <v>46</v>
      </c>
      <c r="AL2618" s="1">
        <v>45092.860173611109</v>
      </c>
      <c r="AM2618" t="s">
        <v>44</v>
      </c>
    </row>
    <row r="2619" spans="1:39" x14ac:dyDescent="0.2">
      <c r="A2619" t="s">
        <v>2478</v>
      </c>
      <c r="B2619" t="s">
        <v>40</v>
      </c>
      <c r="C2619" t="s">
        <v>2344</v>
      </c>
      <c r="D2619" t="s">
        <v>42</v>
      </c>
      <c r="E2619" t="s">
        <v>43</v>
      </c>
      <c r="F2619" t="s">
        <v>44</v>
      </c>
      <c r="G2619" t="s">
        <v>45</v>
      </c>
      <c r="AH2619" t="s">
        <v>42</v>
      </c>
      <c r="AI2619" t="str">
        <f>"RE039"</f>
        <v>RE039</v>
      </c>
      <c r="AJ2619" t="str">
        <f>"RE039"</f>
        <v>RE039</v>
      </c>
      <c r="AK2619" t="s">
        <v>46</v>
      </c>
      <c r="AL2619" s="1">
        <v>45092.860555555555</v>
      </c>
      <c r="AM2619" t="s">
        <v>44</v>
      </c>
    </row>
    <row r="2620" spans="1:39" x14ac:dyDescent="0.2">
      <c r="A2620" t="s">
        <v>2478</v>
      </c>
      <c r="B2620" t="s">
        <v>40</v>
      </c>
      <c r="C2620" t="s">
        <v>2344</v>
      </c>
      <c r="D2620" t="s">
        <v>42</v>
      </c>
      <c r="E2620" t="s">
        <v>43</v>
      </c>
      <c r="F2620" t="s">
        <v>44</v>
      </c>
      <c r="G2620" t="s">
        <v>45</v>
      </c>
      <c r="AH2620" t="s">
        <v>42</v>
      </c>
      <c r="AI2620" t="str">
        <f>"RE040"</f>
        <v>RE040</v>
      </c>
      <c r="AJ2620" t="str">
        <f>"RE040"</f>
        <v>RE040</v>
      </c>
      <c r="AK2620" t="s">
        <v>46</v>
      </c>
      <c r="AL2620" s="1">
        <v>45092.86109953704</v>
      </c>
      <c r="AM2620" t="s">
        <v>44</v>
      </c>
    </row>
    <row r="2621" spans="1:39" x14ac:dyDescent="0.2">
      <c r="A2621" t="s">
        <v>2478</v>
      </c>
      <c r="B2621" t="s">
        <v>40</v>
      </c>
      <c r="C2621" t="s">
        <v>2344</v>
      </c>
      <c r="D2621" t="s">
        <v>42</v>
      </c>
      <c r="E2621" t="s">
        <v>43</v>
      </c>
      <c r="F2621" t="s">
        <v>44</v>
      </c>
      <c r="G2621" t="s">
        <v>45</v>
      </c>
      <c r="AH2621" t="s">
        <v>42</v>
      </c>
      <c r="AI2621" t="str">
        <f>"RE043"</f>
        <v>RE043</v>
      </c>
      <c r="AJ2621" t="str">
        <f>"RE043"</f>
        <v>RE043</v>
      </c>
      <c r="AK2621" t="s">
        <v>46</v>
      </c>
      <c r="AL2621" s="1">
        <v>45092.861388888887</v>
      </c>
      <c r="AM2621" t="s">
        <v>44</v>
      </c>
    </row>
    <row r="2622" spans="1:39" x14ac:dyDescent="0.2">
      <c r="A2622" t="s">
        <v>2478</v>
      </c>
      <c r="B2622" t="s">
        <v>40</v>
      </c>
      <c r="C2622" t="s">
        <v>2344</v>
      </c>
      <c r="D2622" t="s">
        <v>42</v>
      </c>
      <c r="E2622" t="s">
        <v>43</v>
      </c>
      <c r="F2622" t="s">
        <v>44</v>
      </c>
      <c r="G2622" t="s">
        <v>45</v>
      </c>
      <c r="AH2622" t="s">
        <v>42</v>
      </c>
      <c r="AI2622" t="str">
        <f>"3156"</f>
        <v>3156</v>
      </c>
      <c r="AJ2622" t="str">
        <f>"3156"</f>
        <v>3156</v>
      </c>
      <c r="AK2622" t="s">
        <v>46</v>
      </c>
      <c r="AL2622" s="1">
        <v>45092.870972222219</v>
      </c>
      <c r="AM2622" t="s">
        <v>44</v>
      </c>
    </row>
    <row r="2623" spans="1:39" x14ac:dyDescent="0.2">
      <c r="A2623" t="s">
        <v>2478</v>
      </c>
      <c r="B2623" t="s">
        <v>40</v>
      </c>
      <c r="C2623" t="s">
        <v>2344</v>
      </c>
      <c r="D2623" t="s">
        <v>42</v>
      </c>
      <c r="E2623" t="s">
        <v>43</v>
      </c>
      <c r="F2623" t="s">
        <v>44</v>
      </c>
      <c r="G2623" t="s">
        <v>45</v>
      </c>
      <c r="AH2623" t="s">
        <v>42</v>
      </c>
      <c r="AI2623" t="str">
        <f>"55001"</f>
        <v>55001</v>
      </c>
      <c r="AJ2623" t="str">
        <f>"55001"</f>
        <v>55001</v>
      </c>
      <c r="AK2623" t="s">
        <v>46</v>
      </c>
      <c r="AL2623" s="1">
        <v>45093.977743055555</v>
      </c>
      <c r="AM2623" t="s">
        <v>44</v>
      </c>
    </row>
    <row r="2624" spans="1:39" x14ac:dyDescent="0.2">
      <c r="A2624" t="s">
        <v>2478</v>
      </c>
      <c r="B2624" t="s">
        <v>40</v>
      </c>
      <c r="C2624" t="s">
        <v>2344</v>
      </c>
      <c r="D2624" t="s">
        <v>42</v>
      </c>
      <c r="E2624" t="s">
        <v>43</v>
      </c>
      <c r="F2624" t="s">
        <v>44</v>
      </c>
      <c r="G2624" t="s">
        <v>45</v>
      </c>
      <c r="AH2624" t="s">
        <v>42</v>
      </c>
      <c r="AI2624" t="str">
        <f>"120724"</f>
        <v>120724</v>
      </c>
      <c r="AJ2624" t="str">
        <f>"120724"</f>
        <v>120724</v>
      </c>
      <c r="AK2624" t="s">
        <v>46</v>
      </c>
      <c r="AL2624" s="1">
        <v>45132.688310185185</v>
      </c>
      <c r="AM2624" t="s">
        <v>44</v>
      </c>
    </row>
    <row r="2625" spans="1:39" x14ac:dyDescent="0.2">
      <c r="A2625" t="s">
        <v>2478</v>
      </c>
      <c r="B2625" t="s">
        <v>40</v>
      </c>
      <c r="C2625" t="s">
        <v>2344</v>
      </c>
      <c r="D2625" t="s">
        <v>42</v>
      </c>
      <c r="E2625" t="s">
        <v>43</v>
      </c>
      <c r="F2625" t="s">
        <v>44</v>
      </c>
      <c r="G2625" t="s">
        <v>45</v>
      </c>
      <c r="AH2625" t="s">
        <v>42</v>
      </c>
      <c r="AI2625" t="str">
        <f>"120713"</f>
        <v>120713</v>
      </c>
      <c r="AJ2625" t="str">
        <f>"120713"</f>
        <v>120713</v>
      </c>
      <c r="AK2625" t="s">
        <v>46</v>
      </c>
      <c r="AL2625" s="1">
        <v>45132.688877314817</v>
      </c>
      <c r="AM2625" t="s">
        <v>44</v>
      </c>
    </row>
    <row r="2626" spans="1:39" x14ac:dyDescent="0.2">
      <c r="A2626" t="s">
        <v>2478</v>
      </c>
      <c r="B2626" t="s">
        <v>40</v>
      </c>
      <c r="C2626" t="s">
        <v>2344</v>
      </c>
      <c r="D2626" t="s">
        <v>42</v>
      </c>
      <c r="E2626" t="s">
        <v>43</v>
      </c>
      <c r="F2626" t="s">
        <v>44</v>
      </c>
      <c r="G2626" t="s">
        <v>45</v>
      </c>
      <c r="AH2626" t="s">
        <v>42</v>
      </c>
      <c r="AI2626" t="str">
        <f>"136784"</f>
        <v>136784</v>
      </c>
      <c r="AJ2626" t="str">
        <f>"136784"</f>
        <v>136784</v>
      </c>
      <c r="AK2626" t="s">
        <v>46</v>
      </c>
      <c r="AL2626" s="1">
        <v>45132.689560185187</v>
      </c>
      <c r="AM2626" t="s">
        <v>44</v>
      </c>
    </row>
    <row r="2627" spans="1:39" x14ac:dyDescent="0.2">
      <c r="A2627" t="s">
        <v>2479</v>
      </c>
      <c r="B2627" t="s">
        <v>40</v>
      </c>
      <c r="C2627" t="s">
        <v>2388</v>
      </c>
      <c r="D2627" t="s">
        <v>42</v>
      </c>
      <c r="E2627" t="s">
        <v>43</v>
      </c>
      <c r="F2627" t="s">
        <v>44</v>
      </c>
      <c r="G2627" t="s">
        <v>45</v>
      </c>
      <c r="AH2627" t="s">
        <v>42</v>
      </c>
      <c r="AI2627" t="str">
        <f>"66298891949160"</f>
        <v>66298891949160</v>
      </c>
      <c r="AJ2627" t="str">
        <f>"81236"</f>
        <v>81236</v>
      </c>
      <c r="AK2627" t="s">
        <v>46</v>
      </c>
      <c r="AL2627" s="1">
        <v>44816.556932870371</v>
      </c>
      <c r="AM2627" t="s">
        <v>44</v>
      </c>
    </row>
    <row r="2628" spans="1:39" x14ac:dyDescent="0.2">
      <c r="A2628" t="s">
        <v>2480</v>
      </c>
      <c r="B2628" t="s">
        <v>40</v>
      </c>
      <c r="C2628" t="s">
        <v>2344</v>
      </c>
      <c r="D2628" t="s">
        <v>42</v>
      </c>
      <c r="E2628" t="s">
        <v>43</v>
      </c>
      <c r="F2628" t="s">
        <v>44</v>
      </c>
      <c r="G2628" t="s">
        <v>45</v>
      </c>
      <c r="AH2628" t="s">
        <v>42</v>
      </c>
      <c r="AI2628" t="str">
        <f>"RF035"</f>
        <v>RF035</v>
      </c>
      <c r="AJ2628" t="str">
        <f>"RF035"</f>
        <v>RF035</v>
      </c>
      <c r="AK2628" t="s">
        <v>46</v>
      </c>
      <c r="AL2628" s="1">
        <v>45092.864548611113</v>
      </c>
      <c r="AM2628" t="s">
        <v>44</v>
      </c>
    </row>
    <row r="2629" spans="1:39" x14ac:dyDescent="0.2">
      <c r="A2629" t="s">
        <v>2481</v>
      </c>
      <c r="B2629" t="s">
        <v>40</v>
      </c>
      <c r="C2629" t="s">
        <v>2344</v>
      </c>
      <c r="D2629" t="s">
        <v>42</v>
      </c>
      <c r="E2629" t="s">
        <v>43</v>
      </c>
      <c r="F2629" t="s">
        <v>44</v>
      </c>
      <c r="G2629" t="s">
        <v>45</v>
      </c>
      <c r="AH2629" t="s">
        <v>42</v>
      </c>
      <c r="AI2629" t="str">
        <f>"RF001"</f>
        <v>RF001</v>
      </c>
      <c r="AJ2629" t="str">
        <f>"RF001"</f>
        <v>RF001</v>
      </c>
      <c r="AK2629" t="s">
        <v>46</v>
      </c>
      <c r="AL2629" s="1">
        <v>45092.863495370373</v>
      </c>
      <c r="AM2629" t="s">
        <v>44</v>
      </c>
    </row>
    <row r="2630" spans="1:39" x14ac:dyDescent="0.2">
      <c r="A2630" t="s">
        <v>2482</v>
      </c>
      <c r="B2630" t="s">
        <v>40</v>
      </c>
      <c r="C2630" t="s">
        <v>2388</v>
      </c>
      <c r="D2630" t="s">
        <v>42</v>
      </c>
      <c r="E2630" t="s">
        <v>43</v>
      </c>
      <c r="F2630" t="s">
        <v>44</v>
      </c>
      <c r="G2630" t="s">
        <v>45</v>
      </c>
      <c r="AH2630" t="s">
        <v>42</v>
      </c>
      <c r="AI2630" t="str">
        <f>"RF052"</f>
        <v>RF052</v>
      </c>
      <c r="AJ2630" t="str">
        <f>"RF052"</f>
        <v>RF052</v>
      </c>
      <c r="AK2630" t="s">
        <v>46</v>
      </c>
      <c r="AL2630" s="1">
        <v>44846.630648148152</v>
      </c>
      <c r="AM2630" t="s">
        <v>44</v>
      </c>
    </row>
    <row r="2631" spans="1:39" x14ac:dyDescent="0.2">
      <c r="A2631" t="s">
        <v>2483</v>
      </c>
      <c r="B2631" t="s">
        <v>40</v>
      </c>
      <c r="C2631" t="s">
        <v>2388</v>
      </c>
      <c r="D2631" t="s">
        <v>42</v>
      </c>
      <c r="E2631" t="s">
        <v>43</v>
      </c>
      <c r="F2631" t="s">
        <v>44</v>
      </c>
      <c r="G2631" t="s">
        <v>45</v>
      </c>
      <c r="AH2631" t="s">
        <v>42</v>
      </c>
      <c r="AI2631" t="str">
        <f>"66298891987915"</f>
        <v>66298891987915</v>
      </c>
      <c r="AJ2631" t="str">
        <f>"RF028"</f>
        <v>RF028</v>
      </c>
      <c r="AK2631" t="s">
        <v>46</v>
      </c>
      <c r="AL2631" s="1">
        <v>44816.556932870371</v>
      </c>
      <c r="AM2631" t="s">
        <v>44</v>
      </c>
    </row>
    <row r="2632" spans="1:39" x14ac:dyDescent="0.2">
      <c r="A2632" t="s">
        <v>2484</v>
      </c>
      <c r="B2632" t="s">
        <v>40</v>
      </c>
      <c r="C2632" t="s">
        <v>2388</v>
      </c>
      <c r="D2632" t="s">
        <v>42</v>
      </c>
      <c r="E2632" t="s">
        <v>43</v>
      </c>
      <c r="F2632" t="s">
        <v>44</v>
      </c>
      <c r="G2632" t="s">
        <v>45</v>
      </c>
      <c r="AH2632" t="s">
        <v>42</v>
      </c>
      <c r="AI2632" t="str">
        <f>"49CC06"</f>
        <v>49CC06</v>
      </c>
      <c r="AJ2632" t="str">
        <f>"49CC06"</f>
        <v>49CC06</v>
      </c>
      <c r="AK2632" t="s">
        <v>46</v>
      </c>
      <c r="AL2632" s="1">
        <v>44980.855092592596</v>
      </c>
      <c r="AM2632" t="s">
        <v>44</v>
      </c>
    </row>
    <row r="2633" spans="1:39" x14ac:dyDescent="0.2">
      <c r="A2633" t="s">
        <v>2485</v>
      </c>
      <c r="B2633" t="s">
        <v>40</v>
      </c>
      <c r="C2633" t="s">
        <v>2344</v>
      </c>
      <c r="D2633" t="s">
        <v>42</v>
      </c>
      <c r="E2633" t="s">
        <v>43</v>
      </c>
      <c r="F2633" t="s">
        <v>44</v>
      </c>
      <c r="G2633" t="s">
        <v>45</v>
      </c>
      <c r="AH2633" t="s">
        <v>42</v>
      </c>
      <c r="AI2633" t="str">
        <f>"RF014"</f>
        <v>RF014</v>
      </c>
      <c r="AJ2633" t="str">
        <f>"RF014"</f>
        <v>RF014</v>
      </c>
      <c r="AK2633" t="s">
        <v>46</v>
      </c>
      <c r="AL2633" s="1">
        <v>45092.851030092592</v>
      </c>
      <c r="AM2633" t="s">
        <v>44</v>
      </c>
    </row>
    <row r="2634" spans="1:39" x14ac:dyDescent="0.2">
      <c r="A2634" t="s">
        <v>2486</v>
      </c>
      <c r="B2634" t="s">
        <v>40</v>
      </c>
      <c r="C2634" t="s">
        <v>2344</v>
      </c>
      <c r="D2634" t="s">
        <v>42</v>
      </c>
      <c r="E2634" t="s">
        <v>43</v>
      </c>
      <c r="F2634" t="s">
        <v>44</v>
      </c>
      <c r="G2634" t="s">
        <v>45</v>
      </c>
      <c r="AH2634" t="s">
        <v>42</v>
      </c>
      <c r="AI2634" t="str">
        <f>"RF027"</f>
        <v>RF027</v>
      </c>
      <c r="AJ2634" t="str">
        <f>"RF027"</f>
        <v>RF027</v>
      </c>
      <c r="AK2634" t="s">
        <v>46</v>
      </c>
      <c r="AL2634" s="1">
        <v>45092.856226851851</v>
      </c>
      <c r="AM2634" t="s">
        <v>44</v>
      </c>
    </row>
    <row r="2635" spans="1:39" x14ac:dyDescent="0.2">
      <c r="A2635" t="s">
        <v>2487</v>
      </c>
      <c r="B2635" t="s">
        <v>40</v>
      </c>
      <c r="C2635" t="s">
        <v>2344</v>
      </c>
      <c r="D2635" t="s">
        <v>42</v>
      </c>
      <c r="E2635" t="s">
        <v>43</v>
      </c>
      <c r="F2635" t="s">
        <v>44</v>
      </c>
      <c r="G2635" t="s">
        <v>45</v>
      </c>
      <c r="AH2635" t="s">
        <v>42</v>
      </c>
      <c r="AI2635" t="str">
        <f>"RF033"</f>
        <v>RF033</v>
      </c>
      <c r="AJ2635" t="str">
        <f>"RF033"</f>
        <v>RF033</v>
      </c>
      <c r="AK2635" t="s">
        <v>46</v>
      </c>
      <c r="AL2635" s="1">
        <v>45092.845590277779</v>
      </c>
      <c r="AM2635" t="s">
        <v>44</v>
      </c>
    </row>
    <row r="2636" spans="1:39" x14ac:dyDescent="0.2">
      <c r="A2636" t="s">
        <v>2488</v>
      </c>
      <c r="B2636" t="s">
        <v>40</v>
      </c>
      <c r="C2636" t="s">
        <v>2344</v>
      </c>
      <c r="D2636" t="s">
        <v>42</v>
      </c>
      <c r="E2636" t="s">
        <v>43</v>
      </c>
      <c r="F2636" t="s">
        <v>44</v>
      </c>
      <c r="G2636" t="s">
        <v>45</v>
      </c>
      <c r="AH2636" t="s">
        <v>42</v>
      </c>
      <c r="AI2636" t="str">
        <f>"RF026"</f>
        <v>RF026</v>
      </c>
      <c r="AJ2636" t="str">
        <f>"RF026"</f>
        <v>RF026</v>
      </c>
      <c r="AK2636" t="s">
        <v>46</v>
      </c>
      <c r="AL2636" s="1">
        <v>45092.866423611114</v>
      </c>
      <c r="AM2636" t="s">
        <v>44</v>
      </c>
    </row>
    <row r="2637" spans="1:39" x14ac:dyDescent="0.2">
      <c r="A2637" t="s">
        <v>2489</v>
      </c>
      <c r="B2637" t="s">
        <v>40</v>
      </c>
      <c r="C2637" t="s">
        <v>2388</v>
      </c>
      <c r="D2637" t="s">
        <v>42</v>
      </c>
      <c r="E2637" t="s">
        <v>43</v>
      </c>
      <c r="F2637" t="s">
        <v>44</v>
      </c>
      <c r="G2637" t="s">
        <v>45</v>
      </c>
      <c r="AH2637" t="s">
        <v>42</v>
      </c>
      <c r="AI2637" t="str">
        <f>"66298892074026"</f>
        <v>66298892074026</v>
      </c>
      <c r="AJ2637" t="str">
        <f>"RE002-CR"</f>
        <v>RE002-CR</v>
      </c>
      <c r="AK2637" t="s">
        <v>46</v>
      </c>
      <c r="AL2637" s="1">
        <v>44816.556944444441</v>
      </c>
      <c r="AM2637" t="s">
        <v>44</v>
      </c>
    </row>
    <row r="2638" spans="1:39" x14ac:dyDescent="0.2">
      <c r="A2638" t="s">
        <v>2490</v>
      </c>
      <c r="B2638" t="s">
        <v>40</v>
      </c>
      <c r="C2638" t="s">
        <v>2388</v>
      </c>
      <c r="D2638" t="s">
        <v>42</v>
      </c>
      <c r="E2638" t="s">
        <v>43</v>
      </c>
      <c r="F2638" t="s">
        <v>44</v>
      </c>
      <c r="G2638" t="s">
        <v>45</v>
      </c>
      <c r="AH2638" t="s">
        <v>42</v>
      </c>
      <c r="AI2638" t="str">
        <f>"66298892121918"</f>
        <v>66298892121918</v>
      </c>
      <c r="AJ2638" t="str">
        <f>"RE002-N"</f>
        <v>RE002-N</v>
      </c>
      <c r="AK2638" t="s">
        <v>46</v>
      </c>
      <c r="AL2638" s="1">
        <v>44816.556956018518</v>
      </c>
      <c r="AM2638" t="s">
        <v>44</v>
      </c>
    </row>
    <row r="2639" spans="1:39" x14ac:dyDescent="0.2">
      <c r="A2639" t="s">
        <v>2490</v>
      </c>
      <c r="B2639" t="s">
        <v>40</v>
      </c>
      <c r="C2639" t="s">
        <v>2388</v>
      </c>
      <c r="D2639" t="s">
        <v>42</v>
      </c>
      <c r="E2639" t="s">
        <v>43</v>
      </c>
      <c r="F2639" t="s">
        <v>44</v>
      </c>
      <c r="G2639" t="s">
        <v>45</v>
      </c>
      <c r="AH2639" t="s">
        <v>42</v>
      </c>
      <c r="AI2639" t="str">
        <f>"66298892128494"</f>
        <v>66298892128494</v>
      </c>
      <c r="AJ2639" t="str">
        <f>"RE004"</f>
        <v>RE004</v>
      </c>
      <c r="AK2639" t="s">
        <v>46</v>
      </c>
      <c r="AL2639" s="1">
        <v>44816.556956018518</v>
      </c>
      <c r="AM2639" t="s">
        <v>44</v>
      </c>
    </row>
    <row r="2640" spans="1:39" x14ac:dyDescent="0.2">
      <c r="A2640" t="s">
        <v>2491</v>
      </c>
      <c r="B2640" t="s">
        <v>40</v>
      </c>
      <c r="C2640" t="s">
        <v>2388</v>
      </c>
      <c r="D2640" t="s">
        <v>42</v>
      </c>
      <c r="E2640" t="s">
        <v>43</v>
      </c>
      <c r="F2640" t="s">
        <v>44</v>
      </c>
      <c r="G2640" t="s">
        <v>45</v>
      </c>
      <c r="AH2640" t="s">
        <v>42</v>
      </c>
      <c r="AI2640" t="str">
        <f>"66298892029481"</f>
        <v>66298892029481</v>
      </c>
      <c r="AJ2640" t="str">
        <f>"RE017"</f>
        <v>RE017</v>
      </c>
      <c r="AK2640" t="s">
        <v>46</v>
      </c>
      <c r="AL2640" s="1">
        <v>44816.556944444441</v>
      </c>
      <c r="AM2640" t="s">
        <v>44</v>
      </c>
    </row>
    <row r="2641" spans="1:39" x14ac:dyDescent="0.2">
      <c r="A2641" t="s">
        <v>2491</v>
      </c>
      <c r="B2641" t="s">
        <v>40</v>
      </c>
      <c r="C2641" t="s">
        <v>2344</v>
      </c>
      <c r="D2641" t="s">
        <v>42</v>
      </c>
      <c r="E2641" t="s">
        <v>43</v>
      </c>
      <c r="F2641" t="s">
        <v>44</v>
      </c>
      <c r="G2641" t="s">
        <v>45</v>
      </c>
      <c r="AH2641" t="s">
        <v>42</v>
      </c>
      <c r="AI2641" t="str">
        <f>"RE002"</f>
        <v>RE002</v>
      </c>
      <c r="AJ2641" t="str">
        <f>"RE002"</f>
        <v>RE002</v>
      </c>
      <c r="AK2641" t="s">
        <v>46</v>
      </c>
      <c r="AL2641" s="1">
        <v>45092.871886574074</v>
      </c>
      <c r="AM2641" t="s">
        <v>44</v>
      </c>
    </row>
    <row r="2642" spans="1:39" x14ac:dyDescent="0.2">
      <c r="A2642" t="s">
        <v>2491</v>
      </c>
      <c r="B2642" t="s">
        <v>40</v>
      </c>
      <c r="C2642" t="s">
        <v>2344</v>
      </c>
      <c r="D2642" t="s">
        <v>42</v>
      </c>
      <c r="E2642" t="s">
        <v>43</v>
      </c>
      <c r="F2642" t="s">
        <v>44</v>
      </c>
      <c r="G2642" t="s">
        <v>45</v>
      </c>
      <c r="AH2642" t="s">
        <v>42</v>
      </c>
      <c r="AI2642" t="str">
        <f>"RE003"</f>
        <v>RE003</v>
      </c>
      <c r="AJ2642" t="str">
        <f>"RE003"</f>
        <v>RE003</v>
      </c>
      <c r="AK2642" t="s">
        <v>46</v>
      </c>
      <c r="AL2642" s="1">
        <v>45092.872361111113</v>
      </c>
      <c r="AM2642" t="s">
        <v>44</v>
      </c>
    </row>
    <row r="2643" spans="1:39" x14ac:dyDescent="0.2">
      <c r="A2643" t="s">
        <v>2492</v>
      </c>
      <c r="B2643" t="s">
        <v>40</v>
      </c>
      <c r="C2643" t="s">
        <v>2388</v>
      </c>
      <c r="D2643" t="s">
        <v>42</v>
      </c>
      <c r="E2643" t="s">
        <v>43</v>
      </c>
      <c r="F2643" t="s">
        <v>44</v>
      </c>
      <c r="G2643" t="s">
        <v>45</v>
      </c>
      <c r="AH2643" t="s">
        <v>42</v>
      </c>
      <c r="AI2643" t="str">
        <f>"RF023"</f>
        <v>RF023</v>
      </c>
      <c r="AJ2643" t="str">
        <f>"RF023"</f>
        <v>RF023</v>
      </c>
      <c r="AK2643" t="s">
        <v>46</v>
      </c>
      <c r="AL2643" s="1">
        <v>44816.556956018518</v>
      </c>
      <c r="AM2643" t="s">
        <v>44</v>
      </c>
    </row>
    <row r="2644" spans="1:39" x14ac:dyDescent="0.2">
      <c r="A2644" t="s">
        <v>2493</v>
      </c>
      <c r="B2644" t="s">
        <v>40</v>
      </c>
      <c r="C2644" t="s">
        <v>129</v>
      </c>
      <c r="D2644" t="s">
        <v>42</v>
      </c>
      <c r="E2644" t="s">
        <v>43</v>
      </c>
      <c r="F2644" t="s">
        <v>44</v>
      </c>
      <c r="G2644" t="s">
        <v>45</v>
      </c>
      <c r="AH2644" t="s">
        <v>42</v>
      </c>
      <c r="AI2644" t="str">
        <f>"66298892231325"</f>
        <v>66298892231325</v>
      </c>
      <c r="AJ2644" t="str">
        <f>"44151H2C000H000"</f>
        <v>44151H2C000H000</v>
      </c>
      <c r="AK2644" t="s">
        <v>46</v>
      </c>
      <c r="AL2644" s="1">
        <v>44816.556967592594</v>
      </c>
      <c r="AM2644" t="s">
        <v>44</v>
      </c>
    </row>
    <row r="2645" spans="1:39" x14ac:dyDescent="0.2">
      <c r="A2645" t="s">
        <v>2494</v>
      </c>
      <c r="B2645" t="s">
        <v>40</v>
      </c>
      <c r="C2645" t="s">
        <v>1464</v>
      </c>
      <c r="D2645" t="s">
        <v>42</v>
      </c>
      <c r="E2645" t="s">
        <v>43</v>
      </c>
      <c r="F2645" t="s">
        <v>44</v>
      </c>
      <c r="G2645" t="s">
        <v>45</v>
      </c>
      <c r="AH2645" t="s">
        <v>42</v>
      </c>
      <c r="AI2645" t="str">
        <f>"31350"</f>
        <v>31350</v>
      </c>
      <c r="AJ2645" t="str">
        <f>"31350"</f>
        <v>31350</v>
      </c>
      <c r="AK2645" t="s">
        <v>46</v>
      </c>
      <c r="AL2645" s="1">
        <v>44935.669745370367</v>
      </c>
      <c r="AM2645" t="s">
        <v>44</v>
      </c>
    </row>
    <row r="2646" spans="1:39" x14ac:dyDescent="0.2">
      <c r="A2646" t="s">
        <v>2495</v>
      </c>
      <c r="B2646" t="s">
        <v>40</v>
      </c>
      <c r="C2646" t="s">
        <v>50</v>
      </c>
      <c r="D2646" t="s">
        <v>42</v>
      </c>
      <c r="E2646" t="s">
        <v>43</v>
      </c>
      <c r="F2646" t="s">
        <v>44</v>
      </c>
      <c r="G2646" t="s">
        <v>45</v>
      </c>
      <c r="AH2646" t="s">
        <v>42</v>
      </c>
      <c r="AI2646" t="str">
        <f>"124508"</f>
        <v>124508</v>
      </c>
      <c r="AJ2646" t="str">
        <f>"124508"</f>
        <v>124508</v>
      </c>
      <c r="AK2646" t="s">
        <v>46</v>
      </c>
      <c r="AL2646" s="1">
        <v>44995.57708333333</v>
      </c>
      <c r="AM2646" t="s">
        <v>44</v>
      </c>
    </row>
    <row r="2647" spans="1:39" x14ac:dyDescent="0.2">
      <c r="A2647" t="s">
        <v>2496</v>
      </c>
      <c r="B2647" t="s">
        <v>40</v>
      </c>
      <c r="C2647" t="s">
        <v>1464</v>
      </c>
      <c r="D2647" t="s">
        <v>42</v>
      </c>
      <c r="E2647" t="s">
        <v>43</v>
      </c>
      <c r="F2647" t="s">
        <v>44</v>
      </c>
      <c r="G2647" t="s">
        <v>45</v>
      </c>
      <c r="AH2647" t="s">
        <v>42</v>
      </c>
      <c r="AI2647" t="str">
        <f>"66298892280056"</f>
        <v>66298892280056</v>
      </c>
      <c r="AJ2647" t="str">
        <f>"HH056"</f>
        <v>HH056</v>
      </c>
      <c r="AK2647" t="s">
        <v>46</v>
      </c>
      <c r="AL2647" s="1">
        <v>44816.556967592594</v>
      </c>
      <c r="AM2647" t="s">
        <v>44</v>
      </c>
    </row>
    <row r="2648" spans="1:39" x14ac:dyDescent="0.2">
      <c r="A2648" t="s">
        <v>2497</v>
      </c>
      <c r="B2648" t="s">
        <v>40</v>
      </c>
      <c r="C2648" t="s">
        <v>1464</v>
      </c>
      <c r="D2648" t="s">
        <v>42</v>
      </c>
      <c r="E2648" t="s">
        <v>43</v>
      </c>
      <c r="F2648" t="s">
        <v>44</v>
      </c>
      <c r="G2648" t="s">
        <v>45</v>
      </c>
      <c r="AH2648" t="s">
        <v>42</v>
      </c>
      <c r="AI2648" t="str">
        <f>"66298892325510"</f>
        <v>66298892325510</v>
      </c>
      <c r="AJ2648" t="str">
        <f>"HH055"</f>
        <v>HH055</v>
      </c>
      <c r="AK2648" t="s">
        <v>46</v>
      </c>
      <c r="AL2648" s="1">
        <v>44816.556979166664</v>
      </c>
      <c r="AM2648" t="s">
        <v>44</v>
      </c>
    </row>
    <row r="2649" spans="1:39" x14ac:dyDescent="0.2">
      <c r="A2649" t="s">
        <v>2498</v>
      </c>
      <c r="B2649" t="s">
        <v>40</v>
      </c>
      <c r="C2649" t="s">
        <v>1464</v>
      </c>
      <c r="D2649" t="s">
        <v>42</v>
      </c>
      <c r="E2649" t="s">
        <v>43</v>
      </c>
      <c r="F2649" t="s">
        <v>44</v>
      </c>
      <c r="G2649" t="s">
        <v>45</v>
      </c>
      <c r="AH2649" t="s">
        <v>42</v>
      </c>
      <c r="AI2649" t="str">
        <f>"66298892372500"</f>
        <v>66298892372500</v>
      </c>
      <c r="AJ2649" t="str">
        <f>"FU-10A"</f>
        <v>FU-10A</v>
      </c>
      <c r="AK2649" t="s">
        <v>46</v>
      </c>
      <c r="AL2649" s="1">
        <v>44816.556979166664</v>
      </c>
      <c r="AM2649" t="s">
        <v>44</v>
      </c>
    </row>
    <row r="2650" spans="1:39" x14ac:dyDescent="0.2">
      <c r="A2650" t="s">
        <v>2499</v>
      </c>
      <c r="B2650" t="s">
        <v>40</v>
      </c>
      <c r="C2650" t="s">
        <v>1464</v>
      </c>
      <c r="D2650" t="s">
        <v>42</v>
      </c>
      <c r="E2650" t="s">
        <v>43</v>
      </c>
      <c r="F2650" t="s">
        <v>44</v>
      </c>
      <c r="G2650" t="s">
        <v>45</v>
      </c>
      <c r="AH2650" t="s">
        <v>42</v>
      </c>
      <c r="AI2650" t="str">
        <f>"66298892417290"</f>
        <v>66298892417290</v>
      </c>
      <c r="AJ2650" t="str">
        <f>"FU-20A"</f>
        <v>FU-20A</v>
      </c>
      <c r="AK2650" t="s">
        <v>46</v>
      </c>
      <c r="AL2650" s="1">
        <v>44816.556990740741</v>
      </c>
      <c r="AM2650" t="s">
        <v>44</v>
      </c>
    </row>
    <row r="2651" spans="1:39" x14ac:dyDescent="0.2">
      <c r="A2651" t="s">
        <v>2500</v>
      </c>
      <c r="B2651" t="s">
        <v>40</v>
      </c>
      <c r="C2651" t="s">
        <v>2501</v>
      </c>
      <c r="D2651" t="s">
        <v>42</v>
      </c>
      <c r="E2651" t="s">
        <v>43</v>
      </c>
      <c r="F2651" t="s">
        <v>44</v>
      </c>
      <c r="G2651" t="s">
        <v>45</v>
      </c>
      <c r="AH2651" t="s">
        <v>42</v>
      </c>
      <c r="AI2651" t="str">
        <f>"66298892510718"</f>
        <v>66298892510718</v>
      </c>
      <c r="AJ2651" t="str">
        <f>"1586"</f>
        <v>1586</v>
      </c>
      <c r="AK2651" t="s">
        <v>46</v>
      </c>
      <c r="AL2651" s="1">
        <v>44816.557002314818</v>
      </c>
      <c r="AM2651" t="s">
        <v>44</v>
      </c>
    </row>
    <row r="2652" spans="1:39" x14ac:dyDescent="0.2">
      <c r="A2652" t="s">
        <v>2502</v>
      </c>
      <c r="B2652" t="s">
        <v>40</v>
      </c>
      <c r="C2652" t="s">
        <v>2501</v>
      </c>
      <c r="D2652" t="s">
        <v>42</v>
      </c>
      <c r="E2652" t="s">
        <v>43</v>
      </c>
      <c r="F2652" t="s">
        <v>44</v>
      </c>
      <c r="G2652" t="s">
        <v>45</v>
      </c>
      <c r="AH2652" t="s">
        <v>42</v>
      </c>
      <c r="AI2652" t="str">
        <f>"66298892551569"</f>
        <v>66298892551569</v>
      </c>
      <c r="AJ2652" t="str">
        <f>"GO-PART-MORADO"</f>
        <v>GO-PART-MORADO</v>
      </c>
      <c r="AK2652" t="s">
        <v>46</v>
      </c>
      <c r="AL2652" s="1">
        <v>44816.557002314818</v>
      </c>
      <c r="AM2652" t="s">
        <v>44</v>
      </c>
    </row>
    <row r="2653" spans="1:39" x14ac:dyDescent="0.2">
      <c r="A2653" t="s">
        <v>2503</v>
      </c>
      <c r="B2653" t="s">
        <v>40</v>
      </c>
      <c r="C2653" t="s">
        <v>2501</v>
      </c>
      <c r="D2653" t="s">
        <v>42</v>
      </c>
      <c r="E2653" t="s">
        <v>43</v>
      </c>
      <c r="F2653" t="s">
        <v>44</v>
      </c>
      <c r="G2653" t="s">
        <v>45</v>
      </c>
      <c r="AH2653" t="s">
        <v>42</v>
      </c>
      <c r="AI2653" t="str">
        <f>"61201"</f>
        <v>61201</v>
      </c>
      <c r="AJ2653" t="str">
        <f>"61201"</f>
        <v>61201</v>
      </c>
      <c r="AK2653" t="s">
        <v>46</v>
      </c>
      <c r="AL2653" s="1">
        <v>44999.76803240741</v>
      </c>
      <c r="AM2653" t="s">
        <v>44</v>
      </c>
    </row>
    <row r="2654" spans="1:39" x14ac:dyDescent="0.2">
      <c r="A2654" t="s">
        <v>2503</v>
      </c>
      <c r="B2654" t="s">
        <v>40</v>
      </c>
      <c r="C2654" t="s">
        <v>50</v>
      </c>
      <c r="D2654" t="s">
        <v>42</v>
      </c>
      <c r="E2654" t="s">
        <v>43</v>
      </c>
      <c r="F2654" t="s">
        <v>44</v>
      </c>
      <c r="G2654" t="s">
        <v>45</v>
      </c>
      <c r="AH2654" t="s">
        <v>42</v>
      </c>
      <c r="AI2654" t="str">
        <f>"B060"</f>
        <v>B060</v>
      </c>
      <c r="AJ2654" t="str">
        <f>"B060"</f>
        <v>B060</v>
      </c>
      <c r="AK2654" t="s">
        <v>46</v>
      </c>
      <c r="AL2654" s="1">
        <v>45092.880185185182</v>
      </c>
      <c r="AM2654" t="s">
        <v>44</v>
      </c>
    </row>
    <row r="2655" spans="1:39" x14ac:dyDescent="0.2">
      <c r="A2655" t="s">
        <v>2504</v>
      </c>
      <c r="B2655" t="s">
        <v>40</v>
      </c>
      <c r="C2655" t="s">
        <v>50</v>
      </c>
      <c r="D2655" t="s">
        <v>42</v>
      </c>
      <c r="E2655" t="s">
        <v>43</v>
      </c>
      <c r="F2655" t="s">
        <v>44</v>
      </c>
      <c r="G2655" t="s">
        <v>45</v>
      </c>
      <c r="AH2655" t="s">
        <v>42</v>
      </c>
      <c r="AI2655" t="str">
        <f>"R037"</f>
        <v>R037</v>
      </c>
      <c r="AJ2655" t="str">
        <f>"R037"</f>
        <v>R037</v>
      </c>
      <c r="AK2655" t="s">
        <v>46</v>
      </c>
      <c r="AL2655" s="1">
        <v>45092.879201388889</v>
      </c>
      <c r="AM2655" t="s">
        <v>44</v>
      </c>
    </row>
    <row r="2656" spans="1:39" x14ac:dyDescent="0.2">
      <c r="A2656" t="s">
        <v>2505</v>
      </c>
      <c r="B2656" t="s">
        <v>40</v>
      </c>
      <c r="C2656" t="s">
        <v>2501</v>
      </c>
      <c r="D2656" t="s">
        <v>42</v>
      </c>
      <c r="E2656" t="s">
        <v>43</v>
      </c>
      <c r="F2656" t="s">
        <v>44</v>
      </c>
      <c r="G2656" t="s">
        <v>45</v>
      </c>
      <c r="AH2656" t="s">
        <v>42</v>
      </c>
      <c r="AI2656" t="str">
        <f>"66298892593171"</f>
        <v>66298892593171</v>
      </c>
      <c r="AJ2656" t="str">
        <f>"84484"</f>
        <v>84484</v>
      </c>
      <c r="AK2656" t="s">
        <v>46</v>
      </c>
      <c r="AL2656" s="1">
        <v>44816.557002314818</v>
      </c>
      <c r="AM2656" t="s">
        <v>44</v>
      </c>
    </row>
    <row r="2657" spans="1:39" x14ac:dyDescent="0.2">
      <c r="A2657" t="s">
        <v>2506</v>
      </c>
      <c r="B2657" t="s">
        <v>40</v>
      </c>
      <c r="C2657" t="s">
        <v>2501</v>
      </c>
      <c r="D2657" t="s">
        <v>42</v>
      </c>
      <c r="E2657" t="s">
        <v>43</v>
      </c>
      <c r="F2657" t="s">
        <v>44</v>
      </c>
      <c r="G2657" t="s">
        <v>45</v>
      </c>
      <c r="AH2657" t="s">
        <v>42</v>
      </c>
      <c r="AI2657" t="str">
        <f>"66298892636836"</f>
        <v>66298892636836</v>
      </c>
      <c r="AJ2657" t="str">
        <f>"SB001"</f>
        <v>SB001</v>
      </c>
      <c r="AK2657" t="s">
        <v>46</v>
      </c>
      <c r="AL2657" s="1">
        <v>44816.557013888887</v>
      </c>
      <c r="AM2657" t="s">
        <v>44</v>
      </c>
    </row>
    <row r="2658" spans="1:39" x14ac:dyDescent="0.2">
      <c r="A2658" t="s">
        <v>2507</v>
      </c>
      <c r="B2658" t="s">
        <v>40</v>
      </c>
      <c r="C2658" t="s">
        <v>2501</v>
      </c>
      <c r="D2658" t="s">
        <v>42</v>
      </c>
      <c r="E2658" t="s">
        <v>43</v>
      </c>
      <c r="F2658" t="s">
        <v>44</v>
      </c>
      <c r="G2658" t="s">
        <v>45</v>
      </c>
      <c r="AH2658" t="s">
        <v>42</v>
      </c>
      <c r="AI2658" t="str">
        <f>"66298892679653"</f>
        <v>66298892679653</v>
      </c>
      <c r="AJ2658" t="str">
        <f>"SB002"</f>
        <v>SB002</v>
      </c>
      <c r="AK2658" t="s">
        <v>46</v>
      </c>
      <c r="AL2658" s="1">
        <v>44816.557013888887</v>
      </c>
      <c r="AM2658" t="s">
        <v>44</v>
      </c>
    </row>
    <row r="2659" spans="1:39" x14ac:dyDescent="0.2">
      <c r="A2659" t="s">
        <v>2508</v>
      </c>
      <c r="B2659" t="s">
        <v>40</v>
      </c>
      <c r="C2659" t="s">
        <v>2501</v>
      </c>
      <c r="D2659" t="s">
        <v>42</v>
      </c>
      <c r="E2659" t="s">
        <v>43</v>
      </c>
      <c r="F2659" t="s">
        <v>44</v>
      </c>
      <c r="G2659" t="s">
        <v>45</v>
      </c>
      <c r="AH2659" t="s">
        <v>42</v>
      </c>
      <c r="AI2659" t="str">
        <f>"66298892716977"</f>
        <v>66298892716977</v>
      </c>
      <c r="AJ2659" t="str">
        <f>"09943"</f>
        <v>09943</v>
      </c>
      <c r="AK2659" t="s">
        <v>46</v>
      </c>
      <c r="AL2659" s="1">
        <v>44816.557025462964</v>
      </c>
      <c r="AM2659" t="s">
        <v>44</v>
      </c>
    </row>
    <row r="2660" spans="1:39" x14ac:dyDescent="0.2">
      <c r="A2660" t="s">
        <v>2509</v>
      </c>
      <c r="B2660" t="s">
        <v>40</v>
      </c>
      <c r="C2660" t="s">
        <v>2501</v>
      </c>
      <c r="D2660" t="s">
        <v>42</v>
      </c>
      <c r="E2660" t="s">
        <v>43</v>
      </c>
      <c r="F2660" t="s">
        <v>44</v>
      </c>
      <c r="G2660" t="s">
        <v>45</v>
      </c>
      <c r="AH2660" t="s">
        <v>42</v>
      </c>
      <c r="AI2660" t="str">
        <f>"66298892762986"</f>
        <v>66298892762986</v>
      </c>
      <c r="AJ2660" t="str">
        <f>"SB004-ROJO"</f>
        <v>SB004-ROJO</v>
      </c>
      <c r="AK2660" t="s">
        <v>46</v>
      </c>
      <c r="AL2660" s="1">
        <v>44816.557025462964</v>
      </c>
      <c r="AM2660" t="s">
        <v>44</v>
      </c>
    </row>
    <row r="2661" spans="1:39" x14ac:dyDescent="0.2">
      <c r="A2661" t="s">
        <v>2509</v>
      </c>
      <c r="B2661" t="s">
        <v>40</v>
      </c>
      <c r="C2661" t="s">
        <v>2501</v>
      </c>
      <c r="D2661" t="s">
        <v>42</v>
      </c>
      <c r="E2661" t="s">
        <v>43</v>
      </c>
      <c r="F2661" t="s">
        <v>44</v>
      </c>
      <c r="G2661" t="s">
        <v>45</v>
      </c>
      <c r="AH2661" t="s">
        <v>42</v>
      </c>
      <c r="AI2661" t="str">
        <f>"66298892772091"</f>
        <v>66298892772091</v>
      </c>
      <c r="AJ2661" t="str">
        <f>"SB004-AZUL"</f>
        <v>SB004-AZUL</v>
      </c>
      <c r="AK2661" t="s">
        <v>46</v>
      </c>
      <c r="AL2661" s="1">
        <v>44816.557025462964</v>
      </c>
      <c r="AM2661" t="s">
        <v>44</v>
      </c>
    </row>
    <row r="2662" spans="1:39" x14ac:dyDescent="0.2">
      <c r="A2662" t="s">
        <v>2510</v>
      </c>
      <c r="B2662" t="s">
        <v>40</v>
      </c>
      <c r="C2662" t="s">
        <v>2501</v>
      </c>
      <c r="D2662" t="s">
        <v>42</v>
      </c>
      <c r="E2662" t="s">
        <v>43</v>
      </c>
      <c r="F2662" t="s">
        <v>44</v>
      </c>
      <c r="G2662" t="s">
        <v>45</v>
      </c>
      <c r="AH2662" t="s">
        <v>42</v>
      </c>
      <c r="AI2662" t="str">
        <f>"66298892833289"</f>
        <v>66298892833289</v>
      </c>
      <c r="AJ2662" t="str">
        <f>"SB003-NARANJO"</f>
        <v>SB003-NARANJO</v>
      </c>
      <c r="AK2662" t="s">
        <v>46</v>
      </c>
      <c r="AL2662" s="1">
        <v>44816.557037037041</v>
      </c>
      <c r="AM2662" t="s">
        <v>44</v>
      </c>
    </row>
    <row r="2663" spans="1:39" x14ac:dyDescent="0.2">
      <c r="A2663" t="s">
        <v>2510</v>
      </c>
      <c r="B2663" t="s">
        <v>40</v>
      </c>
      <c r="C2663" t="s">
        <v>2501</v>
      </c>
      <c r="D2663" t="s">
        <v>42</v>
      </c>
      <c r="E2663" t="s">
        <v>43</v>
      </c>
      <c r="F2663" t="s">
        <v>44</v>
      </c>
      <c r="G2663" t="s">
        <v>45</v>
      </c>
      <c r="AH2663" t="s">
        <v>42</v>
      </c>
      <c r="AI2663" t="str">
        <f>"66298892873266"</f>
        <v>66298892873266</v>
      </c>
      <c r="AJ2663" t="str">
        <f>"SB003-ROJO"</f>
        <v>SB003-ROJO</v>
      </c>
      <c r="AK2663" t="s">
        <v>46</v>
      </c>
      <c r="AL2663" s="1">
        <v>44816.557037037041</v>
      </c>
      <c r="AM2663" t="s">
        <v>44</v>
      </c>
    </row>
    <row r="2664" spans="1:39" x14ac:dyDescent="0.2">
      <c r="A2664" t="s">
        <v>2510</v>
      </c>
      <c r="B2664" t="s">
        <v>40</v>
      </c>
      <c r="C2664" t="s">
        <v>2501</v>
      </c>
      <c r="D2664" t="s">
        <v>42</v>
      </c>
      <c r="E2664" t="s">
        <v>43</v>
      </c>
      <c r="F2664" t="s">
        <v>44</v>
      </c>
      <c r="G2664" t="s">
        <v>45</v>
      </c>
      <c r="AH2664" t="s">
        <v>42</v>
      </c>
      <c r="AI2664" t="str">
        <f>"66298892879252"</f>
        <v>66298892879252</v>
      </c>
      <c r="AJ2664" t="str">
        <f>"SB003-AZUL"</f>
        <v>SB003-AZUL</v>
      </c>
      <c r="AK2664" t="s">
        <v>46</v>
      </c>
      <c r="AL2664" s="1">
        <v>44816.557037037041</v>
      </c>
      <c r="AM2664" t="s">
        <v>44</v>
      </c>
    </row>
    <row r="2665" spans="1:39" x14ac:dyDescent="0.2">
      <c r="A2665" t="s">
        <v>2511</v>
      </c>
      <c r="B2665" t="s">
        <v>40</v>
      </c>
      <c r="C2665" t="s">
        <v>41</v>
      </c>
      <c r="D2665" t="s">
        <v>42</v>
      </c>
      <c r="E2665" t="s">
        <v>43</v>
      </c>
      <c r="F2665" t="s">
        <v>44</v>
      </c>
      <c r="G2665" t="s">
        <v>45</v>
      </c>
      <c r="AH2665" t="s">
        <v>42</v>
      </c>
      <c r="AI2665" t="str">
        <f>"701798"</f>
        <v>701798</v>
      </c>
      <c r="AJ2665" t="str">
        <f>"701798"</f>
        <v>701798</v>
      </c>
      <c r="AK2665" t="s">
        <v>46</v>
      </c>
      <c r="AL2665" s="1">
        <v>44816.55704861111</v>
      </c>
      <c r="AM2665" t="s">
        <v>44</v>
      </c>
    </row>
    <row r="2666" spans="1:39" x14ac:dyDescent="0.2">
      <c r="A2666" t="s">
        <v>2512</v>
      </c>
      <c r="B2666" t="s">
        <v>40</v>
      </c>
      <c r="C2666" t="s">
        <v>41</v>
      </c>
      <c r="D2666" t="s">
        <v>42</v>
      </c>
      <c r="E2666" t="s">
        <v>43</v>
      </c>
      <c r="F2666" t="s">
        <v>44</v>
      </c>
      <c r="G2666" t="s">
        <v>45</v>
      </c>
      <c r="AH2666" t="s">
        <v>42</v>
      </c>
      <c r="AI2666" t="str">
        <f>"GRASA-ROJA"</f>
        <v>GRASA-ROJA</v>
      </c>
      <c r="AJ2666" t="str">
        <f>"GRASA-ROJA"</f>
        <v>GRASA-ROJA</v>
      </c>
      <c r="AK2666" t="s">
        <v>46</v>
      </c>
      <c r="AL2666" s="1">
        <v>44999.688333333332</v>
      </c>
      <c r="AM2666" t="s">
        <v>44</v>
      </c>
    </row>
    <row r="2667" spans="1:39" x14ac:dyDescent="0.2">
      <c r="A2667" t="s">
        <v>2513</v>
      </c>
      <c r="B2667" t="s">
        <v>40</v>
      </c>
      <c r="C2667" t="s">
        <v>50</v>
      </c>
      <c r="D2667" t="s">
        <v>42</v>
      </c>
      <c r="E2667" t="s">
        <v>43</v>
      </c>
      <c r="F2667" t="s">
        <v>44</v>
      </c>
      <c r="G2667" t="s">
        <v>45</v>
      </c>
      <c r="H2667" t="s">
        <v>2514</v>
      </c>
      <c r="AH2667" t="s">
        <v>42</v>
      </c>
      <c r="AI2667" t="str">
        <f>"WB069-AZUL"</f>
        <v>WB069-AZUL</v>
      </c>
      <c r="AJ2667" t="str">
        <f>"WB069-AZUL"</f>
        <v>WB069-AZUL</v>
      </c>
      <c r="AK2667" t="s">
        <v>46</v>
      </c>
      <c r="AL2667" s="1">
        <v>44816.55704861111</v>
      </c>
      <c r="AM2667" t="s">
        <v>44</v>
      </c>
    </row>
    <row r="2668" spans="1:39" x14ac:dyDescent="0.2">
      <c r="A2668" t="s">
        <v>2515</v>
      </c>
      <c r="B2668" t="s">
        <v>40</v>
      </c>
      <c r="C2668" t="s">
        <v>50</v>
      </c>
      <c r="D2668" t="s">
        <v>42</v>
      </c>
      <c r="E2668" t="s">
        <v>43</v>
      </c>
      <c r="F2668" t="s">
        <v>44</v>
      </c>
      <c r="G2668" t="s">
        <v>45</v>
      </c>
      <c r="H2668" t="s">
        <v>2516</v>
      </c>
      <c r="AH2668" t="s">
        <v>42</v>
      </c>
      <c r="AI2668" t="str">
        <f>"66298893019761"</f>
        <v>66298893019761</v>
      </c>
      <c r="AJ2668" t="str">
        <f>"WB069-ROJO"</f>
        <v>WB069-ROJO</v>
      </c>
      <c r="AK2668" t="s">
        <v>46</v>
      </c>
      <c r="AL2668" s="1">
        <v>44816.557060185187</v>
      </c>
      <c r="AM2668" t="s">
        <v>44</v>
      </c>
    </row>
    <row r="2669" spans="1:39" x14ac:dyDescent="0.2">
      <c r="A2669" t="s">
        <v>2517</v>
      </c>
      <c r="B2669" t="s">
        <v>40</v>
      </c>
      <c r="C2669" t="s">
        <v>50</v>
      </c>
      <c r="D2669" t="s">
        <v>42</v>
      </c>
      <c r="E2669" t="s">
        <v>43</v>
      </c>
      <c r="F2669" t="s">
        <v>44</v>
      </c>
      <c r="G2669" t="s">
        <v>45</v>
      </c>
      <c r="H2669" t="s">
        <v>2518</v>
      </c>
      <c r="AH2669" t="s">
        <v>42</v>
      </c>
      <c r="AI2669" t="str">
        <f>"WB027-NEG/ROJ-XL"</f>
        <v>WB027-NEG/ROJ-XL</v>
      </c>
      <c r="AJ2669" t="str">
        <f>"WB027-NEG/ROJ-XL"</f>
        <v>WB027-NEG/ROJ-XL</v>
      </c>
      <c r="AK2669" t="s">
        <v>46</v>
      </c>
      <c r="AL2669" s="1">
        <v>44816.55709490741</v>
      </c>
      <c r="AM2669" t="s">
        <v>44</v>
      </c>
    </row>
    <row r="2670" spans="1:39" x14ac:dyDescent="0.2">
      <c r="A2670" t="s">
        <v>2519</v>
      </c>
      <c r="B2670" t="s">
        <v>40</v>
      </c>
      <c r="C2670" t="s">
        <v>2520</v>
      </c>
      <c r="D2670" t="s">
        <v>42</v>
      </c>
      <c r="E2670" t="s">
        <v>43</v>
      </c>
      <c r="F2670" t="s">
        <v>44</v>
      </c>
      <c r="G2670" t="s">
        <v>45</v>
      </c>
      <c r="H2670" t="s">
        <v>2521</v>
      </c>
      <c r="AH2670" t="s">
        <v>42</v>
      </c>
      <c r="AI2670" t="str">
        <f>"130789-AZUL-XL"</f>
        <v>130789-AZUL-XL</v>
      </c>
      <c r="AJ2670" t="str">
        <f>"130789-AZUL-XL"</f>
        <v>130789-AZUL-XL</v>
      </c>
      <c r="AK2670" t="s">
        <v>46</v>
      </c>
      <c r="AL2670" s="1">
        <v>45134.685231481482</v>
      </c>
      <c r="AM2670" t="s">
        <v>44</v>
      </c>
    </row>
    <row r="2671" spans="1:39" x14ac:dyDescent="0.2">
      <c r="A2671" t="s">
        <v>2519</v>
      </c>
      <c r="B2671" t="s">
        <v>40</v>
      </c>
      <c r="C2671" t="s">
        <v>2520</v>
      </c>
      <c r="D2671" t="s">
        <v>42</v>
      </c>
      <c r="E2671" t="s">
        <v>43</v>
      </c>
      <c r="F2671" t="s">
        <v>44</v>
      </c>
      <c r="G2671" t="s">
        <v>45</v>
      </c>
      <c r="H2671" t="s">
        <v>2522</v>
      </c>
      <c r="AH2671" t="s">
        <v>42</v>
      </c>
      <c r="AI2671" t="str">
        <f>"130789-AZUL-XXL"</f>
        <v>130789-AZUL-XXL</v>
      </c>
      <c r="AJ2671" t="str">
        <f>"130789-AZUL-XXL"</f>
        <v>130789-AZUL-XXL</v>
      </c>
      <c r="AK2671" t="s">
        <v>46</v>
      </c>
      <c r="AL2671" s="1">
        <v>45134.684976851851</v>
      </c>
      <c r="AM2671" t="s">
        <v>44</v>
      </c>
    </row>
    <row r="2672" spans="1:39" x14ac:dyDescent="0.2">
      <c r="A2672" t="s">
        <v>2519</v>
      </c>
      <c r="B2672" t="s">
        <v>40</v>
      </c>
      <c r="C2672" t="s">
        <v>2520</v>
      </c>
      <c r="D2672" t="s">
        <v>42</v>
      </c>
      <c r="E2672" t="s">
        <v>43</v>
      </c>
      <c r="F2672" t="s">
        <v>44</v>
      </c>
      <c r="G2672" t="s">
        <v>45</v>
      </c>
      <c r="H2672" t="s">
        <v>2523</v>
      </c>
      <c r="AH2672" t="s">
        <v>42</v>
      </c>
      <c r="AI2672" t="str">
        <f>"130789-GRIS-XXL"</f>
        <v>130789-GRIS-XXL</v>
      </c>
      <c r="AJ2672" t="str">
        <f>"130789-GRIS-XXL"</f>
        <v>130789-GRIS-XXL</v>
      </c>
      <c r="AK2672" t="s">
        <v>46</v>
      </c>
      <c r="AL2672" s="1">
        <v>45134.684270833335</v>
      </c>
      <c r="AM2672" t="s">
        <v>44</v>
      </c>
    </row>
    <row r="2673" spans="1:39" x14ac:dyDescent="0.2">
      <c r="A2673" t="s">
        <v>2519</v>
      </c>
      <c r="B2673" t="s">
        <v>40</v>
      </c>
      <c r="C2673" t="s">
        <v>2520</v>
      </c>
      <c r="D2673" t="s">
        <v>42</v>
      </c>
      <c r="E2673" t="s">
        <v>43</v>
      </c>
      <c r="F2673" t="s">
        <v>44</v>
      </c>
      <c r="G2673" t="s">
        <v>45</v>
      </c>
      <c r="H2673" t="s">
        <v>2524</v>
      </c>
      <c r="AH2673" t="s">
        <v>42</v>
      </c>
      <c r="AI2673" t="str">
        <f>"130789-ROJO-XL"</f>
        <v>130789-ROJO-XL</v>
      </c>
      <c r="AJ2673" t="str">
        <f>"130789-ROJO-XL"</f>
        <v>130789-ROJO-XL</v>
      </c>
      <c r="AK2673" t="s">
        <v>46</v>
      </c>
      <c r="AL2673" s="1">
        <v>45134.684675925928</v>
      </c>
      <c r="AM2673" t="s">
        <v>44</v>
      </c>
    </row>
    <row r="2674" spans="1:39" x14ac:dyDescent="0.2">
      <c r="A2674" t="s">
        <v>2525</v>
      </c>
      <c r="B2674" t="s">
        <v>40</v>
      </c>
      <c r="C2674" t="s">
        <v>50</v>
      </c>
      <c r="D2674" t="s">
        <v>42</v>
      </c>
      <c r="E2674" t="s">
        <v>43</v>
      </c>
      <c r="F2674" t="s">
        <v>44</v>
      </c>
      <c r="G2674" t="s">
        <v>45</v>
      </c>
      <c r="H2674" t="s">
        <v>2526</v>
      </c>
      <c r="AH2674" t="s">
        <v>42</v>
      </c>
      <c r="AI2674" t="str">
        <f>"WB004-NEG/FLU-L"</f>
        <v>WB004-NEG/FLU-L</v>
      </c>
      <c r="AJ2674" t="str">
        <f>"WB004-NEG/FLU-L"</f>
        <v>WB004-NEG/FLU-L</v>
      </c>
      <c r="AK2674" t="s">
        <v>46</v>
      </c>
      <c r="AL2674" s="1">
        <v>44816.557106481479</v>
      </c>
      <c r="AM2674" t="s">
        <v>44</v>
      </c>
    </row>
    <row r="2675" spans="1:39" x14ac:dyDescent="0.2">
      <c r="A2675" t="s">
        <v>2527</v>
      </c>
      <c r="B2675" t="s">
        <v>40</v>
      </c>
      <c r="C2675" t="s">
        <v>50</v>
      </c>
      <c r="D2675" t="s">
        <v>42</v>
      </c>
      <c r="E2675" t="s">
        <v>43</v>
      </c>
      <c r="F2675" t="s">
        <v>44</v>
      </c>
      <c r="G2675" t="s">
        <v>45</v>
      </c>
      <c r="H2675" t="s">
        <v>2528</v>
      </c>
      <c r="AH2675" t="s">
        <v>42</v>
      </c>
      <c r="AI2675" t="str">
        <f>"WB076-FLUOR-M"</f>
        <v>WB076-FLUOR-M</v>
      </c>
      <c r="AJ2675" t="str">
        <f>"WB076-FLUOR-M"</f>
        <v>WB076-FLUOR-M</v>
      </c>
      <c r="AK2675" t="s">
        <v>46</v>
      </c>
      <c r="AL2675" s="1">
        <v>44816.557071759256</v>
      </c>
      <c r="AM2675" t="s">
        <v>44</v>
      </c>
    </row>
    <row r="2676" spans="1:39" x14ac:dyDescent="0.2">
      <c r="A2676" t="s">
        <v>2529</v>
      </c>
      <c r="B2676" t="s">
        <v>40</v>
      </c>
      <c r="C2676" t="s">
        <v>50</v>
      </c>
      <c r="D2676" t="s">
        <v>42</v>
      </c>
      <c r="E2676" t="s">
        <v>43</v>
      </c>
      <c r="F2676" t="s">
        <v>44</v>
      </c>
      <c r="G2676" t="s">
        <v>45</v>
      </c>
      <c r="H2676" t="s">
        <v>2530</v>
      </c>
      <c r="AH2676" t="s">
        <v>42</v>
      </c>
      <c r="AI2676" t="str">
        <f>"66298893170310"</f>
        <v>66298893170310</v>
      </c>
      <c r="AJ2676" t="str">
        <f>"WB076-FLUOR-XL"</f>
        <v>WB076-FLUOR-XL</v>
      </c>
      <c r="AK2676" t="s">
        <v>46</v>
      </c>
      <c r="AL2676" s="1">
        <v>44816.557071759256</v>
      </c>
      <c r="AM2676" t="s">
        <v>44</v>
      </c>
    </row>
    <row r="2677" spans="1:39" x14ac:dyDescent="0.2">
      <c r="A2677" t="s">
        <v>2531</v>
      </c>
      <c r="B2677" t="s">
        <v>40</v>
      </c>
      <c r="C2677" t="s">
        <v>50</v>
      </c>
      <c r="D2677" t="s">
        <v>42</v>
      </c>
      <c r="E2677" t="s">
        <v>43</v>
      </c>
      <c r="F2677" t="s">
        <v>44</v>
      </c>
      <c r="G2677" t="s">
        <v>45</v>
      </c>
      <c r="H2677" t="s">
        <v>2532</v>
      </c>
      <c r="AH2677" t="s">
        <v>42</v>
      </c>
      <c r="AI2677" t="str">
        <f>"WB076-NARANJO-L"</f>
        <v>WB076-NARANJO-L</v>
      </c>
      <c r="AJ2677" t="str">
        <f>"WB076-NARANJO-L"</f>
        <v>WB076-NARANJO-L</v>
      </c>
      <c r="AK2677" t="s">
        <v>46</v>
      </c>
      <c r="AL2677" s="1">
        <v>44816.557083333333</v>
      </c>
      <c r="AM2677" t="s">
        <v>44</v>
      </c>
    </row>
    <row r="2678" spans="1:39" x14ac:dyDescent="0.2">
      <c r="A2678" t="s">
        <v>2533</v>
      </c>
      <c r="B2678" t="s">
        <v>40</v>
      </c>
      <c r="C2678" t="s">
        <v>50</v>
      </c>
      <c r="D2678" t="s">
        <v>42</v>
      </c>
      <c r="E2678" t="s">
        <v>43</v>
      </c>
      <c r="F2678" t="s">
        <v>44</v>
      </c>
      <c r="G2678" t="s">
        <v>45</v>
      </c>
      <c r="H2678" t="s">
        <v>2534</v>
      </c>
      <c r="AH2678" t="s">
        <v>42</v>
      </c>
      <c r="AI2678" t="str">
        <f>"WB076-NARANJO-M"</f>
        <v>WB076-NARANJO-M</v>
      </c>
      <c r="AJ2678" t="str">
        <f>"WB076-NARANJO-M"</f>
        <v>WB076-NARANJO-M</v>
      </c>
      <c r="AK2678" t="s">
        <v>46</v>
      </c>
      <c r="AL2678" s="1">
        <v>44816.557083333333</v>
      </c>
      <c r="AM2678" t="s">
        <v>44</v>
      </c>
    </row>
    <row r="2679" spans="1:39" x14ac:dyDescent="0.2">
      <c r="A2679" t="s">
        <v>2535</v>
      </c>
      <c r="B2679" t="s">
        <v>40</v>
      </c>
      <c r="C2679" t="s">
        <v>50</v>
      </c>
      <c r="D2679" t="s">
        <v>42</v>
      </c>
      <c r="E2679" t="s">
        <v>43</v>
      </c>
      <c r="F2679" t="s">
        <v>44</v>
      </c>
      <c r="G2679" t="s">
        <v>45</v>
      </c>
      <c r="H2679" t="s">
        <v>2536</v>
      </c>
      <c r="AH2679" t="s">
        <v>42</v>
      </c>
      <c r="AI2679" t="str">
        <f>"WB076-NARANJO-XL"</f>
        <v>WB076-NARANJO-XL</v>
      </c>
      <c r="AJ2679" t="str">
        <f>"WB076-NARANJO-XL"</f>
        <v>WB076-NARANJO-XL</v>
      </c>
      <c r="AK2679" t="s">
        <v>46</v>
      </c>
      <c r="AL2679" s="1">
        <v>44816.55709490741</v>
      </c>
      <c r="AM2679" t="s">
        <v>44</v>
      </c>
    </row>
    <row r="2680" spans="1:39" x14ac:dyDescent="0.2">
      <c r="A2680" t="s">
        <v>2537</v>
      </c>
      <c r="B2680" t="s">
        <v>40</v>
      </c>
      <c r="C2680" t="s">
        <v>50</v>
      </c>
      <c r="D2680" t="s">
        <v>42</v>
      </c>
      <c r="E2680" t="s">
        <v>43</v>
      </c>
      <c r="F2680" t="s">
        <v>44</v>
      </c>
      <c r="G2680" t="s">
        <v>45</v>
      </c>
      <c r="H2680" t="s">
        <v>2538</v>
      </c>
      <c r="AH2680" t="s">
        <v>42</v>
      </c>
      <c r="AI2680" t="str">
        <f>"66298893069647"</f>
        <v>66298893069647</v>
      </c>
      <c r="AJ2680" t="str">
        <f>"WB076-FLUOR-L"</f>
        <v>WB076-FLUOR-L</v>
      </c>
      <c r="AK2680" t="s">
        <v>46</v>
      </c>
      <c r="AL2680" s="1">
        <v>44816.557060185187</v>
      </c>
      <c r="AM2680" t="s">
        <v>44</v>
      </c>
    </row>
    <row r="2681" spans="1:39" x14ac:dyDescent="0.2">
      <c r="A2681" t="s">
        <v>2539</v>
      </c>
      <c r="B2681" t="s">
        <v>40</v>
      </c>
      <c r="C2681" t="s">
        <v>50</v>
      </c>
      <c r="D2681" t="s">
        <v>42</v>
      </c>
      <c r="E2681" t="s">
        <v>43</v>
      </c>
      <c r="F2681" t="s">
        <v>44</v>
      </c>
      <c r="G2681" t="s">
        <v>45</v>
      </c>
      <c r="H2681" t="s">
        <v>2540</v>
      </c>
      <c r="AH2681" t="s">
        <v>42</v>
      </c>
      <c r="AI2681" t="str">
        <f>"66298893477632"</f>
        <v>66298893477632</v>
      </c>
      <c r="AJ2681" t="str">
        <f>"WB070-NARANJO"</f>
        <v>WB070-NARANJO</v>
      </c>
      <c r="AK2681" t="s">
        <v>46</v>
      </c>
      <c r="AL2681" s="1">
        <v>44816.557106481479</v>
      </c>
      <c r="AM2681" t="s">
        <v>44</v>
      </c>
    </row>
    <row r="2682" spans="1:39" x14ac:dyDescent="0.2">
      <c r="A2682" t="s">
        <v>2541</v>
      </c>
      <c r="B2682" t="s">
        <v>40</v>
      </c>
      <c r="C2682" t="s">
        <v>50</v>
      </c>
      <c r="D2682" t="s">
        <v>42</v>
      </c>
      <c r="E2682" t="s">
        <v>43</v>
      </c>
      <c r="F2682" t="s">
        <v>44</v>
      </c>
      <c r="G2682" t="s">
        <v>45</v>
      </c>
      <c r="H2682" t="s">
        <v>2542</v>
      </c>
      <c r="AH2682" t="s">
        <v>42</v>
      </c>
      <c r="AI2682" t="str">
        <f>"66298893526824"</f>
        <v>66298893526824</v>
      </c>
      <c r="AJ2682" t="str">
        <f>"WB077-M"</f>
        <v>WB077-M</v>
      </c>
      <c r="AK2682" t="s">
        <v>46</v>
      </c>
      <c r="AL2682" s="1">
        <v>44816.557118055556</v>
      </c>
      <c r="AM2682" t="s">
        <v>44</v>
      </c>
    </row>
    <row r="2683" spans="1:39" x14ac:dyDescent="0.2">
      <c r="A2683" t="s">
        <v>2543</v>
      </c>
      <c r="B2683" t="s">
        <v>40</v>
      </c>
      <c r="C2683" t="s">
        <v>50</v>
      </c>
      <c r="D2683" t="s">
        <v>42</v>
      </c>
      <c r="E2683" t="s">
        <v>43</v>
      </c>
      <c r="F2683" t="s">
        <v>44</v>
      </c>
      <c r="G2683" t="s">
        <v>45</v>
      </c>
      <c r="AH2683" t="s">
        <v>42</v>
      </c>
      <c r="AI2683" t="str">
        <f>"66298893350598"</f>
        <v>66298893350598</v>
      </c>
      <c r="AJ2683" t="str">
        <f>"WB073"</f>
        <v>WB073</v>
      </c>
      <c r="AK2683" t="s">
        <v>46</v>
      </c>
      <c r="AL2683" s="1">
        <v>44816.55709490741</v>
      </c>
      <c r="AM2683" t="s">
        <v>44</v>
      </c>
    </row>
    <row r="2684" spans="1:39" x14ac:dyDescent="0.2">
      <c r="A2684" t="s">
        <v>2544</v>
      </c>
      <c r="B2684" t="s">
        <v>40</v>
      </c>
      <c r="C2684" t="s">
        <v>2520</v>
      </c>
      <c r="D2684" t="s">
        <v>42</v>
      </c>
      <c r="E2684" t="s">
        <v>43</v>
      </c>
      <c r="F2684" t="s">
        <v>44</v>
      </c>
      <c r="G2684" t="s">
        <v>45</v>
      </c>
      <c r="H2684" t="s">
        <v>1114</v>
      </c>
      <c r="AH2684" t="s">
        <v>42</v>
      </c>
      <c r="AI2684" t="str">
        <f>"116082-AZUL"</f>
        <v>116082-AZUL</v>
      </c>
      <c r="AJ2684" t="str">
        <f>"116082-AZUL"</f>
        <v>116082-AZUL</v>
      </c>
      <c r="AK2684" t="s">
        <v>46</v>
      </c>
      <c r="AL2684" s="1">
        <v>45134.723182870373</v>
      </c>
      <c r="AM2684" t="s">
        <v>44</v>
      </c>
    </row>
    <row r="2685" spans="1:39" x14ac:dyDescent="0.2">
      <c r="A2685" t="s">
        <v>2544</v>
      </c>
      <c r="B2685" t="s">
        <v>40</v>
      </c>
      <c r="C2685" t="s">
        <v>50</v>
      </c>
      <c r="D2685" t="s">
        <v>42</v>
      </c>
      <c r="E2685" t="s">
        <v>43</v>
      </c>
      <c r="F2685" t="s">
        <v>44</v>
      </c>
      <c r="G2685" t="s">
        <v>45</v>
      </c>
      <c r="H2685" t="s">
        <v>2545</v>
      </c>
      <c r="AH2685" t="s">
        <v>42</v>
      </c>
      <c r="AI2685" t="str">
        <f>"1104-AMARILLO-L"</f>
        <v>1104-AMARILLO-L</v>
      </c>
      <c r="AJ2685" t="str">
        <f>"1104-AMARILLO-L"</f>
        <v>1104-AMARILLO-L</v>
      </c>
      <c r="AK2685" t="s">
        <v>46</v>
      </c>
      <c r="AL2685" s="1">
        <v>44995.71806712963</v>
      </c>
      <c r="AM2685" t="s">
        <v>44</v>
      </c>
    </row>
    <row r="2686" spans="1:39" x14ac:dyDescent="0.2">
      <c r="A2686" t="s">
        <v>2544</v>
      </c>
      <c r="B2686" t="s">
        <v>40</v>
      </c>
      <c r="C2686" t="s">
        <v>50</v>
      </c>
      <c r="D2686" t="s">
        <v>42</v>
      </c>
      <c r="E2686" t="s">
        <v>43</v>
      </c>
      <c r="F2686" t="s">
        <v>44</v>
      </c>
      <c r="G2686" t="s">
        <v>45</v>
      </c>
      <c r="H2686" t="s">
        <v>2546</v>
      </c>
      <c r="AH2686" t="s">
        <v>42</v>
      </c>
      <c r="AI2686" t="str">
        <f>"1104-AZUL-L"</f>
        <v>1104-AZUL-L</v>
      </c>
      <c r="AJ2686" t="str">
        <f>"1104-AZUL-L"</f>
        <v>1104-AZUL-L</v>
      </c>
      <c r="AK2686" t="s">
        <v>46</v>
      </c>
      <c r="AL2686" s="1">
        <v>44995.715983796297</v>
      </c>
      <c r="AM2686" t="s">
        <v>44</v>
      </c>
    </row>
    <row r="2687" spans="1:39" x14ac:dyDescent="0.2">
      <c r="A2687" t="s">
        <v>2544</v>
      </c>
      <c r="B2687" t="s">
        <v>40</v>
      </c>
      <c r="C2687" t="s">
        <v>50</v>
      </c>
      <c r="D2687" t="s">
        <v>42</v>
      </c>
      <c r="E2687" t="s">
        <v>43</v>
      </c>
      <c r="F2687" t="s">
        <v>44</v>
      </c>
      <c r="G2687" t="s">
        <v>45</v>
      </c>
      <c r="H2687" t="s">
        <v>2547</v>
      </c>
      <c r="AH2687" t="s">
        <v>42</v>
      </c>
      <c r="AI2687" t="str">
        <f>"815-GRIS-L"</f>
        <v>815-GRIS-L</v>
      </c>
      <c r="AJ2687" t="str">
        <f>"815-GRIS-L"</f>
        <v>815-GRIS-L</v>
      </c>
      <c r="AK2687" t="s">
        <v>46</v>
      </c>
      <c r="AL2687" s="1">
        <v>44995.707199074073</v>
      </c>
      <c r="AM2687" t="s">
        <v>44</v>
      </c>
    </row>
    <row r="2688" spans="1:39" x14ac:dyDescent="0.2">
      <c r="A2688" t="s">
        <v>2544</v>
      </c>
      <c r="B2688" t="s">
        <v>40</v>
      </c>
      <c r="C2688" t="s">
        <v>50</v>
      </c>
      <c r="D2688" t="s">
        <v>42</v>
      </c>
      <c r="E2688" t="s">
        <v>43</v>
      </c>
      <c r="F2688" t="s">
        <v>44</v>
      </c>
      <c r="G2688" t="s">
        <v>45</v>
      </c>
      <c r="H2688" t="s">
        <v>1198</v>
      </c>
      <c r="AH2688" t="s">
        <v>42</v>
      </c>
      <c r="AI2688" t="str">
        <f>"1411-NEGRO-L"</f>
        <v>1411-NEGRO-L</v>
      </c>
      <c r="AJ2688" t="str">
        <f>"1411-NEGRO-L"</f>
        <v>1411-NEGRO-L</v>
      </c>
      <c r="AK2688" t="s">
        <v>46</v>
      </c>
      <c r="AL2688" s="1">
        <v>44995.711064814815</v>
      </c>
      <c r="AM2688" t="s">
        <v>44</v>
      </c>
    </row>
    <row r="2689" spans="1:39" x14ac:dyDescent="0.2">
      <c r="A2689" t="s">
        <v>2544</v>
      </c>
      <c r="B2689" t="s">
        <v>40</v>
      </c>
      <c r="C2689" t="s">
        <v>2520</v>
      </c>
      <c r="D2689" t="s">
        <v>42</v>
      </c>
      <c r="E2689" t="s">
        <v>43</v>
      </c>
      <c r="F2689" t="s">
        <v>44</v>
      </c>
      <c r="G2689" t="s">
        <v>45</v>
      </c>
      <c r="H2689" t="s">
        <v>2037</v>
      </c>
      <c r="AH2689" t="s">
        <v>42</v>
      </c>
      <c r="AI2689" t="str">
        <f>"116082-NEGRO"</f>
        <v>116082-NEGRO</v>
      </c>
      <c r="AJ2689" t="str">
        <f>"116082-NEGRO"</f>
        <v>116082-NEGRO</v>
      </c>
      <c r="AK2689" t="s">
        <v>46</v>
      </c>
      <c r="AL2689" s="1">
        <v>45134.72384259259</v>
      </c>
      <c r="AM2689" t="s">
        <v>44</v>
      </c>
    </row>
    <row r="2690" spans="1:39" x14ac:dyDescent="0.2">
      <c r="A2690" t="s">
        <v>2544</v>
      </c>
      <c r="B2690" t="s">
        <v>40</v>
      </c>
      <c r="C2690" t="s">
        <v>50</v>
      </c>
      <c r="D2690" t="s">
        <v>42</v>
      </c>
      <c r="E2690" t="s">
        <v>43</v>
      </c>
      <c r="F2690" t="s">
        <v>44</v>
      </c>
      <c r="G2690" t="s">
        <v>45</v>
      </c>
      <c r="H2690" t="s">
        <v>2548</v>
      </c>
      <c r="AH2690" t="s">
        <v>42</v>
      </c>
      <c r="AI2690" t="str">
        <f>"1104-ROJO-L"</f>
        <v>1104-ROJO-L</v>
      </c>
      <c r="AJ2690" t="str">
        <f>"1104-ROJO-L"</f>
        <v>1104-ROJO-L</v>
      </c>
      <c r="AK2690" t="s">
        <v>46</v>
      </c>
      <c r="AL2690" s="1">
        <v>44995.802615740744</v>
      </c>
      <c r="AM2690" t="s">
        <v>44</v>
      </c>
    </row>
    <row r="2691" spans="1:39" x14ac:dyDescent="0.2">
      <c r="A2691" t="s">
        <v>2544</v>
      </c>
      <c r="B2691" t="s">
        <v>40</v>
      </c>
      <c r="C2691" t="s">
        <v>2520</v>
      </c>
      <c r="D2691" t="s">
        <v>42</v>
      </c>
      <c r="E2691" t="s">
        <v>43</v>
      </c>
      <c r="F2691" t="s">
        <v>44</v>
      </c>
      <c r="G2691" t="s">
        <v>45</v>
      </c>
      <c r="H2691" t="s">
        <v>1123</v>
      </c>
      <c r="AH2691" t="s">
        <v>42</v>
      </c>
      <c r="AI2691" t="str">
        <f>"116082-ROJO"</f>
        <v>116082-ROJO</v>
      </c>
      <c r="AJ2691" t="str">
        <f>"116082-ROJO"</f>
        <v>116082-ROJO</v>
      </c>
      <c r="AK2691" t="s">
        <v>46</v>
      </c>
      <c r="AL2691" s="1">
        <v>45134.723680555559</v>
      </c>
      <c r="AM2691" t="s">
        <v>44</v>
      </c>
    </row>
    <row r="2692" spans="1:39" x14ac:dyDescent="0.2">
      <c r="A2692" t="s">
        <v>2544</v>
      </c>
      <c r="B2692" t="s">
        <v>40</v>
      </c>
      <c r="C2692" t="s">
        <v>50</v>
      </c>
      <c r="D2692" t="s">
        <v>42</v>
      </c>
      <c r="E2692" t="s">
        <v>43</v>
      </c>
      <c r="F2692" t="s">
        <v>44</v>
      </c>
      <c r="G2692" t="s">
        <v>45</v>
      </c>
      <c r="H2692" t="s">
        <v>1218</v>
      </c>
      <c r="AH2692" t="s">
        <v>42</v>
      </c>
      <c r="AI2692" t="str">
        <f>"1104-AMARILLO-XL"</f>
        <v>1104-AMARILLO-XL</v>
      </c>
      <c r="AJ2692" t="str">
        <f>"1104-AMARILLO-XL"</f>
        <v>1104-AMARILLO-XL</v>
      </c>
      <c r="AK2692" t="s">
        <v>46</v>
      </c>
      <c r="AL2692" s="1">
        <v>44995.803078703706</v>
      </c>
      <c r="AM2692" t="s">
        <v>44</v>
      </c>
    </row>
    <row r="2693" spans="1:39" x14ac:dyDescent="0.2">
      <c r="A2693" t="s">
        <v>2544</v>
      </c>
      <c r="B2693" t="s">
        <v>40</v>
      </c>
      <c r="C2693" t="s">
        <v>50</v>
      </c>
      <c r="D2693" t="s">
        <v>42</v>
      </c>
      <c r="E2693" t="s">
        <v>43</v>
      </c>
      <c r="F2693" t="s">
        <v>44</v>
      </c>
      <c r="G2693" t="s">
        <v>45</v>
      </c>
      <c r="H2693" t="s">
        <v>2549</v>
      </c>
      <c r="AH2693" t="s">
        <v>42</v>
      </c>
      <c r="AI2693" t="str">
        <f>"816-AZUL-XL"</f>
        <v>816-AZUL-XL</v>
      </c>
      <c r="AJ2693" t="str">
        <f>"816-AZUL-XL"</f>
        <v>816-AZUL-XL</v>
      </c>
      <c r="AK2693" t="s">
        <v>46</v>
      </c>
      <c r="AL2693" s="1">
        <v>44995.704699074071</v>
      </c>
      <c r="AM2693" t="s">
        <v>44</v>
      </c>
    </row>
    <row r="2694" spans="1:39" x14ac:dyDescent="0.2">
      <c r="A2694" t="s">
        <v>2544</v>
      </c>
      <c r="B2694" t="s">
        <v>40</v>
      </c>
      <c r="C2694" t="s">
        <v>50</v>
      </c>
      <c r="D2694" t="s">
        <v>42</v>
      </c>
      <c r="E2694" t="s">
        <v>43</v>
      </c>
      <c r="F2694" t="s">
        <v>44</v>
      </c>
      <c r="G2694" t="s">
        <v>45</v>
      </c>
      <c r="H2694" t="s">
        <v>2549</v>
      </c>
      <c r="AH2694" t="s">
        <v>42</v>
      </c>
      <c r="AI2694" t="str">
        <f>"957-AZUL-XL"</f>
        <v>957-AZUL-XL</v>
      </c>
      <c r="AJ2694" t="str">
        <f>"957-AZUL-XL"</f>
        <v>957-AZUL-XL</v>
      </c>
      <c r="AK2694" t="s">
        <v>46</v>
      </c>
      <c r="AL2694" s="1">
        <v>44995.706122685187</v>
      </c>
      <c r="AM2694" t="s">
        <v>44</v>
      </c>
    </row>
    <row r="2695" spans="1:39" x14ac:dyDescent="0.2">
      <c r="A2695" t="s">
        <v>2544</v>
      </c>
      <c r="B2695" t="s">
        <v>40</v>
      </c>
      <c r="C2695" t="s">
        <v>50</v>
      </c>
      <c r="D2695" t="s">
        <v>42</v>
      </c>
      <c r="E2695" t="s">
        <v>43</v>
      </c>
      <c r="F2695" t="s">
        <v>44</v>
      </c>
      <c r="G2695" t="s">
        <v>45</v>
      </c>
      <c r="H2695" t="s">
        <v>2549</v>
      </c>
      <c r="AH2695" t="s">
        <v>42</v>
      </c>
      <c r="AI2695" t="str">
        <f>"1104-AZUL-XL"</f>
        <v>1104-AZUL-XL</v>
      </c>
      <c r="AJ2695" t="str">
        <f>"1104-AZUL-XL"</f>
        <v>1104-AZUL-XL</v>
      </c>
      <c r="AK2695" t="s">
        <v>46</v>
      </c>
      <c r="AL2695" s="1">
        <v>44995.716134259259</v>
      </c>
      <c r="AM2695" t="s">
        <v>44</v>
      </c>
    </row>
    <row r="2696" spans="1:39" x14ac:dyDescent="0.2">
      <c r="A2696" t="s">
        <v>2544</v>
      </c>
      <c r="B2696" t="s">
        <v>40</v>
      </c>
      <c r="C2696" t="s">
        <v>50</v>
      </c>
      <c r="D2696" t="s">
        <v>42</v>
      </c>
      <c r="E2696" t="s">
        <v>43</v>
      </c>
      <c r="F2696" t="s">
        <v>44</v>
      </c>
      <c r="G2696" t="s">
        <v>45</v>
      </c>
      <c r="H2696" t="s">
        <v>2549</v>
      </c>
      <c r="AH2696" t="s">
        <v>42</v>
      </c>
      <c r="AI2696" t="str">
        <f>"1411-AZUL-XL"</f>
        <v>1411-AZUL-XL</v>
      </c>
      <c r="AJ2696" t="str">
        <f>"1411-AZUL-XL"</f>
        <v>1411-AZUL-XL</v>
      </c>
      <c r="AK2696" t="s">
        <v>46</v>
      </c>
      <c r="AL2696" s="1">
        <v>44995.790520833332</v>
      </c>
      <c r="AM2696" t="s">
        <v>44</v>
      </c>
    </row>
    <row r="2697" spans="1:39" x14ac:dyDescent="0.2">
      <c r="A2697" t="s">
        <v>2544</v>
      </c>
      <c r="B2697" t="s">
        <v>40</v>
      </c>
      <c r="C2697" t="s">
        <v>50</v>
      </c>
      <c r="D2697" t="s">
        <v>42</v>
      </c>
      <c r="E2697" t="s">
        <v>43</v>
      </c>
      <c r="F2697" t="s">
        <v>44</v>
      </c>
      <c r="G2697" t="s">
        <v>45</v>
      </c>
      <c r="H2697" t="s">
        <v>2550</v>
      </c>
      <c r="AH2697" t="s">
        <v>42</v>
      </c>
      <c r="AI2697" t="str">
        <f>"815-GRIS-XL"</f>
        <v>815-GRIS-XL</v>
      </c>
      <c r="AJ2697" t="str">
        <f>"815-GRIS-XL"</f>
        <v>815-GRIS-XL</v>
      </c>
      <c r="AK2697" t="s">
        <v>46</v>
      </c>
      <c r="AL2697" s="1">
        <v>44995.653101851851</v>
      </c>
      <c r="AM2697" t="s">
        <v>44</v>
      </c>
    </row>
    <row r="2698" spans="1:39" x14ac:dyDescent="0.2">
      <c r="A2698" t="s">
        <v>2544</v>
      </c>
      <c r="B2698" t="s">
        <v>40</v>
      </c>
      <c r="C2698" t="s">
        <v>50</v>
      </c>
      <c r="D2698" t="s">
        <v>42</v>
      </c>
      <c r="E2698" t="s">
        <v>43</v>
      </c>
      <c r="F2698" t="s">
        <v>44</v>
      </c>
      <c r="G2698" t="s">
        <v>45</v>
      </c>
      <c r="H2698" t="s">
        <v>1190</v>
      </c>
      <c r="AH2698" t="s">
        <v>42</v>
      </c>
      <c r="AI2698" t="str">
        <f>"816-NEGRO-XL"</f>
        <v>816-NEGRO-XL</v>
      </c>
      <c r="AJ2698" t="str">
        <f>"816-NEGRO-XL"</f>
        <v>816-NEGRO-XL</v>
      </c>
      <c r="AK2698" t="s">
        <v>46</v>
      </c>
      <c r="AL2698" s="1">
        <v>44995.65047453704</v>
      </c>
      <c r="AM2698" t="s">
        <v>44</v>
      </c>
    </row>
    <row r="2699" spans="1:39" x14ac:dyDescent="0.2">
      <c r="A2699" t="s">
        <v>2544</v>
      </c>
      <c r="B2699" t="s">
        <v>40</v>
      </c>
      <c r="C2699" t="s">
        <v>50</v>
      </c>
      <c r="D2699" t="s">
        <v>42</v>
      </c>
      <c r="E2699" t="s">
        <v>43</v>
      </c>
      <c r="F2699" t="s">
        <v>44</v>
      </c>
      <c r="G2699" t="s">
        <v>45</v>
      </c>
      <c r="H2699" t="s">
        <v>1190</v>
      </c>
      <c r="AH2699" t="s">
        <v>42</v>
      </c>
      <c r="AI2699" t="str">
        <f>"957-NEGRO-XL"</f>
        <v>957-NEGRO-XL</v>
      </c>
      <c r="AJ2699" t="str">
        <f>"957-NEGRO-XL"</f>
        <v>957-NEGRO-XL</v>
      </c>
      <c r="AK2699" t="s">
        <v>46</v>
      </c>
      <c r="AL2699" s="1">
        <v>44995.705821759257</v>
      </c>
      <c r="AM2699" t="s">
        <v>44</v>
      </c>
    </row>
    <row r="2700" spans="1:39" x14ac:dyDescent="0.2">
      <c r="A2700" t="s">
        <v>2544</v>
      </c>
      <c r="B2700" t="s">
        <v>40</v>
      </c>
      <c r="C2700" t="s">
        <v>50</v>
      </c>
      <c r="D2700" t="s">
        <v>42</v>
      </c>
      <c r="E2700" t="s">
        <v>43</v>
      </c>
      <c r="F2700" t="s">
        <v>44</v>
      </c>
      <c r="G2700" t="s">
        <v>45</v>
      </c>
      <c r="H2700" t="s">
        <v>1190</v>
      </c>
      <c r="AH2700" t="s">
        <v>42</v>
      </c>
      <c r="AI2700" t="str">
        <f>"1411-NEGRO-XL"</f>
        <v>1411-NEGRO-XL</v>
      </c>
      <c r="AJ2700" t="str">
        <f>"1411-NEGRO-XL"</f>
        <v>1411-NEGRO-XL</v>
      </c>
      <c r="AK2700" t="s">
        <v>46</v>
      </c>
      <c r="AL2700" s="1">
        <v>44995.710856481484</v>
      </c>
      <c r="AM2700" t="s">
        <v>44</v>
      </c>
    </row>
    <row r="2701" spans="1:39" x14ac:dyDescent="0.2">
      <c r="A2701" t="s">
        <v>2544</v>
      </c>
      <c r="B2701" t="s">
        <v>40</v>
      </c>
      <c r="C2701" t="s">
        <v>50</v>
      </c>
      <c r="D2701" t="s">
        <v>42</v>
      </c>
      <c r="E2701" t="s">
        <v>43</v>
      </c>
      <c r="F2701" t="s">
        <v>44</v>
      </c>
      <c r="G2701" t="s">
        <v>45</v>
      </c>
      <c r="H2701" t="s">
        <v>2518</v>
      </c>
      <c r="AH2701" t="s">
        <v>42</v>
      </c>
      <c r="AI2701" t="str">
        <f>"816-ROJO-XL"</f>
        <v>816-ROJO-XL</v>
      </c>
      <c r="AJ2701" t="str">
        <f>"816-ROJO-XL"</f>
        <v>816-ROJO-XL</v>
      </c>
      <c r="AK2701" t="s">
        <v>46</v>
      </c>
      <c r="AL2701" s="1">
        <v>44995.704930555556</v>
      </c>
      <c r="AM2701" t="s">
        <v>44</v>
      </c>
    </row>
    <row r="2702" spans="1:39" x14ac:dyDescent="0.2">
      <c r="A2702" t="s">
        <v>2544</v>
      </c>
      <c r="B2702" t="s">
        <v>40</v>
      </c>
      <c r="C2702" t="s">
        <v>50</v>
      </c>
      <c r="D2702" t="s">
        <v>42</v>
      </c>
      <c r="E2702" t="s">
        <v>43</v>
      </c>
      <c r="F2702" t="s">
        <v>44</v>
      </c>
      <c r="G2702" t="s">
        <v>45</v>
      </c>
      <c r="H2702" t="s">
        <v>2518</v>
      </c>
      <c r="AH2702" t="s">
        <v>42</v>
      </c>
      <c r="AI2702" t="str">
        <f>"957-ROJO-XL"</f>
        <v>957-ROJO-XL</v>
      </c>
      <c r="AJ2702" t="str">
        <f>"957-ROJO-XL"</f>
        <v>957-ROJO-XL</v>
      </c>
      <c r="AK2702" t="s">
        <v>46</v>
      </c>
      <c r="AL2702" s="1">
        <v>44995.705625000002</v>
      </c>
      <c r="AM2702" t="s">
        <v>44</v>
      </c>
    </row>
    <row r="2703" spans="1:39" x14ac:dyDescent="0.2">
      <c r="A2703" t="s">
        <v>2544</v>
      </c>
      <c r="B2703" t="s">
        <v>40</v>
      </c>
      <c r="C2703" t="s">
        <v>50</v>
      </c>
      <c r="D2703" t="s">
        <v>42</v>
      </c>
      <c r="E2703" t="s">
        <v>43</v>
      </c>
      <c r="F2703" t="s">
        <v>44</v>
      </c>
      <c r="G2703" t="s">
        <v>45</v>
      </c>
      <c r="H2703" t="s">
        <v>2518</v>
      </c>
      <c r="AH2703" t="s">
        <v>42</v>
      </c>
      <c r="AI2703" t="str">
        <f>"1411-ROJO-XL"</f>
        <v>1411-ROJO-XL</v>
      </c>
      <c r="AJ2703" t="str">
        <f>"1411-ROJO-XL"</f>
        <v>1411-ROJO-XL</v>
      </c>
      <c r="AK2703" t="s">
        <v>46</v>
      </c>
      <c r="AL2703" s="1">
        <v>44995.709930555553</v>
      </c>
      <c r="AM2703" t="s">
        <v>44</v>
      </c>
    </row>
    <row r="2704" spans="1:39" x14ac:dyDescent="0.2">
      <c r="A2704" t="s">
        <v>2544</v>
      </c>
      <c r="B2704" t="s">
        <v>40</v>
      </c>
      <c r="C2704" t="s">
        <v>50</v>
      </c>
      <c r="D2704" t="s">
        <v>42</v>
      </c>
      <c r="E2704" t="s">
        <v>43</v>
      </c>
      <c r="F2704" t="s">
        <v>44</v>
      </c>
      <c r="G2704" t="s">
        <v>45</v>
      </c>
      <c r="H2704" t="s">
        <v>2518</v>
      </c>
      <c r="AH2704" t="s">
        <v>42</v>
      </c>
      <c r="AI2704" t="str">
        <f>"1104-ROJO-XL"</f>
        <v>1104-ROJO-XL</v>
      </c>
      <c r="AJ2704" t="str">
        <f>"1104-ROJO-XL"</f>
        <v>1104-ROJO-XL</v>
      </c>
      <c r="AK2704" t="s">
        <v>46</v>
      </c>
      <c r="AL2704" s="1">
        <v>44995.717361111114</v>
      </c>
      <c r="AM2704" t="s">
        <v>44</v>
      </c>
    </row>
    <row r="2705" spans="1:39" x14ac:dyDescent="0.2">
      <c r="A2705" t="s">
        <v>2544</v>
      </c>
      <c r="B2705" t="s">
        <v>40</v>
      </c>
      <c r="C2705" t="s">
        <v>50</v>
      </c>
      <c r="D2705" t="s">
        <v>42</v>
      </c>
      <c r="E2705" t="s">
        <v>43</v>
      </c>
      <c r="F2705" t="s">
        <v>44</v>
      </c>
      <c r="G2705" t="s">
        <v>45</v>
      </c>
      <c r="H2705" t="s">
        <v>2551</v>
      </c>
      <c r="AH2705" t="s">
        <v>42</v>
      </c>
      <c r="AI2705" t="str">
        <f>"1411-VERDE-XL"</f>
        <v>1411-VERDE-XL</v>
      </c>
      <c r="AJ2705" t="str">
        <f>"1411-VERDE-XL"</f>
        <v>1411-VERDE-XL</v>
      </c>
      <c r="AK2705" t="s">
        <v>46</v>
      </c>
      <c r="AL2705" s="1">
        <v>44995.713020833333</v>
      </c>
      <c r="AM2705" t="s">
        <v>44</v>
      </c>
    </row>
    <row r="2706" spans="1:39" x14ac:dyDescent="0.2">
      <c r="A2706" t="s">
        <v>2544</v>
      </c>
      <c r="B2706" t="s">
        <v>40</v>
      </c>
      <c r="C2706" t="s">
        <v>50</v>
      </c>
      <c r="D2706" t="s">
        <v>42</v>
      </c>
      <c r="E2706" t="s">
        <v>43</v>
      </c>
      <c r="F2706" t="s">
        <v>44</v>
      </c>
      <c r="G2706" t="s">
        <v>45</v>
      </c>
      <c r="H2706" t="s">
        <v>2552</v>
      </c>
      <c r="AH2706" t="s">
        <v>42</v>
      </c>
      <c r="AI2706" t="str">
        <f>"957-AZUL-XXL"</f>
        <v>957-AZUL-XXL</v>
      </c>
      <c r="AJ2706" t="str">
        <f>"957-AZUL-XXL"</f>
        <v>957-AZUL-XXL</v>
      </c>
      <c r="AK2706" t="s">
        <v>46</v>
      </c>
      <c r="AL2706" s="1">
        <v>44995.651145833333</v>
      </c>
      <c r="AM2706" t="s">
        <v>44</v>
      </c>
    </row>
    <row r="2707" spans="1:39" x14ac:dyDescent="0.2">
      <c r="A2707" t="s">
        <v>2544</v>
      </c>
      <c r="B2707" t="s">
        <v>40</v>
      </c>
      <c r="C2707" t="s">
        <v>50</v>
      </c>
      <c r="D2707" t="s">
        <v>42</v>
      </c>
      <c r="E2707" t="s">
        <v>43</v>
      </c>
      <c r="F2707" t="s">
        <v>44</v>
      </c>
      <c r="G2707" t="s">
        <v>45</v>
      </c>
      <c r="H2707" t="s">
        <v>2552</v>
      </c>
      <c r="AH2707" t="s">
        <v>42</v>
      </c>
      <c r="AI2707" t="str">
        <f>"1411-AZUL-XXL"</f>
        <v>1411-AZUL-XXL</v>
      </c>
      <c r="AJ2707" t="str">
        <f>"1411-AZUL-XXL"</f>
        <v>1411-AZUL-XXL</v>
      </c>
      <c r="AK2707" t="s">
        <v>46</v>
      </c>
      <c r="AL2707" s="1">
        <v>44995.791087962964</v>
      </c>
      <c r="AM2707" t="s">
        <v>44</v>
      </c>
    </row>
    <row r="2708" spans="1:39" x14ac:dyDescent="0.2">
      <c r="A2708" t="s">
        <v>2544</v>
      </c>
      <c r="B2708" t="s">
        <v>40</v>
      </c>
      <c r="C2708" t="s">
        <v>50</v>
      </c>
      <c r="D2708" t="s">
        <v>42</v>
      </c>
      <c r="E2708" t="s">
        <v>43</v>
      </c>
      <c r="F2708" t="s">
        <v>44</v>
      </c>
      <c r="G2708" t="s">
        <v>45</v>
      </c>
      <c r="H2708" t="s">
        <v>2553</v>
      </c>
      <c r="AH2708" t="s">
        <v>42</v>
      </c>
      <c r="AI2708" t="str">
        <f>"1411-ROJO-XXL"</f>
        <v>1411-ROJO-XXL</v>
      </c>
      <c r="AJ2708" t="str">
        <f>"1411-ROJO-XXL"</f>
        <v>1411-ROJO-XXL</v>
      </c>
      <c r="AK2708" t="s">
        <v>46</v>
      </c>
      <c r="AL2708" s="1">
        <v>44995.710243055553</v>
      </c>
      <c r="AM2708" t="s">
        <v>44</v>
      </c>
    </row>
    <row r="2709" spans="1:39" x14ac:dyDescent="0.2">
      <c r="A2709" t="s">
        <v>2544</v>
      </c>
      <c r="B2709" t="s">
        <v>40</v>
      </c>
      <c r="C2709" t="s">
        <v>50</v>
      </c>
      <c r="D2709" t="s">
        <v>42</v>
      </c>
      <c r="E2709" t="s">
        <v>43</v>
      </c>
      <c r="F2709" t="s">
        <v>44</v>
      </c>
      <c r="G2709" t="s">
        <v>45</v>
      </c>
      <c r="H2709" t="s">
        <v>2554</v>
      </c>
      <c r="AH2709" t="s">
        <v>42</v>
      </c>
      <c r="AI2709" t="str">
        <f>"1411-VERDE-XXL"</f>
        <v>1411-VERDE-XXL</v>
      </c>
      <c r="AJ2709" t="str">
        <f>"1411-VERDE-XXL"</f>
        <v>1411-VERDE-XXL</v>
      </c>
      <c r="AK2709" t="s">
        <v>46</v>
      </c>
      <c r="AL2709" s="1">
        <v>44995.713194444441</v>
      </c>
      <c r="AM2709" t="s">
        <v>44</v>
      </c>
    </row>
    <row r="2710" spans="1:39" x14ac:dyDescent="0.2">
      <c r="A2710" t="s">
        <v>2555</v>
      </c>
      <c r="B2710" t="s">
        <v>40</v>
      </c>
      <c r="C2710" t="s">
        <v>50</v>
      </c>
      <c r="D2710" t="s">
        <v>42</v>
      </c>
      <c r="E2710" t="s">
        <v>43</v>
      </c>
      <c r="F2710" t="s">
        <v>44</v>
      </c>
      <c r="G2710" t="s">
        <v>45</v>
      </c>
      <c r="H2710" t="s">
        <v>2514</v>
      </c>
      <c r="AH2710" t="s">
        <v>42</v>
      </c>
      <c r="AI2710" t="str">
        <f>"66298893573295"</f>
        <v>66298893573295</v>
      </c>
      <c r="AJ2710" t="str">
        <f>"WB071-AZUL"</f>
        <v>WB071-AZUL</v>
      </c>
      <c r="AK2710" t="s">
        <v>46</v>
      </c>
      <c r="AL2710" s="1">
        <v>44816.557118055556</v>
      </c>
      <c r="AM2710" t="s">
        <v>44</v>
      </c>
    </row>
    <row r="2711" spans="1:39" x14ac:dyDescent="0.2">
      <c r="A2711" t="s">
        <v>2556</v>
      </c>
      <c r="B2711" t="s">
        <v>40</v>
      </c>
      <c r="C2711" t="s">
        <v>50</v>
      </c>
      <c r="D2711" t="s">
        <v>42</v>
      </c>
      <c r="E2711" t="s">
        <v>43</v>
      </c>
      <c r="F2711" t="s">
        <v>44</v>
      </c>
      <c r="G2711" t="s">
        <v>45</v>
      </c>
      <c r="H2711" t="s">
        <v>2516</v>
      </c>
      <c r="AH2711" t="s">
        <v>42</v>
      </c>
      <c r="AI2711" t="str">
        <f>"66298893611903"</f>
        <v>66298893611903</v>
      </c>
      <c r="AJ2711" t="str">
        <f>"WB071-ROJO"</f>
        <v>WB071-ROJO</v>
      </c>
      <c r="AK2711" t="s">
        <v>46</v>
      </c>
      <c r="AL2711" s="1">
        <v>44816.557129629633</v>
      </c>
      <c r="AM2711" t="s">
        <v>44</v>
      </c>
    </row>
    <row r="2712" spans="1:39" x14ac:dyDescent="0.2">
      <c r="A2712" t="s">
        <v>2557</v>
      </c>
      <c r="B2712" t="s">
        <v>40</v>
      </c>
      <c r="C2712" t="s">
        <v>2520</v>
      </c>
      <c r="D2712" t="s">
        <v>42</v>
      </c>
      <c r="E2712" t="s">
        <v>43</v>
      </c>
      <c r="F2712" t="s">
        <v>44</v>
      </c>
      <c r="G2712" t="s">
        <v>45</v>
      </c>
      <c r="H2712" t="s">
        <v>2558</v>
      </c>
      <c r="AH2712" t="s">
        <v>42</v>
      </c>
      <c r="AI2712" t="str">
        <f>"66298893651141"</f>
        <v>66298893651141</v>
      </c>
      <c r="AJ2712" t="str">
        <f>"WB072-NARANJO"</f>
        <v>WB072-NARANJO</v>
      </c>
      <c r="AK2712" t="s">
        <v>46</v>
      </c>
      <c r="AL2712" s="1">
        <v>44816.557129629633</v>
      </c>
      <c r="AM2712" t="s">
        <v>44</v>
      </c>
    </row>
    <row r="2713" spans="1:39" x14ac:dyDescent="0.2">
      <c r="A2713" t="s">
        <v>2559</v>
      </c>
      <c r="B2713" t="s">
        <v>40</v>
      </c>
      <c r="C2713" t="s">
        <v>50</v>
      </c>
      <c r="D2713" t="s">
        <v>42</v>
      </c>
      <c r="E2713" t="s">
        <v>43</v>
      </c>
      <c r="F2713" t="s">
        <v>44</v>
      </c>
      <c r="G2713" t="s">
        <v>45</v>
      </c>
      <c r="H2713" t="s">
        <v>2560</v>
      </c>
      <c r="AH2713" t="s">
        <v>42</v>
      </c>
      <c r="AI2713" t="str">
        <f>"66298893695889"</f>
        <v>66298893695889</v>
      </c>
      <c r="AJ2713" t="str">
        <f>"WB072-VERDE"</f>
        <v>WB072-VERDE</v>
      </c>
      <c r="AK2713" t="s">
        <v>46</v>
      </c>
      <c r="AL2713" s="1">
        <v>44816.557129629633</v>
      </c>
      <c r="AM2713" t="s">
        <v>44</v>
      </c>
    </row>
    <row r="2714" spans="1:39" x14ac:dyDescent="0.2">
      <c r="A2714" t="s">
        <v>2561</v>
      </c>
      <c r="B2714" t="s">
        <v>40</v>
      </c>
      <c r="C2714" t="s">
        <v>50</v>
      </c>
      <c r="D2714" t="s">
        <v>42</v>
      </c>
      <c r="E2714" t="s">
        <v>43</v>
      </c>
      <c r="F2714" t="s">
        <v>44</v>
      </c>
      <c r="G2714" t="s">
        <v>45</v>
      </c>
      <c r="H2714" t="s">
        <v>2562</v>
      </c>
      <c r="AH2714" t="s">
        <v>42</v>
      </c>
      <c r="AI2714" t="str">
        <f>"WB042-AZUL-L"</f>
        <v>WB042-AZUL-L</v>
      </c>
      <c r="AJ2714" t="str">
        <f>"WB042-AZUL-L"</f>
        <v>WB042-AZUL-L</v>
      </c>
      <c r="AK2714" t="s">
        <v>46</v>
      </c>
      <c r="AL2714" s="1">
        <v>44916.740960648145</v>
      </c>
      <c r="AM2714" t="s">
        <v>44</v>
      </c>
    </row>
    <row r="2715" spans="1:39" x14ac:dyDescent="0.2">
      <c r="A2715" t="s">
        <v>2561</v>
      </c>
      <c r="B2715" t="s">
        <v>40</v>
      </c>
      <c r="C2715" t="s">
        <v>50</v>
      </c>
      <c r="D2715" t="s">
        <v>42</v>
      </c>
      <c r="E2715" t="s">
        <v>43</v>
      </c>
      <c r="F2715" t="s">
        <v>44</v>
      </c>
      <c r="G2715" t="s">
        <v>45</v>
      </c>
      <c r="H2715" t="s">
        <v>2563</v>
      </c>
      <c r="AH2715" t="s">
        <v>42</v>
      </c>
      <c r="AI2715" t="str">
        <f>"WB042-AZUL-XL"</f>
        <v>WB042-AZUL-XL</v>
      </c>
      <c r="AJ2715" t="str">
        <f>"WB042-AZUL-XL"</f>
        <v>WB042-AZUL-XL</v>
      </c>
      <c r="AK2715" t="s">
        <v>46</v>
      </c>
      <c r="AL2715" s="1">
        <v>44916.737743055557</v>
      </c>
      <c r="AM2715" t="s">
        <v>44</v>
      </c>
    </row>
    <row r="2716" spans="1:39" x14ac:dyDescent="0.2">
      <c r="A2716" t="s">
        <v>2564</v>
      </c>
      <c r="B2716" t="s">
        <v>40</v>
      </c>
      <c r="C2716" t="s">
        <v>50</v>
      </c>
      <c r="D2716" t="s">
        <v>42</v>
      </c>
      <c r="E2716" t="s">
        <v>43</v>
      </c>
      <c r="F2716" t="s">
        <v>44</v>
      </c>
      <c r="G2716" t="s">
        <v>45</v>
      </c>
      <c r="H2716" t="s">
        <v>2562</v>
      </c>
      <c r="AH2716" t="s">
        <v>42</v>
      </c>
      <c r="AI2716" t="str">
        <f>"WB042-ROJO-L"</f>
        <v>WB042-ROJO-L</v>
      </c>
      <c r="AJ2716" t="str">
        <f>"WB042-ROJO-L"</f>
        <v>WB042-ROJO-L</v>
      </c>
      <c r="AK2716" t="s">
        <v>46</v>
      </c>
      <c r="AL2716" s="1">
        <v>44916.742708333331</v>
      </c>
      <c r="AM2716" t="s">
        <v>44</v>
      </c>
    </row>
    <row r="2717" spans="1:39" x14ac:dyDescent="0.2">
      <c r="A2717" t="s">
        <v>2565</v>
      </c>
      <c r="B2717" t="s">
        <v>40</v>
      </c>
      <c r="C2717" t="s">
        <v>50</v>
      </c>
      <c r="D2717" t="s">
        <v>42</v>
      </c>
      <c r="E2717" t="s">
        <v>43</v>
      </c>
      <c r="F2717" t="s">
        <v>44</v>
      </c>
      <c r="G2717" t="s">
        <v>45</v>
      </c>
      <c r="H2717" t="s">
        <v>2562</v>
      </c>
      <c r="AH2717" t="s">
        <v>42</v>
      </c>
      <c r="AI2717" t="str">
        <f>"WB042-VERDE-L"</f>
        <v>WB042-VERDE-L</v>
      </c>
      <c r="AJ2717" t="str">
        <f>"WB042-VERDE-L"</f>
        <v>WB042-VERDE-L</v>
      </c>
      <c r="AK2717" t="s">
        <v>46</v>
      </c>
      <c r="AL2717" s="1">
        <v>44916.743495370371</v>
      </c>
      <c r="AM2717" t="s">
        <v>44</v>
      </c>
    </row>
    <row r="2718" spans="1:39" x14ac:dyDescent="0.2">
      <c r="A2718" t="s">
        <v>2565</v>
      </c>
      <c r="B2718" t="s">
        <v>40</v>
      </c>
      <c r="C2718" t="s">
        <v>50</v>
      </c>
      <c r="D2718" t="s">
        <v>42</v>
      </c>
      <c r="E2718" t="s">
        <v>43</v>
      </c>
      <c r="F2718" t="s">
        <v>44</v>
      </c>
      <c r="G2718" t="s">
        <v>45</v>
      </c>
      <c r="H2718" t="s">
        <v>2563</v>
      </c>
      <c r="AH2718" t="s">
        <v>42</v>
      </c>
      <c r="AI2718" t="str">
        <f>"WB042-VERDE-XL"</f>
        <v>WB042-VERDE-XL</v>
      </c>
      <c r="AJ2718" t="str">
        <f>"WB042-VERDE-XL"</f>
        <v>WB042-VERDE-XL</v>
      </c>
      <c r="AK2718" t="s">
        <v>46</v>
      </c>
      <c r="AL2718" s="1">
        <v>44916.743715277778</v>
      </c>
      <c r="AM2718" t="s">
        <v>44</v>
      </c>
    </row>
    <row r="2719" spans="1:39" x14ac:dyDescent="0.2">
      <c r="A2719" t="s">
        <v>2566</v>
      </c>
      <c r="B2719" t="s">
        <v>40</v>
      </c>
      <c r="C2719" t="s">
        <v>50</v>
      </c>
      <c r="D2719" t="s">
        <v>42</v>
      </c>
      <c r="E2719" t="s">
        <v>43</v>
      </c>
      <c r="F2719" t="s">
        <v>44</v>
      </c>
      <c r="G2719" t="s">
        <v>45</v>
      </c>
      <c r="H2719" t="s">
        <v>2536</v>
      </c>
      <c r="AH2719" t="s">
        <v>42</v>
      </c>
      <c r="AI2719" t="str">
        <f>"66298893747357"</f>
        <v>66298893747357</v>
      </c>
      <c r="AJ2719" t="str">
        <f>"2564-NEG/NAR-XL"</f>
        <v>2564-NEG/NAR-XL</v>
      </c>
      <c r="AK2719" t="s">
        <v>46</v>
      </c>
      <c r="AL2719" s="1">
        <v>44816.557141203702</v>
      </c>
      <c r="AM2719" t="s">
        <v>44</v>
      </c>
    </row>
    <row r="2720" spans="1:39" x14ac:dyDescent="0.2">
      <c r="A2720" t="s">
        <v>2567</v>
      </c>
      <c r="B2720" t="s">
        <v>40</v>
      </c>
      <c r="C2720" t="s">
        <v>50</v>
      </c>
      <c r="D2720" t="s">
        <v>42</v>
      </c>
      <c r="E2720" t="s">
        <v>43</v>
      </c>
      <c r="F2720" t="s">
        <v>44</v>
      </c>
      <c r="G2720" t="s">
        <v>45</v>
      </c>
      <c r="AH2720" t="s">
        <v>42</v>
      </c>
      <c r="AI2720" t="str">
        <f>"66298893792130"</f>
        <v>66298893792130</v>
      </c>
      <c r="AJ2720" t="str">
        <f>"2564-NEG/NAR-XXL"</f>
        <v>2564-NEG/NAR-XXL</v>
      </c>
      <c r="AK2720" t="s">
        <v>46</v>
      </c>
      <c r="AL2720" s="1">
        <v>44816.557141203702</v>
      </c>
      <c r="AM2720" t="s">
        <v>44</v>
      </c>
    </row>
    <row r="2721" spans="1:39" x14ac:dyDescent="0.2">
      <c r="A2721" t="s">
        <v>2568</v>
      </c>
      <c r="B2721" t="s">
        <v>40</v>
      </c>
      <c r="C2721" t="s">
        <v>50</v>
      </c>
      <c r="D2721" t="s">
        <v>42</v>
      </c>
      <c r="E2721" t="s">
        <v>43</v>
      </c>
      <c r="F2721" t="s">
        <v>44</v>
      </c>
      <c r="G2721" t="s">
        <v>45</v>
      </c>
      <c r="AH2721" t="s">
        <v>42</v>
      </c>
      <c r="AI2721" t="str">
        <f>"66298893843852"</f>
        <v>66298893843852</v>
      </c>
      <c r="AJ2721" t="str">
        <f>"WB068-AZUL"</f>
        <v>WB068-AZUL</v>
      </c>
      <c r="AK2721" t="s">
        <v>46</v>
      </c>
      <c r="AL2721" s="1">
        <v>44816.557152777779</v>
      </c>
      <c r="AM2721" t="s">
        <v>44</v>
      </c>
    </row>
    <row r="2722" spans="1:39" x14ac:dyDescent="0.2">
      <c r="A2722" t="s">
        <v>2569</v>
      </c>
      <c r="B2722" t="s">
        <v>40</v>
      </c>
      <c r="C2722" t="s">
        <v>50</v>
      </c>
      <c r="D2722" t="s">
        <v>42</v>
      </c>
      <c r="E2722" t="s">
        <v>43</v>
      </c>
      <c r="F2722" t="s">
        <v>44</v>
      </c>
      <c r="G2722" t="s">
        <v>45</v>
      </c>
      <c r="AH2722" t="s">
        <v>42</v>
      </c>
      <c r="AI2722" t="str">
        <f>"66298893892845"</f>
        <v>66298893892845</v>
      </c>
      <c r="AJ2722" t="str">
        <f>"WB068-ROJO"</f>
        <v>WB068-ROJO</v>
      </c>
      <c r="AK2722" t="s">
        <v>46</v>
      </c>
      <c r="AL2722" s="1">
        <v>44816.557152777779</v>
      </c>
      <c r="AM2722" t="s">
        <v>44</v>
      </c>
    </row>
    <row r="2723" spans="1:39" x14ac:dyDescent="0.2">
      <c r="A2723" t="s">
        <v>2570</v>
      </c>
      <c r="B2723" t="s">
        <v>40</v>
      </c>
      <c r="C2723" t="s">
        <v>50</v>
      </c>
      <c r="D2723" t="s">
        <v>42</v>
      </c>
      <c r="E2723" t="s">
        <v>43</v>
      </c>
      <c r="F2723" t="s">
        <v>44</v>
      </c>
      <c r="G2723" t="s">
        <v>45</v>
      </c>
      <c r="AH2723" t="s">
        <v>42</v>
      </c>
      <c r="AI2723" t="str">
        <f>"66298893933672"</f>
        <v>66298893933672</v>
      </c>
      <c r="AJ2723" t="str">
        <f>"WB066-AZUL"</f>
        <v>WB066-AZUL</v>
      </c>
      <c r="AK2723" t="s">
        <v>46</v>
      </c>
      <c r="AL2723" s="1">
        <v>44816.557164351849</v>
      </c>
      <c r="AM2723" t="s">
        <v>44</v>
      </c>
    </row>
    <row r="2724" spans="1:39" x14ac:dyDescent="0.2">
      <c r="A2724" t="s">
        <v>2571</v>
      </c>
      <c r="B2724" t="s">
        <v>40</v>
      </c>
      <c r="C2724" t="s">
        <v>50</v>
      </c>
      <c r="D2724" t="s">
        <v>42</v>
      </c>
      <c r="E2724" t="s">
        <v>43</v>
      </c>
      <c r="F2724" t="s">
        <v>44</v>
      </c>
      <c r="G2724" t="s">
        <v>45</v>
      </c>
      <c r="AH2724" t="s">
        <v>42</v>
      </c>
      <c r="AI2724" t="str">
        <f>"66298893978742"</f>
        <v>66298893978742</v>
      </c>
      <c r="AJ2724" t="str">
        <f>"WB066-ROJO"</f>
        <v>WB066-ROJO</v>
      </c>
      <c r="AK2724" t="s">
        <v>46</v>
      </c>
      <c r="AL2724" s="1">
        <v>44816.557164351849</v>
      </c>
      <c r="AM2724" t="s">
        <v>44</v>
      </c>
    </row>
    <row r="2725" spans="1:39" x14ac:dyDescent="0.2">
      <c r="A2725" t="s">
        <v>2572</v>
      </c>
      <c r="B2725" t="s">
        <v>40</v>
      </c>
      <c r="C2725" t="s">
        <v>50</v>
      </c>
      <c r="D2725" t="s">
        <v>42</v>
      </c>
      <c r="E2725" t="s">
        <v>43</v>
      </c>
      <c r="F2725" t="s">
        <v>44</v>
      </c>
      <c r="G2725" t="s">
        <v>45</v>
      </c>
      <c r="AH2725" t="s">
        <v>42</v>
      </c>
      <c r="AI2725" t="str">
        <f>"66298894025179"</f>
        <v>66298894025179</v>
      </c>
      <c r="AJ2725" t="str">
        <f>"WB066-VERDE"</f>
        <v>WB066-VERDE</v>
      </c>
      <c r="AK2725" t="s">
        <v>46</v>
      </c>
      <c r="AL2725" s="1">
        <v>44816.557175925926</v>
      </c>
      <c r="AM2725" t="s">
        <v>44</v>
      </c>
    </row>
    <row r="2726" spans="1:39" x14ac:dyDescent="0.2">
      <c r="A2726" t="s">
        <v>2573</v>
      </c>
      <c r="B2726" t="s">
        <v>40</v>
      </c>
      <c r="C2726" t="s">
        <v>50</v>
      </c>
      <c r="D2726" t="s">
        <v>42</v>
      </c>
      <c r="E2726" t="s">
        <v>43</v>
      </c>
      <c r="F2726" t="s">
        <v>44</v>
      </c>
      <c r="G2726" t="s">
        <v>45</v>
      </c>
      <c r="AH2726" t="s">
        <v>43</v>
      </c>
      <c r="AI2726" t="str">
        <f>"130811"</f>
        <v>130811</v>
      </c>
      <c r="AJ2726" t="str">
        <f>"130811"</f>
        <v>130811</v>
      </c>
      <c r="AK2726" t="s">
        <v>46</v>
      </c>
      <c r="AL2726" s="1">
        <v>44994.564756944441</v>
      </c>
      <c r="AM2726" t="s">
        <v>44</v>
      </c>
    </row>
    <row r="2727" spans="1:39" x14ac:dyDescent="0.2">
      <c r="A2727" t="s">
        <v>2574</v>
      </c>
      <c r="B2727" t="s">
        <v>40</v>
      </c>
      <c r="C2727" t="s">
        <v>50</v>
      </c>
      <c r="D2727" t="s">
        <v>42</v>
      </c>
      <c r="E2727" t="s">
        <v>43</v>
      </c>
      <c r="F2727" t="s">
        <v>44</v>
      </c>
      <c r="G2727" t="s">
        <v>45</v>
      </c>
      <c r="AH2727" t="s">
        <v>42</v>
      </c>
      <c r="AI2727" t="str">
        <f>"66298894069066"</f>
        <v>66298894069066</v>
      </c>
      <c r="AJ2727" t="str">
        <f>"WB004-ROJO-XL"</f>
        <v>WB004-ROJO-XL</v>
      </c>
      <c r="AK2727" t="s">
        <v>46</v>
      </c>
      <c r="AL2727" s="1">
        <v>44816.557175925926</v>
      </c>
      <c r="AM2727" t="s">
        <v>44</v>
      </c>
    </row>
    <row r="2728" spans="1:39" x14ac:dyDescent="0.2">
      <c r="A2728" t="s">
        <v>2575</v>
      </c>
      <c r="B2728" t="s">
        <v>40</v>
      </c>
      <c r="C2728" t="s">
        <v>50</v>
      </c>
      <c r="D2728" t="s">
        <v>42</v>
      </c>
      <c r="E2728" t="s">
        <v>43</v>
      </c>
      <c r="F2728" t="s">
        <v>44</v>
      </c>
      <c r="G2728" t="s">
        <v>45</v>
      </c>
      <c r="AH2728" t="s">
        <v>42</v>
      </c>
      <c r="AI2728" t="str">
        <f>"66298894111958"</f>
        <v>66298894111958</v>
      </c>
      <c r="AJ2728" t="str">
        <f>"WB067-MORADO"</f>
        <v>WB067-MORADO</v>
      </c>
      <c r="AK2728" t="s">
        <v>46</v>
      </c>
      <c r="AL2728" s="1">
        <v>44816.557187500002</v>
      </c>
      <c r="AM2728" t="s">
        <v>44</v>
      </c>
    </row>
    <row r="2729" spans="1:39" x14ac:dyDescent="0.2">
      <c r="A2729" t="s">
        <v>2576</v>
      </c>
      <c r="B2729" t="s">
        <v>40</v>
      </c>
      <c r="C2729" t="s">
        <v>50</v>
      </c>
      <c r="D2729" t="s">
        <v>42</v>
      </c>
      <c r="E2729" t="s">
        <v>43</v>
      </c>
      <c r="F2729" t="s">
        <v>44</v>
      </c>
      <c r="G2729" t="s">
        <v>45</v>
      </c>
      <c r="AH2729" t="s">
        <v>42</v>
      </c>
      <c r="AI2729" t="str">
        <f>"66298894155119"</f>
        <v>66298894155119</v>
      </c>
      <c r="AJ2729" t="str">
        <f>"WB067-VERDE"</f>
        <v>WB067-VERDE</v>
      </c>
      <c r="AK2729" t="s">
        <v>46</v>
      </c>
      <c r="AL2729" s="1">
        <v>44816.557187500002</v>
      </c>
      <c r="AM2729" t="s">
        <v>44</v>
      </c>
    </row>
    <row r="2730" spans="1:39" x14ac:dyDescent="0.2">
      <c r="A2730" t="s">
        <v>2577</v>
      </c>
      <c r="B2730" t="s">
        <v>40</v>
      </c>
      <c r="C2730" t="s">
        <v>50</v>
      </c>
      <c r="D2730" t="s">
        <v>42</v>
      </c>
      <c r="E2730" t="s">
        <v>43</v>
      </c>
      <c r="F2730" t="s">
        <v>44</v>
      </c>
      <c r="G2730" t="s">
        <v>45</v>
      </c>
      <c r="AH2730" t="s">
        <v>42</v>
      </c>
      <c r="AI2730" t="str">
        <f>"66298894198124"</f>
        <v>66298894198124</v>
      </c>
      <c r="AJ2730" t="str">
        <f>"WB070-VERDE"</f>
        <v>WB070-VERDE</v>
      </c>
      <c r="AK2730" t="s">
        <v>46</v>
      </c>
      <c r="AL2730" s="1">
        <v>44816.557187500002</v>
      </c>
      <c r="AM2730" t="s">
        <v>44</v>
      </c>
    </row>
    <row r="2731" spans="1:39" x14ac:dyDescent="0.2">
      <c r="A2731" t="s">
        <v>2578</v>
      </c>
      <c r="B2731" t="s">
        <v>40</v>
      </c>
      <c r="C2731" t="s">
        <v>50</v>
      </c>
      <c r="D2731" t="s">
        <v>42</v>
      </c>
      <c r="E2731" t="s">
        <v>43</v>
      </c>
      <c r="F2731" t="s">
        <v>44</v>
      </c>
      <c r="G2731" t="s">
        <v>45</v>
      </c>
      <c r="AH2731" t="s">
        <v>42</v>
      </c>
      <c r="AI2731" t="str">
        <f>"66298894243605"</f>
        <v>66298894243605</v>
      </c>
      <c r="AJ2731" t="str">
        <f>"WB064-AZUL"</f>
        <v>WB064-AZUL</v>
      </c>
      <c r="AK2731" t="s">
        <v>46</v>
      </c>
      <c r="AL2731" s="1">
        <v>44816.557199074072</v>
      </c>
      <c r="AM2731" t="s">
        <v>44</v>
      </c>
    </row>
    <row r="2732" spans="1:39" x14ac:dyDescent="0.2">
      <c r="A2732" t="s">
        <v>2579</v>
      </c>
      <c r="B2732" t="s">
        <v>40</v>
      </c>
      <c r="C2732" t="s">
        <v>50</v>
      </c>
      <c r="D2732" t="s">
        <v>42</v>
      </c>
      <c r="E2732" t="s">
        <v>43</v>
      </c>
      <c r="F2732" t="s">
        <v>44</v>
      </c>
      <c r="G2732" t="s">
        <v>45</v>
      </c>
      <c r="AH2732" t="s">
        <v>42</v>
      </c>
      <c r="AI2732" t="str">
        <f>"66298894281633"</f>
        <v>66298894281633</v>
      </c>
      <c r="AJ2732" t="str">
        <f>"WB064-GRIS"</f>
        <v>WB064-GRIS</v>
      </c>
      <c r="AK2732" t="s">
        <v>46</v>
      </c>
      <c r="AL2732" s="1">
        <v>44816.557199074072</v>
      </c>
      <c r="AM2732" t="s">
        <v>44</v>
      </c>
    </row>
    <row r="2733" spans="1:39" x14ac:dyDescent="0.2">
      <c r="A2733" t="s">
        <v>2580</v>
      </c>
      <c r="B2733" t="s">
        <v>40</v>
      </c>
      <c r="C2733" t="s">
        <v>50</v>
      </c>
      <c r="D2733" t="s">
        <v>42</v>
      </c>
      <c r="E2733" t="s">
        <v>43</v>
      </c>
      <c r="F2733" t="s">
        <v>44</v>
      </c>
      <c r="G2733" t="s">
        <v>45</v>
      </c>
      <c r="AH2733" t="s">
        <v>42</v>
      </c>
      <c r="AI2733" t="str">
        <f>"66298894323027"</f>
        <v>66298894323027</v>
      </c>
      <c r="AJ2733" t="str">
        <f>"WB064-ROJO"</f>
        <v>WB064-ROJO</v>
      </c>
      <c r="AK2733" t="s">
        <v>46</v>
      </c>
      <c r="AL2733" s="1">
        <v>44816.557210648149</v>
      </c>
      <c r="AM2733" t="s">
        <v>44</v>
      </c>
    </row>
    <row r="2734" spans="1:39" x14ac:dyDescent="0.2">
      <c r="A2734" t="s">
        <v>2581</v>
      </c>
      <c r="B2734" t="s">
        <v>40</v>
      </c>
      <c r="C2734" t="s">
        <v>50</v>
      </c>
      <c r="D2734" t="s">
        <v>42</v>
      </c>
      <c r="E2734" t="s">
        <v>43</v>
      </c>
      <c r="F2734" t="s">
        <v>44</v>
      </c>
      <c r="G2734" t="s">
        <v>45</v>
      </c>
      <c r="AH2734" t="s">
        <v>42</v>
      </c>
      <c r="AI2734" t="str">
        <f>"66298894366589"</f>
        <v>66298894366589</v>
      </c>
      <c r="AJ2734" t="str">
        <f>"LE040A"</f>
        <v>LE040A</v>
      </c>
      <c r="AK2734" t="s">
        <v>46</v>
      </c>
      <c r="AL2734" s="1">
        <v>44816.557210648149</v>
      </c>
      <c r="AM2734" t="s">
        <v>44</v>
      </c>
    </row>
    <row r="2735" spans="1:39" x14ac:dyDescent="0.2">
      <c r="A2735" t="s">
        <v>2582</v>
      </c>
      <c r="B2735" t="s">
        <v>40</v>
      </c>
      <c r="C2735" t="s">
        <v>50</v>
      </c>
      <c r="D2735" t="s">
        <v>42</v>
      </c>
      <c r="E2735" t="s">
        <v>43</v>
      </c>
      <c r="F2735" t="s">
        <v>44</v>
      </c>
      <c r="G2735" t="s">
        <v>45</v>
      </c>
      <c r="AH2735" t="s">
        <v>42</v>
      </c>
      <c r="AI2735" t="str">
        <f>"66298892467824"</f>
        <v>66298892467824</v>
      </c>
      <c r="AJ2735" t="str">
        <f>"LE040N"</f>
        <v>LE040N</v>
      </c>
      <c r="AK2735" t="s">
        <v>46</v>
      </c>
      <c r="AL2735" s="1">
        <v>44816.556990740741</v>
      </c>
      <c r="AM2735" t="s">
        <v>44</v>
      </c>
    </row>
    <row r="2736" spans="1:39" x14ac:dyDescent="0.2">
      <c r="A2736" t="s">
        <v>2583</v>
      </c>
      <c r="B2736" t="s">
        <v>40</v>
      </c>
      <c r="C2736" t="s">
        <v>50</v>
      </c>
      <c r="D2736" t="s">
        <v>42</v>
      </c>
      <c r="E2736" t="s">
        <v>43</v>
      </c>
      <c r="F2736" t="s">
        <v>44</v>
      </c>
      <c r="G2736" t="s">
        <v>45</v>
      </c>
      <c r="AH2736" t="s">
        <v>42</v>
      </c>
      <c r="AI2736" t="str">
        <f>"66298894409495"</f>
        <v>66298894409495</v>
      </c>
      <c r="AJ2736" t="str">
        <f>"LE040R"</f>
        <v>LE040R</v>
      </c>
      <c r="AK2736" t="s">
        <v>46</v>
      </c>
      <c r="AL2736" s="1">
        <v>44816.557222222225</v>
      </c>
      <c r="AM2736" t="s">
        <v>44</v>
      </c>
    </row>
    <row r="2737" spans="1:39" x14ac:dyDescent="0.2">
      <c r="A2737" t="s">
        <v>2584</v>
      </c>
      <c r="B2737" t="s">
        <v>40</v>
      </c>
      <c r="C2737" t="s">
        <v>50</v>
      </c>
      <c r="D2737" t="s">
        <v>42</v>
      </c>
      <c r="E2737" t="s">
        <v>43</v>
      </c>
      <c r="F2737" t="s">
        <v>44</v>
      </c>
      <c r="G2737" t="s">
        <v>45</v>
      </c>
      <c r="H2737" t="s">
        <v>2562</v>
      </c>
      <c r="AH2737" t="s">
        <v>42</v>
      </c>
      <c r="AI2737" t="str">
        <f>"WB063-AZUL-L"</f>
        <v>WB063-AZUL-L</v>
      </c>
      <c r="AJ2737" t="str">
        <f>"WB063-AZUL-L"</f>
        <v>WB063-AZUL-L</v>
      </c>
      <c r="AK2737" t="s">
        <v>46</v>
      </c>
      <c r="AL2737" s="1">
        <v>44916.746076388888</v>
      </c>
      <c r="AM2737" t="s">
        <v>44</v>
      </c>
    </row>
    <row r="2738" spans="1:39" x14ac:dyDescent="0.2">
      <c r="A2738" t="s">
        <v>2584</v>
      </c>
      <c r="B2738" t="s">
        <v>40</v>
      </c>
      <c r="C2738" t="s">
        <v>50</v>
      </c>
      <c r="D2738" t="s">
        <v>42</v>
      </c>
      <c r="E2738" t="s">
        <v>43</v>
      </c>
      <c r="F2738" t="s">
        <v>44</v>
      </c>
      <c r="G2738" t="s">
        <v>45</v>
      </c>
      <c r="H2738" t="s">
        <v>2563</v>
      </c>
      <c r="AH2738" t="s">
        <v>42</v>
      </c>
      <c r="AI2738" t="str">
        <f>"WB063-AZUL-XL"</f>
        <v>WB063-AZUL-XL</v>
      </c>
      <c r="AJ2738" t="str">
        <f>"WB063-AZUL-XL"</f>
        <v>WB063-AZUL-XL</v>
      </c>
      <c r="AK2738" t="s">
        <v>46</v>
      </c>
      <c r="AL2738" s="1">
        <v>44916.746331018519</v>
      </c>
      <c r="AM2738" t="s">
        <v>44</v>
      </c>
    </row>
    <row r="2739" spans="1:39" x14ac:dyDescent="0.2">
      <c r="A2739" t="s">
        <v>2585</v>
      </c>
      <c r="B2739" t="s">
        <v>40</v>
      </c>
      <c r="C2739" t="s">
        <v>50</v>
      </c>
      <c r="D2739" t="s">
        <v>42</v>
      </c>
      <c r="E2739" t="s">
        <v>43</v>
      </c>
      <c r="F2739" t="s">
        <v>44</v>
      </c>
      <c r="G2739" t="s">
        <v>45</v>
      </c>
      <c r="H2739" t="s">
        <v>2563</v>
      </c>
      <c r="AH2739" t="s">
        <v>42</v>
      </c>
      <c r="AI2739" t="str">
        <f>"WB063-NEGRO-XL"</f>
        <v>WB063-NEGRO-XL</v>
      </c>
      <c r="AJ2739" t="str">
        <f>"WB063-NEGRO-XL"</f>
        <v>WB063-NEGRO-XL</v>
      </c>
      <c r="AK2739" t="s">
        <v>46</v>
      </c>
      <c r="AL2739" s="1">
        <v>44916.745486111111</v>
      </c>
      <c r="AM2739" t="s">
        <v>44</v>
      </c>
    </row>
    <row r="2740" spans="1:39" x14ac:dyDescent="0.2">
      <c r="A2740" t="s">
        <v>2586</v>
      </c>
      <c r="B2740" t="s">
        <v>40</v>
      </c>
      <c r="C2740" t="s">
        <v>50</v>
      </c>
      <c r="D2740" t="s">
        <v>42</v>
      </c>
      <c r="E2740" t="s">
        <v>43</v>
      </c>
      <c r="F2740" t="s">
        <v>44</v>
      </c>
      <c r="G2740" t="s">
        <v>45</v>
      </c>
      <c r="H2740" t="s">
        <v>2562</v>
      </c>
      <c r="AH2740" t="s">
        <v>42</v>
      </c>
      <c r="AI2740" t="str">
        <f>"WB063-ROJO-L"</f>
        <v>WB063-ROJO-L</v>
      </c>
      <c r="AJ2740" t="str">
        <f>"WB063-ROJO-L"</f>
        <v>WB063-ROJO-L</v>
      </c>
      <c r="AK2740" t="s">
        <v>46</v>
      </c>
      <c r="AL2740" s="1">
        <v>44916.747060185182</v>
      </c>
      <c r="AM2740" t="s">
        <v>44</v>
      </c>
    </row>
    <row r="2741" spans="1:39" x14ac:dyDescent="0.2">
      <c r="A2741" t="s">
        <v>2586</v>
      </c>
      <c r="B2741" t="s">
        <v>40</v>
      </c>
      <c r="C2741" t="s">
        <v>50</v>
      </c>
      <c r="D2741" t="s">
        <v>42</v>
      </c>
      <c r="E2741" t="s">
        <v>43</v>
      </c>
      <c r="F2741" t="s">
        <v>44</v>
      </c>
      <c r="G2741" t="s">
        <v>45</v>
      </c>
      <c r="H2741" t="s">
        <v>2563</v>
      </c>
      <c r="AH2741" t="s">
        <v>42</v>
      </c>
      <c r="AI2741" t="str">
        <f>"WB063-ROJO-XL"</f>
        <v>WB063-ROJO-XL</v>
      </c>
      <c r="AJ2741" t="str">
        <f>"WB063-ROJO-XL"</f>
        <v>WB063-ROJO-XL</v>
      </c>
      <c r="AK2741" t="s">
        <v>46</v>
      </c>
      <c r="AL2741" s="1">
        <v>44916.746770833335</v>
      </c>
      <c r="AM2741" t="s">
        <v>44</v>
      </c>
    </row>
    <row r="2742" spans="1:39" x14ac:dyDescent="0.2">
      <c r="A2742" t="s">
        <v>2587</v>
      </c>
      <c r="B2742" t="s">
        <v>40</v>
      </c>
      <c r="C2742" t="s">
        <v>2520</v>
      </c>
      <c r="D2742" t="s">
        <v>42</v>
      </c>
      <c r="E2742" t="s">
        <v>43</v>
      </c>
      <c r="F2742" t="s">
        <v>44</v>
      </c>
      <c r="G2742" t="s">
        <v>45</v>
      </c>
      <c r="H2742" t="s">
        <v>2037</v>
      </c>
      <c r="AH2742" t="s">
        <v>42</v>
      </c>
      <c r="AI2742" t="str">
        <f>"142020"</f>
        <v>142020</v>
      </c>
      <c r="AJ2742" t="str">
        <f>"142020"</f>
        <v>142020</v>
      </c>
      <c r="AK2742" t="s">
        <v>46</v>
      </c>
      <c r="AL2742" s="1">
        <v>45134.679409722223</v>
      </c>
      <c r="AM2742" t="s">
        <v>44</v>
      </c>
    </row>
    <row r="2743" spans="1:39" x14ac:dyDescent="0.2">
      <c r="A2743" t="s">
        <v>2588</v>
      </c>
      <c r="B2743" t="s">
        <v>40</v>
      </c>
      <c r="C2743" t="s">
        <v>50</v>
      </c>
      <c r="D2743" t="s">
        <v>42</v>
      </c>
      <c r="E2743" t="s">
        <v>43</v>
      </c>
      <c r="F2743" t="s">
        <v>44</v>
      </c>
      <c r="G2743" t="s">
        <v>45</v>
      </c>
      <c r="AH2743" t="s">
        <v>42</v>
      </c>
      <c r="AI2743" t="str">
        <f>"136432"</f>
        <v>136432</v>
      </c>
      <c r="AJ2743" t="str">
        <f>"136432"</f>
        <v>136432</v>
      </c>
      <c r="AK2743" t="s">
        <v>46</v>
      </c>
      <c r="AL2743" s="1">
        <v>44995.610925925925</v>
      </c>
      <c r="AM2743" t="s">
        <v>44</v>
      </c>
    </row>
    <row r="2744" spans="1:39" x14ac:dyDescent="0.2">
      <c r="A2744" t="s">
        <v>2589</v>
      </c>
      <c r="B2744" t="s">
        <v>40</v>
      </c>
      <c r="C2744" t="s">
        <v>2520</v>
      </c>
      <c r="D2744" t="s">
        <v>42</v>
      </c>
      <c r="E2744" t="s">
        <v>43</v>
      </c>
      <c r="F2744" t="s">
        <v>44</v>
      </c>
      <c r="G2744" t="s">
        <v>45</v>
      </c>
      <c r="AH2744" t="s">
        <v>42</v>
      </c>
      <c r="AI2744" t="str">
        <f>"WB004"</f>
        <v>WB004</v>
      </c>
      <c r="AJ2744" t="str">
        <f>"WB004"</f>
        <v>WB004</v>
      </c>
      <c r="AK2744" t="s">
        <v>46</v>
      </c>
      <c r="AL2744" s="1">
        <v>45092.882870370369</v>
      </c>
      <c r="AM2744" t="s">
        <v>44</v>
      </c>
    </row>
    <row r="2745" spans="1:39" x14ac:dyDescent="0.2">
      <c r="A2745" t="s">
        <v>2589</v>
      </c>
      <c r="B2745" t="s">
        <v>40</v>
      </c>
      <c r="C2745" t="s">
        <v>2520</v>
      </c>
      <c r="D2745" t="s">
        <v>42</v>
      </c>
      <c r="E2745" t="s">
        <v>43</v>
      </c>
      <c r="F2745" t="s">
        <v>44</v>
      </c>
      <c r="G2745" t="s">
        <v>45</v>
      </c>
      <c r="AH2745" t="s">
        <v>42</v>
      </c>
      <c r="AI2745" t="str">
        <f>"WB060"</f>
        <v>WB060</v>
      </c>
      <c r="AJ2745" t="str">
        <f>"WB060"</f>
        <v>WB060</v>
      </c>
      <c r="AK2745" t="s">
        <v>46</v>
      </c>
      <c r="AL2745" s="1">
        <v>45092.884317129632</v>
      </c>
      <c r="AM2745" t="s">
        <v>44</v>
      </c>
    </row>
    <row r="2746" spans="1:39" x14ac:dyDescent="0.2">
      <c r="A2746" t="s">
        <v>2589</v>
      </c>
      <c r="B2746" t="s">
        <v>40</v>
      </c>
      <c r="C2746" t="s">
        <v>2520</v>
      </c>
      <c r="D2746" t="s">
        <v>42</v>
      </c>
      <c r="E2746" t="s">
        <v>43</v>
      </c>
      <c r="F2746" t="s">
        <v>44</v>
      </c>
      <c r="G2746" t="s">
        <v>45</v>
      </c>
      <c r="AH2746" t="s">
        <v>42</v>
      </c>
      <c r="AI2746" t="str">
        <f>"WB064"</f>
        <v>WB064</v>
      </c>
      <c r="AJ2746" t="str">
        <f>"WB064"</f>
        <v>WB064</v>
      </c>
      <c r="AK2746" t="s">
        <v>46</v>
      </c>
      <c r="AL2746" s="1">
        <v>45092.884988425925</v>
      </c>
      <c r="AM2746" t="s">
        <v>44</v>
      </c>
    </row>
    <row r="2747" spans="1:39" x14ac:dyDescent="0.2">
      <c r="A2747" t="s">
        <v>2589</v>
      </c>
      <c r="B2747" t="s">
        <v>40</v>
      </c>
      <c r="C2747" t="s">
        <v>2520</v>
      </c>
      <c r="D2747" t="s">
        <v>42</v>
      </c>
      <c r="E2747" t="s">
        <v>43</v>
      </c>
      <c r="F2747" t="s">
        <v>44</v>
      </c>
      <c r="G2747" t="s">
        <v>45</v>
      </c>
      <c r="AH2747" t="s">
        <v>42</v>
      </c>
      <c r="AI2747" t="str">
        <f>"WB066"</f>
        <v>WB066</v>
      </c>
      <c r="AJ2747" t="str">
        <f>"WB066"</f>
        <v>WB066</v>
      </c>
      <c r="AK2747" t="s">
        <v>46</v>
      </c>
      <c r="AL2747" s="1">
        <v>45092.886782407404</v>
      </c>
      <c r="AM2747" t="s">
        <v>44</v>
      </c>
    </row>
    <row r="2748" spans="1:39" x14ac:dyDescent="0.2">
      <c r="A2748" t="s">
        <v>2589</v>
      </c>
      <c r="B2748" t="s">
        <v>40</v>
      </c>
      <c r="C2748" t="s">
        <v>2520</v>
      </c>
      <c r="D2748" t="s">
        <v>42</v>
      </c>
      <c r="E2748" t="s">
        <v>43</v>
      </c>
      <c r="F2748" t="s">
        <v>44</v>
      </c>
      <c r="G2748" t="s">
        <v>45</v>
      </c>
      <c r="AH2748" t="s">
        <v>42</v>
      </c>
      <c r="AI2748" t="str">
        <f>"WB068"</f>
        <v>WB068</v>
      </c>
      <c r="AJ2748" t="str">
        <f>"WB068"</f>
        <v>WB068</v>
      </c>
      <c r="AK2748" t="s">
        <v>46</v>
      </c>
      <c r="AL2748" s="1">
        <v>45092.887175925927</v>
      </c>
      <c r="AM2748" t="s">
        <v>44</v>
      </c>
    </row>
    <row r="2749" spans="1:39" x14ac:dyDescent="0.2">
      <c r="A2749" t="s">
        <v>2589</v>
      </c>
      <c r="B2749" t="s">
        <v>40</v>
      </c>
      <c r="C2749" t="s">
        <v>2520</v>
      </c>
      <c r="D2749" t="s">
        <v>42</v>
      </c>
      <c r="E2749" t="s">
        <v>43</v>
      </c>
      <c r="F2749" t="s">
        <v>44</v>
      </c>
      <c r="G2749" t="s">
        <v>45</v>
      </c>
      <c r="AH2749" t="s">
        <v>42</v>
      </c>
      <c r="AI2749" t="str">
        <f>"WB093"</f>
        <v>WB093</v>
      </c>
      <c r="AJ2749" t="str">
        <f>"WB093"</f>
        <v>WB093</v>
      </c>
      <c r="AK2749" t="s">
        <v>46</v>
      </c>
      <c r="AL2749" s="1">
        <v>45092.88758101852</v>
      </c>
      <c r="AM2749" t="s">
        <v>44</v>
      </c>
    </row>
    <row r="2750" spans="1:39" x14ac:dyDescent="0.2">
      <c r="A2750" t="s">
        <v>2590</v>
      </c>
      <c r="B2750" t="s">
        <v>40</v>
      </c>
      <c r="C2750" t="s">
        <v>50</v>
      </c>
      <c r="D2750" t="s">
        <v>42</v>
      </c>
      <c r="E2750" t="s">
        <v>43</v>
      </c>
      <c r="F2750" t="s">
        <v>44</v>
      </c>
      <c r="G2750" t="s">
        <v>45</v>
      </c>
      <c r="AH2750" t="s">
        <v>42</v>
      </c>
      <c r="AI2750" t="str">
        <f>"66298894494879"</f>
        <v>66298894494879</v>
      </c>
      <c r="AJ2750" t="str">
        <f>"0400-GUANTES"</f>
        <v>0400-GUANTES</v>
      </c>
      <c r="AK2750" t="s">
        <v>46</v>
      </c>
      <c r="AL2750" s="1">
        <v>44816.557222222225</v>
      </c>
      <c r="AM2750" t="s">
        <v>44</v>
      </c>
    </row>
    <row r="2751" spans="1:39" x14ac:dyDescent="0.2">
      <c r="A2751" t="s">
        <v>2590</v>
      </c>
      <c r="B2751" t="s">
        <v>40</v>
      </c>
      <c r="C2751" t="s">
        <v>50</v>
      </c>
      <c r="D2751" t="s">
        <v>42</v>
      </c>
      <c r="E2751" t="s">
        <v>43</v>
      </c>
      <c r="F2751" t="s">
        <v>44</v>
      </c>
      <c r="G2751" t="s">
        <v>45</v>
      </c>
      <c r="AH2751" t="s">
        <v>42</v>
      </c>
      <c r="AI2751" t="str">
        <f>"A-3320"</f>
        <v>A-3320</v>
      </c>
      <c r="AJ2751" t="str">
        <f>"A-3320"</f>
        <v>A-3320</v>
      </c>
      <c r="AK2751" t="s">
        <v>46</v>
      </c>
      <c r="AL2751" s="1">
        <v>44995.669189814813</v>
      </c>
      <c r="AM2751" t="s">
        <v>44</v>
      </c>
    </row>
    <row r="2752" spans="1:39" x14ac:dyDescent="0.2">
      <c r="A2752" t="s">
        <v>2591</v>
      </c>
      <c r="B2752" t="s">
        <v>40</v>
      </c>
      <c r="C2752" t="s">
        <v>50</v>
      </c>
      <c r="D2752" t="s">
        <v>42</v>
      </c>
      <c r="E2752" t="s">
        <v>43</v>
      </c>
      <c r="F2752" t="s">
        <v>44</v>
      </c>
      <c r="G2752" t="s">
        <v>45</v>
      </c>
      <c r="AH2752" t="s">
        <v>42</v>
      </c>
      <c r="AI2752" t="str">
        <f>"66298895222289"</f>
        <v>66298895222289</v>
      </c>
      <c r="AJ2752" t="str">
        <f>"0400-NIÑO"</f>
        <v>0400-NIÑO</v>
      </c>
      <c r="AK2752" t="s">
        <v>46</v>
      </c>
      <c r="AL2752" s="1">
        <v>44816.557314814818</v>
      </c>
      <c r="AM2752" t="s">
        <v>44</v>
      </c>
    </row>
    <row r="2753" spans="1:39" x14ac:dyDescent="0.2">
      <c r="A2753" t="s">
        <v>2592</v>
      </c>
      <c r="B2753" t="s">
        <v>40</v>
      </c>
      <c r="C2753" t="s">
        <v>50</v>
      </c>
      <c r="D2753" t="s">
        <v>42</v>
      </c>
      <c r="E2753" t="s">
        <v>43</v>
      </c>
      <c r="F2753" t="s">
        <v>44</v>
      </c>
      <c r="G2753" t="s">
        <v>45</v>
      </c>
      <c r="AH2753" t="s">
        <v>42</v>
      </c>
      <c r="AI2753" t="str">
        <f>"3785"</f>
        <v>3785</v>
      </c>
      <c r="AJ2753" t="str">
        <f>"3785"</f>
        <v>3785</v>
      </c>
      <c r="AK2753" t="s">
        <v>46</v>
      </c>
      <c r="AL2753" s="1">
        <v>44995.608807870369</v>
      </c>
      <c r="AM2753" t="s">
        <v>44</v>
      </c>
    </row>
    <row r="2754" spans="1:39" x14ac:dyDescent="0.2">
      <c r="A2754" t="s">
        <v>2593</v>
      </c>
      <c r="B2754" t="s">
        <v>40</v>
      </c>
      <c r="C2754" t="s">
        <v>50</v>
      </c>
      <c r="D2754" t="s">
        <v>42</v>
      </c>
      <c r="E2754" t="s">
        <v>43</v>
      </c>
      <c r="F2754" t="s">
        <v>44</v>
      </c>
      <c r="G2754" t="s">
        <v>45</v>
      </c>
      <c r="AH2754" t="s">
        <v>42</v>
      </c>
      <c r="AI2754" t="str">
        <f>"8600"</f>
        <v>8600</v>
      </c>
      <c r="AJ2754" t="str">
        <f>"8600"</f>
        <v>8600</v>
      </c>
      <c r="AK2754" t="s">
        <v>46</v>
      </c>
      <c r="AL2754" s="1">
        <v>44995.609224537038</v>
      </c>
      <c r="AM2754" t="s">
        <v>44</v>
      </c>
    </row>
    <row r="2755" spans="1:39" x14ac:dyDescent="0.2">
      <c r="A2755" t="s">
        <v>2594</v>
      </c>
      <c r="B2755" t="s">
        <v>40</v>
      </c>
      <c r="C2755" t="s">
        <v>50</v>
      </c>
      <c r="D2755" t="s">
        <v>42</v>
      </c>
      <c r="E2755" t="s">
        <v>43</v>
      </c>
      <c r="F2755" t="s">
        <v>44</v>
      </c>
      <c r="G2755" t="s">
        <v>45</v>
      </c>
      <c r="AH2755" t="s">
        <v>42</v>
      </c>
      <c r="AI2755" t="str">
        <f>"66298894450475"</f>
        <v>66298894450475</v>
      </c>
      <c r="AJ2755" t="str">
        <f>"MECHANIX-L"</f>
        <v>MECHANIX-L</v>
      </c>
      <c r="AK2755" t="s">
        <v>46</v>
      </c>
      <c r="AL2755" s="1">
        <v>44816.557222222225</v>
      </c>
      <c r="AM2755" t="s">
        <v>44</v>
      </c>
    </row>
    <row r="2756" spans="1:39" x14ac:dyDescent="0.2">
      <c r="A2756" t="s">
        <v>2595</v>
      </c>
      <c r="B2756" t="s">
        <v>40</v>
      </c>
      <c r="C2756" t="s">
        <v>2596</v>
      </c>
      <c r="D2756" t="s">
        <v>42</v>
      </c>
      <c r="E2756" t="s">
        <v>43</v>
      </c>
      <c r="F2756" t="s">
        <v>44</v>
      </c>
      <c r="G2756" t="s">
        <v>45</v>
      </c>
      <c r="AH2756" t="s">
        <v>42</v>
      </c>
      <c r="AI2756" t="str">
        <f>"66298894536193"</f>
        <v>66298894536193</v>
      </c>
      <c r="AJ2756" t="str">
        <f>"91254-KF0-003"</f>
        <v>91254-KF0-003</v>
      </c>
      <c r="AK2756" t="s">
        <v>46</v>
      </c>
      <c r="AL2756" s="1">
        <v>44816.557233796295</v>
      </c>
      <c r="AM2756" t="s">
        <v>44</v>
      </c>
    </row>
    <row r="2757" spans="1:39" x14ac:dyDescent="0.2">
      <c r="A2757" t="s">
        <v>2597</v>
      </c>
      <c r="B2757" t="s">
        <v>40</v>
      </c>
      <c r="C2757" t="s">
        <v>129</v>
      </c>
      <c r="D2757" t="s">
        <v>42</v>
      </c>
      <c r="E2757" t="s">
        <v>43</v>
      </c>
      <c r="F2757" t="s">
        <v>44</v>
      </c>
      <c r="G2757" t="s">
        <v>45</v>
      </c>
      <c r="AH2757" t="s">
        <v>42</v>
      </c>
      <c r="AI2757" t="str">
        <f>"14610-KSP-910JP"</f>
        <v>14610-KSP-910JP</v>
      </c>
      <c r="AJ2757" t="str">
        <f>"14610-KSP-910JP"</f>
        <v>14610-KSP-910JP</v>
      </c>
      <c r="AK2757" t="s">
        <v>46</v>
      </c>
      <c r="AL2757" s="1">
        <v>44898.625474537039</v>
      </c>
      <c r="AM2757" t="s">
        <v>44</v>
      </c>
    </row>
    <row r="2758" spans="1:39" x14ac:dyDescent="0.2">
      <c r="A2758" t="s">
        <v>2598</v>
      </c>
      <c r="B2758" t="s">
        <v>40</v>
      </c>
      <c r="C2758" t="s">
        <v>129</v>
      </c>
      <c r="D2758" t="s">
        <v>42</v>
      </c>
      <c r="E2758" t="s">
        <v>43</v>
      </c>
      <c r="F2758" t="s">
        <v>44</v>
      </c>
      <c r="G2758" t="s">
        <v>45</v>
      </c>
      <c r="AH2758" t="s">
        <v>42</v>
      </c>
      <c r="AI2758" t="str">
        <f>"12771-18A00"</f>
        <v>12771-18A00</v>
      </c>
      <c r="AJ2758" t="str">
        <f>"12771-18A00"</f>
        <v>12771-18A00</v>
      </c>
      <c r="AK2758" t="s">
        <v>46</v>
      </c>
      <c r="AL2758" s="1">
        <v>44898.609120370369</v>
      </c>
      <c r="AM2758" t="s">
        <v>44</v>
      </c>
    </row>
    <row r="2759" spans="1:39" x14ac:dyDescent="0.2">
      <c r="A2759" t="s">
        <v>2599</v>
      </c>
      <c r="B2759" t="s">
        <v>40</v>
      </c>
      <c r="C2759" t="s">
        <v>129</v>
      </c>
      <c r="D2759" t="s">
        <v>42</v>
      </c>
      <c r="E2759" t="s">
        <v>43</v>
      </c>
      <c r="F2759" t="s">
        <v>44</v>
      </c>
      <c r="G2759" t="s">
        <v>45</v>
      </c>
      <c r="AH2759" t="s">
        <v>42</v>
      </c>
      <c r="AI2759" t="str">
        <f>"66298894578141"</f>
        <v>66298894578141</v>
      </c>
      <c r="AJ2759" t="str">
        <f>"21C-E2231-00"</f>
        <v>21C-E2231-00</v>
      </c>
      <c r="AK2759" t="s">
        <v>46</v>
      </c>
      <c r="AL2759" s="1">
        <v>44816.557233796295</v>
      </c>
      <c r="AM2759" t="s">
        <v>44</v>
      </c>
    </row>
    <row r="2760" spans="1:39" x14ac:dyDescent="0.2">
      <c r="A2760" t="s">
        <v>2600</v>
      </c>
      <c r="B2760" t="s">
        <v>40</v>
      </c>
      <c r="C2760" t="s">
        <v>129</v>
      </c>
      <c r="D2760" t="s">
        <v>42</v>
      </c>
      <c r="E2760" t="s">
        <v>43</v>
      </c>
      <c r="F2760" t="s">
        <v>44</v>
      </c>
      <c r="G2760" t="s">
        <v>45</v>
      </c>
      <c r="AH2760" t="s">
        <v>42</v>
      </c>
      <c r="AI2760" t="str">
        <f>"66298894621268"</f>
        <v>66298894621268</v>
      </c>
      <c r="AJ2760" t="str">
        <f>"12771-12F60JP"</f>
        <v>12771-12F60JP</v>
      </c>
      <c r="AK2760" t="s">
        <v>46</v>
      </c>
      <c r="AL2760" s="1">
        <v>44816.557245370372</v>
      </c>
      <c r="AM2760" t="s">
        <v>44</v>
      </c>
    </row>
    <row r="2761" spans="1:39" x14ac:dyDescent="0.2">
      <c r="A2761" t="s">
        <v>2601</v>
      </c>
      <c r="B2761" t="s">
        <v>40</v>
      </c>
      <c r="C2761" t="s">
        <v>129</v>
      </c>
      <c r="D2761" t="s">
        <v>42</v>
      </c>
      <c r="E2761" t="s">
        <v>43</v>
      </c>
      <c r="F2761" t="s">
        <v>44</v>
      </c>
      <c r="G2761" t="s">
        <v>45</v>
      </c>
      <c r="AH2761" t="s">
        <v>42</v>
      </c>
      <c r="AI2761" t="str">
        <f>"14620-KPF-900JP"</f>
        <v>14620-KPF-900JP</v>
      </c>
      <c r="AJ2761" t="str">
        <f>"14620-KPF-900JP"</f>
        <v>14620-KPF-900JP</v>
      </c>
      <c r="AK2761" t="s">
        <v>46</v>
      </c>
      <c r="AL2761" s="1">
        <v>44898.610266203701</v>
      </c>
      <c r="AM2761" t="s">
        <v>44</v>
      </c>
    </row>
    <row r="2762" spans="1:39" x14ac:dyDescent="0.2">
      <c r="A2762" t="s">
        <v>2602</v>
      </c>
      <c r="B2762" t="s">
        <v>40</v>
      </c>
      <c r="C2762" t="s">
        <v>129</v>
      </c>
      <c r="D2762" t="s">
        <v>42</v>
      </c>
      <c r="E2762" t="s">
        <v>43</v>
      </c>
      <c r="F2762" t="s">
        <v>44</v>
      </c>
      <c r="G2762" t="s">
        <v>45</v>
      </c>
      <c r="AH2762" t="s">
        <v>42</v>
      </c>
      <c r="AI2762" t="str">
        <f>"66298894669841"</f>
        <v>66298894669841</v>
      </c>
      <c r="AJ2762" t="str">
        <f>"Y119"</f>
        <v>Y119</v>
      </c>
      <c r="AK2762" t="s">
        <v>46</v>
      </c>
      <c r="AL2762" s="1">
        <v>44816.557245370372</v>
      </c>
      <c r="AM2762" t="s">
        <v>44</v>
      </c>
    </row>
    <row r="2763" spans="1:39" x14ac:dyDescent="0.2">
      <c r="A2763" t="s">
        <v>2603</v>
      </c>
      <c r="B2763" t="s">
        <v>40</v>
      </c>
      <c r="C2763" t="s">
        <v>129</v>
      </c>
      <c r="D2763" t="s">
        <v>42</v>
      </c>
      <c r="E2763" t="s">
        <v>43</v>
      </c>
      <c r="F2763" t="s">
        <v>44</v>
      </c>
      <c r="G2763" t="s">
        <v>45</v>
      </c>
      <c r="AH2763" t="s">
        <v>42</v>
      </c>
      <c r="AI2763" t="str">
        <f>"14500-KPF-305"</f>
        <v>14500-KPF-305</v>
      </c>
      <c r="AJ2763" t="str">
        <f>"14500-KPF-305"</f>
        <v>14500-KPF-305</v>
      </c>
      <c r="AK2763" t="s">
        <v>46</v>
      </c>
      <c r="AL2763" s="1">
        <v>44898.611990740741</v>
      </c>
      <c r="AM2763" t="s">
        <v>44</v>
      </c>
    </row>
    <row r="2764" spans="1:39" x14ac:dyDescent="0.2">
      <c r="A2764" t="s">
        <v>2604</v>
      </c>
      <c r="B2764" t="s">
        <v>40</v>
      </c>
      <c r="C2764" t="s">
        <v>129</v>
      </c>
      <c r="D2764" t="s">
        <v>42</v>
      </c>
      <c r="E2764" t="s">
        <v>43</v>
      </c>
      <c r="F2764" t="s">
        <v>44</v>
      </c>
      <c r="G2764" t="s">
        <v>45</v>
      </c>
      <c r="AH2764" t="s">
        <v>42</v>
      </c>
      <c r="AI2764" t="str">
        <f>"66298894710533"</f>
        <v>66298894710533</v>
      </c>
      <c r="AJ2764" t="str">
        <f>"11827"</f>
        <v>11827</v>
      </c>
      <c r="AK2764" t="s">
        <v>46</v>
      </c>
      <c r="AL2764" s="1">
        <v>44816.557256944441</v>
      </c>
      <c r="AM2764" t="s">
        <v>44</v>
      </c>
    </row>
    <row r="2765" spans="1:39" x14ac:dyDescent="0.2">
      <c r="A2765" t="s">
        <v>2605</v>
      </c>
      <c r="B2765" t="s">
        <v>40</v>
      </c>
      <c r="C2765" t="s">
        <v>129</v>
      </c>
      <c r="D2765" t="s">
        <v>42</v>
      </c>
      <c r="E2765" t="s">
        <v>43</v>
      </c>
      <c r="F2765" t="s">
        <v>44</v>
      </c>
      <c r="G2765" t="s">
        <v>45</v>
      </c>
      <c r="AH2765" t="s">
        <v>42</v>
      </c>
      <c r="AI2765" t="str">
        <f>"66298894758517"</f>
        <v>66298894758517</v>
      </c>
      <c r="AJ2765" t="str">
        <f>"7831"</f>
        <v>7831</v>
      </c>
      <c r="AK2765" t="s">
        <v>46</v>
      </c>
      <c r="AL2765" s="1">
        <v>44816.557256944441</v>
      </c>
      <c r="AM2765" t="s">
        <v>44</v>
      </c>
    </row>
    <row r="2766" spans="1:39" x14ac:dyDescent="0.2">
      <c r="A2766" t="s">
        <v>2605</v>
      </c>
      <c r="B2766" t="s">
        <v>40</v>
      </c>
      <c r="C2766" t="s">
        <v>129</v>
      </c>
      <c r="D2766" t="s">
        <v>42</v>
      </c>
      <c r="E2766" t="s">
        <v>43</v>
      </c>
      <c r="F2766" t="s">
        <v>44</v>
      </c>
      <c r="G2766" t="s">
        <v>45</v>
      </c>
      <c r="AH2766" t="s">
        <v>42</v>
      </c>
      <c r="AI2766" t="str">
        <f>"66298894813674"</f>
        <v>66298894813674</v>
      </c>
      <c r="AJ2766" t="str">
        <f>"CH003"</f>
        <v>CH003</v>
      </c>
      <c r="AK2766" t="s">
        <v>46</v>
      </c>
      <c r="AL2766" s="1">
        <v>44816.557268518518</v>
      </c>
      <c r="AM2766" t="s">
        <v>44</v>
      </c>
    </row>
    <row r="2767" spans="1:39" x14ac:dyDescent="0.2">
      <c r="A2767" t="s">
        <v>2606</v>
      </c>
      <c r="B2767" t="s">
        <v>40</v>
      </c>
      <c r="C2767" t="s">
        <v>129</v>
      </c>
      <c r="D2767" t="s">
        <v>42</v>
      </c>
      <c r="E2767" t="s">
        <v>43</v>
      </c>
      <c r="F2767" t="s">
        <v>44</v>
      </c>
      <c r="G2767" t="s">
        <v>45</v>
      </c>
      <c r="AH2767" t="s">
        <v>42</v>
      </c>
      <c r="AI2767" t="str">
        <f>"66298894859135"</f>
        <v>66298894859135</v>
      </c>
      <c r="AJ2767" t="str">
        <f>"1543"</f>
        <v>1543</v>
      </c>
      <c r="AK2767" t="s">
        <v>46</v>
      </c>
      <c r="AL2767" s="1">
        <v>44816.557268518518</v>
      </c>
      <c r="AM2767" t="s">
        <v>44</v>
      </c>
    </row>
    <row r="2768" spans="1:39" x14ac:dyDescent="0.2">
      <c r="A2768" t="s">
        <v>2606</v>
      </c>
      <c r="B2768" t="s">
        <v>40</v>
      </c>
      <c r="C2768" t="s">
        <v>129</v>
      </c>
      <c r="D2768" t="s">
        <v>42</v>
      </c>
      <c r="E2768" t="s">
        <v>43</v>
      </c>
      <c r="F2768" t="s">
        <v>44</v>
      </c>
      <c r="G2768" t="s">
        <v>45</v>
      </c>
      <c r="AH2768" t="s">
        <v>42</v>
      </c>
      <c r="AI2768" t="str">
        <f>"66298894866481"</f>
        <v>66298894866481</v>
      </c>
      <c r="AJ2768" t="str">
        <f>"01543"</f>
        <v>01543</v>
      </c>
      <c r="AK2768" t="s">
        <v>46</v>
      </c>
      <c r="AL2768" s="1">
        <v>44816.557268518518</v>
      </c>
      <c r="AM2768" t="s">
        <v>44</v>
      </c>
    </row>
    <row r="2769" spans="1:39" x14ac:dyDescent="0.2">
      <c r="A2769" t="s">
        <v>2607</v>
      </c>
      <c r="B2769" t="s">
        <v>40</v>
      </c>
      <c r="C2769" t="s">
        <v>2608</v>
      </c>
      <c r="D2769" t="s">
        <v>42</v>
      </c>
      <c r="E2769" t="s">
        <v>43</v>
      </c>
      <c r="F2769" t="s">
        <v>44</v>
      </c>
      <c r="G2769" t="s">
        <v>45</v>
      </c>
      <c r="AH2769" t="s">
        <v>42</v>
      </c>
      <c r="AI2769" t="str">
        <f>"CH004"</f>
        <v>CH004</v>
      </c>
      <c r="AJ2769" t="str">
        <f>"CH004"</f>
        <v>CH004</v>
      </c>
      <c r="AK2769" t="s">
        <v>46</v>
      </c>
      <c r="AL2769" s="1">
        <v>45092.89707175926</v>
      </c>
      <c r="AM2769" t="s">
        <v>44</v>
      </c>
    </row>
    <row r="2770" spans="1:39" x14ac:dyDescent="0.2">
      <c r="A2770" t="s">
        <v>2609</v>
      </c>
      <c r="B2770" t="s">
        <v>40</v>
      </c>
      <c r="C2770" t="s">
        <v>129</v>
      </c>
      <c r="D2770" t="s">
        <v>42</v>
      </c>
      <c r="E2770" t="s">
        <v>43</v>
      </c>
      <c r="F2770" t="s">
        <v>44</v>
      </c>
      <c r="G2770" t="s">
        <v>45</v>
      </c>
      <c r="AH2770" t="s">
        <v>42</v>
      </c>
      <c r="AI2770" t="str">
        <f>"66298894925758"</f>
        <v>66298894925758</v>
      </c>
      <c r="AJ2770" t="str">
        <f>"13520"</f>
        <v>13520</v>
      </c>
      <c r="AK2770" t="s">
        <v>46</v>
      </c>
      <c r="AL2770" s="1">
        <v>44816.557280092595</v>
      </c>
      <c r="AM2770" t="s">
        <v>44</v>
      </c>
    </row>
    <row r="2771" spans="1:39" x14ac:dyDescent="0.2">
      <c r="A2771" t="s">
        <v>2610</v>
      </c>
      <c r="B2771" t="s">
        <v>40</v>
      </c>
      <c r="C2771" t="s">
        <v>129</v>
      </c>
      <c r="D2771" t="s">
        <v>42</v>
      </c>
      <c r="E2771" t="s">
        <v>43</v>
      </c>
      <c r="F2771" t="s">
        <v>44</v>
      </c>
      <c r="G2771" t="s">
        <v>45</v>
      </c>
      <c r="AH2771" t="s">
        <v>42</v>
      </c>
      <c r="AI2771" t="str">
        <f>"66298894967530"</f>
        <v>66298894967530</v>
      </c>
      <c r="AJ2771" t="str">
        <f>"11826"</f>
        <v>11826</v>
      </c>
      <c r="AK2771" t="s">
        <v>46</v>
      </c>
      <c r="AL2771" s="1">
        <v>44816.557280092595</v>
      </c>
      <c r="AM2771" t="s">
        <v>44</v>
      </c>
    </row>
    <row r="2772" spans="1:39" x14ac:dyDescent="0.2">
      <c r="A2772" t="s">
        <v>2610</v>
      </c>
      <c r="B2772" t="s">
        <v>40</v>
      </c>
      <c r="C2772" t="s">
        <v>129</v>
      </c>
      <c r="D2772" t="s">
        <v>42</v>
      </c>
      <c r="E2772" t="s">
        <v>43</v>
      </c>
      <c r="F2772" t="s">
        <v>44</v>
      </c>
      <c r="G2772" t="s">
        <v>45</v>
      </c>
      <c r="AH2772" t="s">
        <v>42</v>
      </c>
      <c r="AI2772" t="str">
        <f>"20022"</f>
        <v>20022</v>
      </c>
      <c r="AJ2772" t="str">
        <f>"20022"</f>
        <v>20022</v>
      </c>
      <c r="AK2772" t="s">
        <v>46</v>
      </c>
      <c r="AL2772" s="1">
        <v>44816.557291666664</v>
      </c>
      <c r="AM2772" t="s">
        <v>44</v>
      </c>
    </row>
    <row r="2773" spans="1:39" x14ac:dyDescent="0.2">
      <c r="A2773" t="s">
        <v>2611</v>
      </c>
      <c r="B2773" t="s">
        <v>40</v>
      </c>
      <c r="C2773" t="s">
        <v>129</v>
      </c>
      <c r="D2773" t="s">
        <v>42</v>
      </c>
      <c r="E2773" t="s">
        <v>43</v>
      </c>
      <c r="F2773" t="s">
        <v>44</v>
      </c>
      <c r="G2773" t="s">
        <v>45</v>
      </c>
      <c r="AH2773" t="s">
        <v>42</v>
      </c>
      <c r="AI2773" t="str">
        <f>"66298895053735"</f>
        <v>66298895053735</v>
      </c>
      <c r="AJ2773" t="str">
        <f>"DK-1013-30"</f>
        <v>DK-1013-30</v>
      </c>
      <c r="AK2773" t="s">
        <v>46</v>
      </c>
      <c r="AL2773" s="1">
        <v>44816.557291666664</v>
      </c>
      <c r="AM2773" t="s">
        <v>44</v>
      </c>
    </row>
    <row r="2774" spans="1:39" x14ac:dyDescent="0.2">
      <c r="A2774" t="s">
        <v>2612</v>
      </c>
      <c r="B2774" t="s">
        <v>40</v>
      </c>
      <c r="C2774" t="s">
        <v>129</v>
      </c>
      <c r="D2774" t="s">
        <v>42</v>
      </c>
      <c r="E2774" t="s">
        <v>43</v>
      </c>
      <c r="F2774" t="s">
        <v>44</v>
      </c>
      <c r="G2774" t="s">
        <v>45</v>
      </c>
      <c r="AH2774" t="s">
        <v>42</v>
      </c>
      <c r="AI2774" t="str">
        <f>"66298895097488"</f>
        <v>66298895097488</v>
      </c>
      <c r="AJ2774" t="str">
        <f>"11828"</f>
        <v>11828</v>
      </c>
      <c r="AK2774" t="s">
        <v>46</v>
      </c>
      <c r="AL2774" s="1">
        <v>44816.557291666664</v>
      </c>
      <c r="AM2774" t="s">
        <v>44</v>
      </c>
    </row>
    <row r="2775" spans="1:39" x14ac:dyDescent="0.2">
      <c r="A2775" t="s">
        <v>2613</v>
      </c>
      <c r="B2775" t="s">
        <v>40</v>
      </c>
      <c r="C2775" t="s">
        <v>129</v>
      </c>
      <c r="D2775" t="s">
        <v>42</v>
      </c>
      <c r="E2775" t="s">
        <v>43</v>
      </c>
      <c r="F2775" t="s">
        <v>44</v>
      </c>
      <c r="G2775" t="s">
        <v>45</v>
      </c>
      <c r="AH2775" t="s">
        <v>42</v>
      </c>
      <c r="AI2775" t="str">
        <f>"66298895138771"</f>
        <v>66298895138771</v>
      </c>
      <c r="AJ2775" t="str">
        <f>"11830-GUIAY TENS"</f>
        <v>11830-GUIAY TENS</v>
      </c>
      <c r="AK2775" t="s">
        <v>46</v>
      </c>
      <c r="AL2775" s="1">
        <v>44816.557303240741</v>
      </c>
      <c r="AM2775" t="s">
        <v>44</v>
      </c>
    </row>
    <row r="2776" spans="1:39" x14ac:dyDescent="0.2">
      <c r="A2776" t="s">
        <v>2614</v>
      </c>
      <c r="B2776" t="s">
        <v>40</v>
      </c>
      <c r="C2776" t="s">
        <v>129</v>
      </c>
      <c r="D2776" t="s">
        <v>42</v>
      </c>
      <c r="E2776" t="s">
        <v>43</v>
      </c>
      <c r="F2776" t="s">
        <v>44</v>
      </c>
      <c r="G2776" t="s">
        <v>45</v>
      </c>
      <c r="AH2776" t="s">
        <v>42</v>
      </c>
      <c r="AI2776" t="str">
        <f>"66298895179840"</f>
        <v>66298895179840</v>
      </c>
      <c r="AJ2776" t="str">
        <f>"GUIA-TENS-DOMINA"</f>
        <v>GUIA-TENS-DOMINA</v>
      </c>
      <c r="AK2776" t="s">
        <v>46</v>
      </c>
      <c r="AL2776" s="1">
        <v>44816.557303240741</v>
      </c>
      <c r="AM2776" t="s">
        <v>44</v>
      </c>
    </row>
    <row r="2777" spans="1:39" x14ac:dyDescent="0.2">
      <c r="A2777" t="s">
        <v>2615</v>
      </c>
      <c r="B2777" t="s">
        <v>40</v>
      </c>
      <c r="C2777" t="s">
        <v>50</v>
      </c>
      <c r="D2777" t="s">
        <v>42</v>
      </c>
      <c r="E2777" t="s">
        <v>43</v>
      </c>
      <c r="F2777" t="s">
        <v>44</v>
      </c>
      <c r="G2777" t="s">
        <v>45</v>
      </c>
      <c r="AH2777" t="s">
        <v>42</v>
      </c>
      <c r="AI2777" t="str">
        <f>"66298895271761"</f>
        <v>66298895271761</v>
      </c>
      <c r="AJ2777" t="str">
        <f>"H158-B"</f>
        <v>H158-B</v>
      </c>
      <c r="AK2777" t="s">
        <v>46</v>
      </c>
      <c r="AL2777" s="1">
        <v>44816.557314814818</v>
      </c>
      <c r="AM2777" t="s">
        <v>44</v>
      </c>
    </row>
    <row r="2778" spans="1:39" x14ac:dyDescent="0.2">
      <c r="A2778" t="s">
        <v>2615</v>
      </c>
      <c r="B2778" t="s">
        <v>40</v>
      </c>
      <c r="C2778" t="s">
        <v>50</v>
      </c>
      <c r="D2778" t="s">
        <v>42</v>
      </c>
      <c r="E2778" t="s">
        <v>43</v>
      </c>
      <c r="F2778" t="s">
        <v>44</v>
      </c>
      <c r="G2778" t="s">
        <v>45</v>
      </c>
      <c r="AH2778" t="s">
        <v>42</v>
      </c>
      <c r="AI2778" t="str">
        <f>"66298895281160"</f>
        <v>66298895281160</v>
      </c>
      <c r="AJ2778" t="str">
        <f>"H158"</f>
        <v>H158</v>
      </c>
      <c r="AK2778" t="s">
        <v>46</v>
      </c>
      <c r="AL2778" s="1">
        <v>44816.557314814818</v>
      </c>
      <c r="AM2778" t="s">
        <v>44</v>
      </c>
    </row>
    <row r="2779" spans="1:39" x14ac:dyDescent="0.2">
      <c r="A2779" t="s">
        <v>2616</v>
      </c>
      <c r="B2779" t="s">
        <v>40</v>
      </c>
      <c r="C2779" t="s">
        <v>133</v>
      </c>
      <c r="D2779" t="s">
        <v>42</v>
      </c>
      <c r="E2779" t="s">
        <v>43</v>
      </c>
      <c r="F2779" t="s">
        <v>44</v>
      </c>
      <c r="G2779" t="s">
        <v>45</v>
      </c>
      <c r="AH2779" t="s">
        <v>42</v>
      </c>
      <c r="AI2779" t="str">
        <f>"66298895340030"</f>
        <v>66298895340030</v>
      </c>
      <c r="AJ2779" t="str">
        <f>"H128"</f>
        <v>H128</v>
      </c>
      <c r="AK2779" t="s">
        <v>46</v>
      </c>
      <c r="AL2779" s="1">
        <v>44816.557326388887</v>
      </c>
      <c r="AM2779" t="s">
        <v>44</v>
      </c>
    </row>
    <row r="2780" spans="1:39" x14ac:dyDescent="0.2">
      <c r="A2780" t="s">
        <v>2617</v>
      </c>
      <c r="B2780" t="s">
        <v>40</v>
      </c>
      <c r="C2780" t="s">
        <v>2596</v>
      </c>
      <c r="D2780" t="s">
        <v>42</v>
      </c>
      <c r="E2780" t="s">
        <v>43</v>
      </c>
      <c r="F2780" t="s">
        <v>44</v>
      </c>
      <c r="G2780" t="s">
        <v>45</v>
      </c>
      <c r="AH2780" t="s">
        <v>42</v>
      </c>
      <c r="AI2780" t="str">
        <f>"66298895390032"</f>
        <v>66298895390032</v>
      </c>
      <c r="AJ2780" t="str">
        <f>"BW125T12-E15-11"</f>
        <v>BW125T12-E15-11</v>
      </c>
      <c r="AK2780" t="s">
        <v>46</v>
      </c>
      <c r="AL2780" s="1">
        <v>44816.557326388887</v>
      </c>
      <c r="AM2780" t="s">
        <v>44</v>
      </c>
    </row>
    <row r="2781" spans="1:39" x14ac:dyDescent="0.2">
      <c r="A2781" t="s">
        <v>2618</v>
      </c>
      <c r="B2781" t="s">
        <v>40</v>
      </c>
      <c r="C2781" t="s">
        <v>2596</v>
      </c>
      <c r="D2781" t="s">
        <v>42</v>
      </c>
      <c r="E2781" t="s">
        <v>43</v>
      </c>
      <c r="F2781" t="s">
        <v>44</v>
      </c>
      <c r="G2781" t="s">
        <v>45</v>
      </c>
      <c r="AH2781" t="s">
        <v>42</v>
      </c>
      <c r="AI2781" t="str">
        <f>"66298895433888"</f>
        <v>66298895433888</v>
      </c>
      <c r="AJ2781" t="str">
        <f>"SA019"</f>
        <v>SA019</v>
      </c>
      <c r="AK2781" t="s">
        <v>46</v>
      </c>
      <c r="AL2781" s="1">
        <v>44816.557337962964</v>
      </c>
      <c r="AM2781" t="s">
        <v>44</v>
      </c>
    </row>
    <row r="2782" spans="1:39" x14ac:dyDescent="0.2">
      <c r="A2782" t="s">
        <v>2619</v>
      </c>
      <c r="B2782" t="s">
        <v>40</v>
      </c>
      <c r="C2782" t="s">
        <v>2596</v>
      </c>
      <c r="D2782" t="s">
        <v>42</v>
      </c>
      <c r="E2782" t="s">
        <v>43</v>
      </c>
      <c r="F2782" t="s">
        <v>44</v>
      </c>
      <c r="G2782" t="s">
        <v>45</v>
      </c>
      <c r="AH2782" t="s">
        <v>42</v>
      </c>
      <c r="AI2782" t="str">
        <f>"SA043"</f>
        <v>SA043</v>
      </c>
      <c r="AJ2782" t="str">
        <f>"SA043"</f>
        <v>SA043</v>
      </c>
      <c r="AK2782" t="s">
        <v>46</v>
      </c>
      <c r="AL2782" s="1">
        <v>44929.672407407408</v>
      </c>
      <c r="AM2782" t="s">
        <v>44</v>
      </c>
    </row>
    <row r="2783" spans="1:39" x14ac:dyDescent="0.2">
      <c r="A2783" t="s">
        <v>2620</v>
      </c>
      <c r="B2783" t="s">
        <v>40</v>
      </c>
      <c r="C2783" t="s">
        <v>2596</v>
      </c>
      <c r="D2783" t="s">
        <v>42</v>
      </c>
      <c r="E2783" t="s">
        <v>43</v>
      </c>
      <c r="F2783" t="s">
        <v>44</v>
      </c>
      <c r="G2783" t="s">
        <v>45</v>
      </c>
      <c r="AH2783" t="s">
        <v>42</v>
      </c>
      <c r="AI2783" t="str">
        <f>"SA004"</f>
        <v>SA004</v>
      </c>
      <c r="AJ2783" t="str">
        <f>"SA004"</f>
        <v>SA004</v>
      </c>
      <c r="AK2783" t="s">
        <v>46</v>
      </c>
      <c r="AL2783" s="1">
        <v>44846.637986111113</v>
      </c>
      <c r="AM2783" t="s">
        <v>44</v>
      </c>
    </row>
    <row r="2784" spans="1:39" x14ac:dyDescent="0.2">
      <c r="A2784" t="s">
        <v>2621</v>
      </c>
      <c r="B2784" t="s">
        <v>40</v>
      </c>
      <c r="C2784" t="s">
        <v>2596</v>
      </c>
      <c r="D2784" t="s">
        <v>42</v>
      </c>
      <c r="E2784" t="s">
        <v>43</v>
      </c>
      <c r="F2784" t="s">
        <v>44</v>
      </c>
      <c r="G2784" t="s">
        <v>45</v>
      </c>
      <c r="AH2784" t="s">
        <v>42</v>
      </c>
      <c r="AI2784" t="str">
        <f>"66298895478483"</f>
        <v>66298895478483</v>
      </c>
      <c r="AJ2784" t="str">
        <f>"SA006"</f>
        <v>SA006</v>
      </c>
      <c r="AK2784" t="s">
        <v>46</v>
      </c>
      <c r="AL2784" s="1">
        <v>44816.557337962964</v>
      </c>
      <c r="AM2784" t="s">
        <v>44</v>
      </c>
    </row>
    <row r="2785" spans="1:39" x14ac:dyDescent="0.2">
      <c r="A2785" t="s">
        <v>2622</v>
      </c>
      <c r="B2785" t="s">
        <v>40</v>
      </c>
      <c r="C2785" t="s">
        <v>2596</v>
      </c>
      <c r="D2785" t="s">
        <v>42</v>
      </c>
      <c r="E2785" t="s">
        <v>43</v>
      </c>
      <c r="F2785" t="s">
        <v>44</v>
      </c>
      <c r="G2785" t="s">
        <v>45</v>
      </c>
      <c r="AH2785" t="s">
        <v>42</v>
      </c>
      <c r="AI2785" t="str">
        <f>"66298895521549"</f>
        <v>66298895521549</v>
      </c>
      <c r="AJ2785" t="str">
        <f>"49CC42"</f>
        <v>49CC42</v>
      </c>
      <c r="AK2785" t="s">
        <v>46</v>
      </c>
      <c r="AL2785" s="1">
        <v>44816.557349537034</v>
      </c>
      <c r="AM2785" t="s">
        <v>44</v>
      </c>
    </row>
    <row r="2786" spans="1:39" x14ac:dyDescent="0.2">
      <c r="A2786" t="s">
        <v>2623</v>
      </c>
      <c r="B2786" t="s">
        <v>40</v>
      </c>
      <c r="C2786" t="s">
        <v>2596</v>
      </c>
      <c r="D2786" t="s">
        <v>42</v>
      </c>
      <c r="E2786" t="s">
        <v>43</v>
      </c>
      <c r="F2786" t="s">
        <v>44</v>
      </c>
      <c r="G2786" t="s">
        <v>45</v>
      </c>
      <c r="AH2786" t="s">
        <v>42</v>
      </c>
      <c r="AI2786" t="str">
        <f>"66298895565868"</f>
        <v>66298895565868</v>
      </c>
      <c r="AJ2786" t="str">
        <f>"SA049"</f>
        <v>SA049</v>
      </c>
      <c r="AK2786" t="s">
        <v>46</v>
      </c>
      <c r="AL2786" s="1">
        <v>44816.557349537034</v>
      </c>
      <c r="AM2786" t="s">
        <v>44</v>
      </c>
    </row>
    <row r="2787" spans="1:39" x14ac:dyDescent="0.2">
      <c r="A2787" t="s">
        <v>2624</v>
      </c>
      <c r="B2787" t="s">
        <v>40</v>
      </c>
      <c r="C2787" t="s">
        <v>2596</v>
      </c>
      <c r="D2787" t="s">
        <v>42</v>
      </c>
      <c r="E2787" t="s">
        <v>43</v>
      </c>
      <c r="F2787" t="s">
        <v>44</v>
      </c>
      <c r="G2787" t="s">
        <v>45</v>
      </c>
      <c r="AH2787" t="s">
        <v>42</v>
      </c>
      <c r="AI2787" t="str">
        <f>"66298895618815"</f>
        <v>66298895618815</v>
      </c>
      <c r="AJ2787" t="str">
        <f>"SA050"</f>
        <v>SA050</v>
      </c>
      <c r="AK2787" t="s">
        <v>46</v>
      </c>
      <c r="AL2787" s="1">
        <v>44816.55736111111</v>
      </c>
      <c r="AM2787" t="s">
        <v>44</v>
      </c>
    </row>
    <row r="2788" spans="1:39" x14ac:dyDescent="0.2">
      <c r="A2788" t="s">
        <v>2625</v>
      </c>
      <c r="B2788" t="s">
        <v>40</v>
      </c>
      <c r="C2788" t="s">
        <v>2596</v>
      </c>
      <c r="D2788" t="s">
        <v>42</v>
      </c>
      <c r="E2788" t="s">
        <v>43</v>
      </c>
      <c r="F2788" t="s">
        <v>44</v>
      </c>
      <c r="G2788" t="s">
        <v>45</v>
      </c>
      <c r="AH2788" t="s">
        <v>42</v>
      </c>
      <c r="AI2788" t="str">
        <f>"SA053"</f>
        <v>SA053</v>
      </c>
      <c r="AJ2788" t="str">
        <f>"SA053"</f>
        <v>SA053</v>
      </c>
      <c r="AK2788" t="s">
        <v>46</v>
      </c>
      <c r="AL2788" s="1">
        <v>44853.648738425924</v>
      </c>
      <c r="AM2788" t="s">
        <v>44</v>
      </c>
    </row>
    <row r="2789" spans="1:39" x14ac:dyDescent="0.2">
      <c r="A2789" t="s">
        <v>2626</v>
      </c>
      <c r="B2789" t="s">
        <v>40</v>
      </c>
      <c r="C2789" t="s">
        <v>2596</v>
      </c>
      <c r="D2789" t="s">
        <v>42</v>
      </c>
      <c r="E2789" t="s">
        <v>43</v>
      </c>
      <c r="F2789" t="s">
        <v>44</v>
      </c>
      <c r="G2789" t="s">
        <v>45</v>
      </c>
      <c r="AH2789" t="s">
        <v>42</v>
      </c>
      <c r="AI2789" t="str">
        <f>"SA014"</f>
        <v>SA014</v>
      </c>
      <c r="AJ2789" t="str">
        <f>"SA014"</f>
        <v>SA014</v>
      </c>
      <c r="AK2789" t="s">
        <v>46</v>
      </c>
      <c r="AL2789" s="1">
        <v>44846.639699074076</v>
      </c>
      <c r="AM2789" t="s">
        <v>44</v>
      </c>
    </row>
    <row r="2790" spans="1:39" x14ac:dyDescent="0.2">
      <c r="A2790" t="s">
        <v>2627</v>
      </c>
      <c r="B2790" t="s">
        <v>40</v>
      </c>
      <c r="C2790" t="s">
        <v>50</v>
      </c>
      <c r="D2790" t="s">
        <v>42</v>
      </c>
      <c r="E2790" t="s">
        <v>43</v>
      </c>
      <c r="F2790" t="s">
        <v>44</v>
      </c>
      <c r="G2790" t="s">
        <v>45</v>
      </c>
      <c r="H2790" t="s">
        <v>1118</v>
      </c>
      <c r="AH2790" t="s">
        <v>42</v>
      </c>
      <c r="AI2790" t="str">
        <f>"3010101"</f>
        <v>3010101</v>
      </c>
      <c r="AJ2790" t="str">
        <f>"3010101"</f>
        <v>3010101</v>
      </c>
      <c r="AK2790" t="s">
        <v>46</v>
      </c>
      <c r="AL2790" s="1">
        <v>45134.844386574077</v>
      </c>
      <c r="AM2790" t="s">
        <v>44</v>
      </c>
    </row>
    <row r="2791" spans="1:39" x14ac:dyDescent="0.2">
      <c r="A2791" t="s">
        <v>2628</v>
      </c>
      <c r="B2791" t="s">
        <v>40</v>
      </c>
      <c r="C2791" t="s">
        <v>50</v>
      </c>
      <c r="D2791" t="s">
        <v>42</v>
      </c>
      <c r="E2791" t="s">
        <v>43</v>
      </c>
      <c r="F2791" t="s">
        <v>44</v>
      </c>
      <c r="G2791" t="s">
        <v>45</v>
      </c>
      <c r="AH2791" t="s">
        <v>42</v>
      </c>
      <c r="AI2791" t="str">
        <f>"66298895666130"</f>
        <v>66298895666130</v>
      </c>
      <c r="AJ2791" t="str">
        <f>"HR-3000-AM"</f>
        <v>HR-3000-AM</v>
      </c>
      <c r="AK2791" t="s">
        <v>46</v>
      </c>
      <c r="AL2791" s="1">
        <v>44816.55736111111</v>
      </c>
      <c r="AM2791" t="s">
        <v>44</v>
      </c>
    </row>
    <row r="2792" spans="1:39" x14ac:dyDescent="0.2">
      <c r="A2792" t="s">
        <v>2629</v>
      </c>
      <c r="B2792" t="s">
        <v>40</v>
      </c>
      <c r="C2792" t="s">
        <v>50</v>
      </c>
      <c r="D2792" t="s">
        <v>42</v>
      </c>
      <c r="E2792" t="s">
        <v>43</v>
      </c>
      <c r="F2792" t="s">
        <v>44</v>
      </c>
      <c r="G2792" t="s">
        <v>45</v>
      </c>
      <c r="H2792" t="s">
        <v>1123</v>
      </c>
      <c r="AH2792" t="s">
        <v>42</v>
      </c>
      <c r="AI2792" t="str">
        <f>"3010047"</f>
        <v>3010047</v>
      </c>
      <c r="AJ2792" t="str">
        <f>"3010047"</f>
        <v>3010047</v>
      </c>
      <c r="AK2792" t="s">
        <v>46</v>
      </c>
      <c r="AL2792" s="1">
        <v>45134.844039351854</v>
      </c>
      <c r="AM2792" t="s">
        <v>44</v>
      </c>
    </row>
    <row r="2793" spans="1:39" x14ac:dyDescent="0.2">
      <c r="A2793" t="s">
        <v>2630</v>
      </c>
      <c r="B2793" t="s">
        <v>40</v>
      </c>
      <c r="C2793" t="s">
        <v>50</v>
      </c>
      <c r="D2793" t="s">
        <v>42</v>
      </c>
      <c r="E2793" t="s">
        <v>43</v>
      </c>
      <c r="F2793" t="s">
        <v>44</v>
      </c>
      <c r="G2793" t="s">
        <v>45</v>
      </c>
      <c r="AH2793" t="s">
        <v>42</v>
      </c>
      <c r="AI2793" t="str">
        <f>"66298895710427"</f>
        <v>66298895710427</v>
      </c>
      <c r="AJ2793" t="str">
        <f>"HR-3000-R"</f>
        <v>HR-3000-R</v>
      </c>
      <c r="AK2793" t="s">
        <v>46</v>
      </c>
      <c r="AL2793" s="1">
        <v>44816.557372685187</v>
      </c>
      <c r="AM2793" t="s">
        <v>44</v>
      </c>
    </row>
    <row r="2794" spans="1:39" x14ac:dyDescent="0.2">
      <c r="A2794" t="s">
        <v>2631</v>
      </c>
      <c r="B2794" t="s">
        <v>48</v>
      </c>
      <c r="C2794" t="s">
        <v>2632</v>
      </c>
      <c r="D2794" t="s">
        <v>42</v>
      </c>
      <c r="E2794" t="s">
        <v>42</v>
      </c>
      <c r="F2794" t="s">
        <v>44</v>
      </c>
      <c r="G2794" t="s">
        <v>45</v>
      </c>
      <c r="AH2794" t="s">
        <v>42</v>
      </c>
      <c r="AI2794" t="str">
        <f>"INSCRIPCION"</f>
        <v>INSCRIPCION</v>
      </c>
      <c r="AJ2794" t="str">
        <f>"INSCRIPCION"</f>
        <v>INSCRIPCION</v>
      </c>
      <c r="AK2794" t="s">
        <v>46</v>
      </c>
      <c r="AL2794" s="1">
        <v>44975.597303240742</v>
      </c>
      <c r="AM2794" t="s">
        <v>44</v>
      </c>
    </row>
    <row r="2795" spans="1:39" x14ac:dyDescent="0.2">
      <c r="A2795" t="s">
        <v>2633</v>
      </c>
      <c r="B2795" t="s">
        <v>40</v>
      </c>
      <c r="C2795" t="s">
        <v>1143</v>
      </c>
      <c r="D2795" t="s">
        <v>42</v>
      </c>
      <c r="E2795" t="s">
        <v>43</v>
      </c>
      <c r="F2795" t="s">
        <v>44</v>
      </c>
      <c r="G2795" t="s">
        <v>45</v>
      </c>
      <c r="AH2795" t="s">
        <v>42</v>
      </c>
      <c r="AI2795" t="str">
        <f>"66298895757990"</f>
        <v>66298895757990</v>
      </c>
      <c r="AJ2795" t="str">
        <f>"49CC69"</f>
        <v>49CC69</v>
      </c>
      <c r="AK2795" t="s">
        <v>46</v>
      </c>
      <c r="AL2795" s="1">
        <v>44816.557372685187</v>
      </c>
      <c r="AM2795" t="s">
        <v>44</v>
      </c>
    </row>
    <row r="2796" spans="1:39" x14ac:dyDescent="0.2">
      <c r="A2796" t="s">
        <v>2634</v>
      </c>
      <c r="B2796" t="s">
        <v>40</v>
      </c>
      <c r="C2796" t="s">
        <v>1143</v>
      </c>
      <c r="D2796" t="s">
        <v>42</v>
      </c>
      <c r="E2796" t="s">
        <v>43</v>
      </c>
      <c r="F2796" t="s">
        <v>44</v>
      </c>
      <c r="G2796" t="s">
        <v>45</v>
      </c>
      <c r="AH2796" t="s">
        <v>42</v>
      </c>
      <c r="AI2796" t="str">
        <f>"66298895803760"</f>
        <v>66298895803760</v>
      </c>
      <c r="AJ2796" t="str">
        <f>"B075"</f>
        <v>B075</v>
      </c>
      <c r="AK2796" t="s">
        <v>46</v>
      </c>
      <c r="AL2796" s="1">
        <v>44816.557384259257</v>
      </c>
      <c r="AM2796" t="s">
        <v>44</v>
      </c>
    </row>
    <row r="2797" spans="1:39" x14ac:dyDescent="0.2">
      <c r="A2797" t="s">
        <v>2635</v>
      </c>
      <c r="B2797" t="s">
        <v>40</v>
      </c>
      <c r="C2797" t="s">
        <v>1143</v>
      </c>
      <c r="D2797" t="s">
        <v>42</v>
      </c>
      <c r="E2797" t="s">
        <v>43</v>
      </c>
      <c r="F2797" t="s">
        <v>44</v>
      </c>
      <c r="G2797" t="s">
        <v>45</v>
      </c>
      <c r="AH2797" t="s">
        <v>42</v>
      </c>
      <c r="AI2797" t="str">
        <f>"66298895843269"</f>
        <v>66298895843269</v>
      </c>
      <c r="AJ2797" t="str">
        <f>"82331"</f>
        <v>82331</v>
      </c>
      <c r="AK2797" t="s">
        <v>46</v>
      </c>
      <c r="AL2797" s="1">
        <v>44816.557384259257</v>
      </c>
      <c r="AM2797" t="s">
        <v>44</v>
      </c>
    </row>
    <row r="2798" spans="1:39" x14ac:dyDescent="0.2">
      <c r="A2798" t="s">
        <v>2636</v>
      </c>
      <c r="B2798" t="s">
        <v>40</v>
      </c>
      <c r="C2798" t="s">
        <v>2637</v>
      </c>
      <c r="D2798" t="s">
        <v>42</v>
      </c>
      <c r="E2798" t="s">
        <v>43</v>
      </c>
      <c r="F2798" t="s">
        <v>44</v>
      </c>
      <c r="G2798" t="s">
        <v>45</v>
      </c>
      <c r="AH2798" t="s">
        <v>42</v>
      </c>
      <c r="AI2798" t="str">
        <f>"U030"</f>
        <v>U030</v>
      </c>
      <c r="AJ2798" t="str">
        <f>"U030"</f>
        <v>U030</v>
      </c>
      <c r="AK2798" t="s">
        <v>46</v>
      </c>
      <c r="AL2798" s="1">
        <v>45092.898136574076</v>
      </c>
      <c r="AM2798" t="s">
        <v>44</v>
      </c>
    </row>
    <row r="2799" spans="1:39" x14ac:dyDescent="0.2">
      <c r="A2799" t="s">
        <v>2636</v>
      </c>
      <c r="B2799" t="s">
        <v>40</v>
      </c>
      <c r="C2799" t="s">
        <v>2637</v>
      </c>
      <c r="D2799" t="s">
        <v>42</v>
      </c>
      <c r="E2799" t="s">
        <v>43</v>
      </c>
      <c r="F2799" t="s">
        <v>44</v>
      </c>
      <c r="G2799" t="s">
        <v>45</v>
      </c>
      <c r="AH2799" t="s">
        <v>42</v>
      </c>
      <c r="AI2799" t="str">
        <f>"XA002"</f>
        <v>XA002</v>
      </c>
      <c r="AJ2799" t="str">
        <f>"XA002"</f>
        <v>XA002</v>
      </c>
      <c r="AK2799" t="s">
        <v>46</v>
      </c>
      <c r="AL2799" s="1">
        <v>45092.898726851854</v>
      </c>
      <c r="AM2799" t="s">
        <v>44</v>
      </c>
    </row>
    <row r="2800" spans="1:39" x14ac:dyDescent="0.2">
      <c r="A2800" t="s">
        <v>2638</v>
      </c>
      <c r="B2800" t="s">
        <v>40</v>
      </c>
      <c r="C2800" t="s">
        <v>1143</v>
      </c>
      <c r="D2800" t="s">
        <v>42</v>
      </c>
      <c r="E2800" t="s">
        <v>43</v>
      </c>
      <c r="F2800" t="s">
        <v>44</v>
      </c>
      <c r="G2800" t="s">
        <v>45</v>
      </c>
      <c r="AH2800" t="s">
        <v>42</v>
      </c>
      <c r="AI2800" t="str">
        <f>"66298895884673"</f>
        <v>66298895884673</v>
      </c>
      <c r="AJ2800" t="str">
        <f>"E011"</f>
        <v>E011</v>
      </c>
      <c r="AK2800" t="s">
        <v>46</v>
      </c>
      <c r="AL2800" s="1">
        <v>44816.557384259257</v>
      </c>
      <c r="AM2800" t="s">
        <v>44</v>
      </c>
    </row>
    <row r="2801" spans="1:39" x14ac:dyDescent="0.2">
      <c r="A2801" t="s">
        <v>2639</v>
      </c>
      <c r="B2801" t="s">
        <v>40</v>
      </c>
      <c r="C2801" t="s">
        <v>1143</v>
      </c>
      <c r="D2801" t="s">
        <v>42</v>
      </c>
      <c r="E2801" t="s">
        <v>43</v>
      </c>
      <c r="F2801" t="s">
        <v>44</v>
      </c>
      <c r="G2801" t="s">
        <v>45</v>
      </c>
      <c r="AH2801" t="s">
        <v>42</v>
      </c>
      <c r="AI2801" t="str">
        <f>"66298895931161"</f>
        <v>66298895931161</v>
      </c>
      <c r="AJ2801" t="str">
        <f>"XA019"</f>
        <v>XA019</v>
      </c>
      <c r="AK2801" t="s">
        <v>46</v>
      </c>
      <c r="AL2801" s="1">
        <v>44816.557395833333</v>
      </c>
      <c r="AM2801" t="s">
        <v>44</v>
      </c>
    </row>
    <row r="2802" spans="1:39" x14ac:dyDescent="0.2">
      <c r="A2802" t="s">
        <v>2640</v>
      </c>
      <c r="B2802" t="s">
        <v>40</v>
      </c>
      <c r="C2802" t="s">
        <v>1143</v>
      </c>
      <c r="D2802" t="s">
        <v>42</v>
      </c>
      <c r="E2802" t="s">
        <v>43</v>
      </c>
      <c r="F2802" t="s">
        <v>44</v>
      </c>
      <c r="G2802" t="s">
        <v>45</v>
      </c>
      <c r="AH2802" t="s">
        <v>42</v>
      </c>
      <c r="AI2802" t="str">
        <f>"66298896019807"</f>
        <v>66298896019807</v>
      </c>
      <c r="AJ2802" t="str">
        <f>"16210-437-000BR"</f>
        <v>16210-437-000BR</v>
      </c>
      <c r="AK2802" t="s">
        <v>46</v>
      </c>
      <c r="AL2802" s="1">
        <v>44816.55740740741</v>
      </c>
      <c r="AM2802" t="s">
        <v>44</v>
      </c>
    </row>
    <row r="2803" spans="1:39" x14ac:dyDescent="0.2">
      <c r="A2803" t="s">
        <v>2641</v>
      </c>
      <c r="B2803" t="s">
        <v>40</v>
      </c>
      <c r="C2803" t="s">
        <v>2637</v>
      </c>
      <c r="D2803" t="s">
        <v>42</v>
      </c>
      <c r="E2803" t="s">
        <v>43</v>
      </c>
      <c r="F2803" t="s">
        <v>44</v>
      </c>
      <c r="G2803" t="s">
        <v>45</v>
      </c>
      <c r="AH2803" t="s">
        <v>42</v>
      </c>
      <c r="AI2803" t="str">
        <f>"589003"</f>
        <v>589003</v>
      </c>
      <c r="AJ2803" t="str">
        <f>"589003"</f>
        <v>589003</v>
      </c>
      <c r="AK2803" t="s">
        <v>46</v>
      </c>
      <c r="AL2803" s="1">
        <v>45092.906111111108</v>
      </c>
      <c r="AM2803" t="s">
        <v>44</v>
      </c>
    </row>
    <row r="2804" spans="1:39" x14ac:dyDescent="0.2">
      <c r="A2804" t="s">
        <v>2642</v>
      </c>
      <c r="B2804" t="s">
        <v>40</v>
      </c>
      <c r="C2804" t="s">
        <v>1143</v>
      </c>
      <c r="D2804" t="s">
        <v>42</v>
      </c>
      <c r="E2804" t="s">
        <v>43</v>
      </c>
      <c r="F2804" t="s">
        <v>44</v>
      </c>
      <c r="G2804" t="s">
        <v>45</v>
      </c>
      <c r="AH2804" t="s">
        <v>42</v>
      </c>
      <c r="AI2804" t="str">
        <f>"66298896060035"</f>
        <v>66298896060035</v>
      </c>
      <c r="AJ2804" t="str">
        <f>"XA014"</f>
        <v>XA014</v>
      </c>
      <c r="AK2804" t="s">
        <v>46</v>
      </c>
      <c r="AL2804" s="1">
        <v>44816.55740740741</v>
      </c>
      <c r="AM2804" t="s">
        <v>44</v>
      </c>
    </row>
    <row r="2805" spans="1:39" x14ac:dyDescent="0.2">
      <c r="A2805" t="s">
        <v>2643</v>
      </c>
      <c r="B2805" t="s">
        <v>40</v>
      </c>
      <c r="C2805" t="s">
        <v>1143</v>
      </c>
      <c r="D2805" t="s">
        <v>42</v>
      </c>
      <c r="E2805" t="s">
        <v>43</v>
      </c>
      <c r="F2805" t="s">
        <v>44</v>
      </c>
      <c r="G2805" t="s">
        <v>45</v>
      </c>
      <c r="AH2805" t="s">
        <v>42</v>
      </c>
      <c r="AI2805" t="str">
        <f>"66298896106876"</f>
        <v>66298896106876</v>
      </c>
      <c r="AJ2805" t="str">
        <f>"38B-E3585-00"</f>
        <v>38B-E3585-00</v>
      </c>
      <c r="AK2805" t="s">
        <v>46</v>
      </c>
      <c r="AL2805" s="1">
        <v>44816.55741898148</v>
      </c>
      <c r="AM2805" t="s">
        <v>44</v>
      </c>
    </row>
    <row r="2806" spans="1:39" x14ac:dyDescent="0.2">
      <c r="A2806" t="s">
        <v>2644</v>
      </c>
      <c r="B2806" t="s">
        <v>40</v>
      </c>
      <c r="C2806" t="s">
        <v>129</v>
      </c>
      <c r="D2806" t="s">
        <v>42</v>
      </c>
      <c r="E2806" t="s">
        <v>43</v>
      </c>
      <c r="F2806" t="s">
        <v>44</v>
      </c>
      <c r="G2806" t="s">
        <v>45</v>
      </c>
      <c r="AH2806" t="s">
        <v>42</v>
      </c>
      <c r="AI2806" t="str">
        <f>"66298896152067"</f>
        <v>66298896152067</v>
      </c>
      <c r="AJ2806" t="str">
        <f>"R056"</f>
        <v>R056</v>
      </c>
      <c r="AK2806" t="s">
        <v>46</v>
      </c>
      <c r="AL2806" s="1">
        <v>44816.55741898148</v>
      </c>
      <c r="AM2806" t="s">
        <v>44</v>
      </c>
    </row>
    <row r="2807" spans="1:39" x14ac:dyDescent="0.2">
      <c r="A2807" t="s">
        <v>2645</v>
      </c>
      <c r="B2807" t="s">
        <v>40</v>
      </c>
      <c r="C2807" t="s">
        <v>2637</v>
      </c>
      <c r="D2807" t="s">
        <v>42</v>
      </c>
      <c r="E2807" t="s">
        <v>43</v>
      </c>
      <c r="F2807" t="s">
        <v>44</v>
      </c>
      <c r="G2807" t="s">
        <v>45</v>
      </c>
      <c r="AH2807" t="s">
        <v>42</v>
      </c>
      <c r="AI2807" t="str">
        <f>"GAA001"</f>
        <v>GAA001</v>
      </c>
      <c r="AJ2807" t="str">
        <f>"GAA001"</f>
        <v>GAA001</v>
      </c>
      <c r="AK2807" t="s">
        <v>46</v>
      </c>
      <c r="AL2807" s="1">
        <v>45006.713136574072</v>
      </c>
      <c r="AM2807" t="s">
        <v>44</v>
      </c>
    </row>
    <row r="2808" spans="1:39" x14ac:dyDescent="0.2">
      <c r="A2808" t="s">
        <v>2646</v>
      </c>
      <c r="B2808" t="s">
        <v>40</v>
      </c>
      <c r="C2808" t="s">
        <v>1143</v>
      </c>
      <c r="D2808" t="s">
        <v>42</v>
      </c>
      <c r="E2808" t="s">
        <v>43</v>
      </c>
      <c r="F2808" t="s">
        <v>44</v>
      </c>
      <c r="G2808" t="s">
        <v>45</v>
      </c>
      <c r="AH2808" t="s">
        <v>42</v>
      </c>
      <c r="AI2808" t="str">
        <f>"66298896192923"</f>
        <v>66298896192923</v>
      </c>
      <c r="AJ2808" t="str">
        <f>"XA006"</f>
        <v>XA006</v>
      </c>
      <c r="AK2808" t="s">
        <v>46</v>
      </c>
      <c r="AL2808" s="1">
        <v>44816.55741898148</v>
      </c>
      <c r="AM2808" t="s">
        <v>44</v>
      </c>
    </row>
    <row r="2809" spans="1:39" x14ac:dyDescent="0.2">
      <c r="A2809" t="s">
        <v>2647</v>
      </c>
      <c r="B2809" t="s">
        <v>40</v>
      </c>
      <c r="C2809" t="s">
        <v>555</v>
      </c>
      <c r="D2809" t="s">
        <v>42</v>
      </c>
      <c r="E2809" t="s">
        <v>43</v>
      </c>
      <c r="F2809" t="s">
        <v>44</v>
      </c>
      <c r="G2809" t="s">
        <v>45</v>
      </c>
      <c r="AH2809" t="s">
        <v>42</v>
      </c>
      <c r="AI2809" t="str">
        <f>"66298896235068"</f>
        <v>66298896235068</v>
      </c>
      <c r="AJ2809" t="str">
        <f>"I-S-1958"</f>
        <v>I-S-1958</v>
      </c>
      <c r="AK2809" t="s">
        <v>46</v>
      </c>
      <c r="AL2809" s="1">
        <v>44816.557430555556</v>
      </c>
      <c r="AM2809" t="s">
        <v>44</v>
      </c>
    </row>
    <row r="2810" spans="1:39" x14ac:dyDescent="0.2">
      <c r="A2810" t="s">
        <v>2648</v>
      </c>
      <c r="B2810" t="s">
        <v>40</v>
      </c>
      <c r="C2810" t="s">
        <v>1677</v>
      </c>
      <c r="D2810" t="s">
        <v>42</v>
      </c>
      <c r="E2810" t="s">
        <v>43</v>
      </c>
      <c r="F2810" t="s">
        <v>44</v>
      </c>
      <c r="G2810" t="s">
        <v>45</v>
      </c>
      <c r="H2810" t="s">
        <v>2649</v>
      </c>
      <c r="AH2810" t="s">
        <v>42</v>
      </c>
      <c r="AI2810" t="str">
        <f>"RO-3124"</f>
        <v>RO-3124</v>
      </c>
      <c r="AJ2810" t="str">
        <f>"RO-3124"</f>
        <v>RO-3124</v>
      </c>
      <c r="AK2810" t="s">
        <v>1228</v>
      </c>
      <c r="AL2810" s="1">
        <v>44837.644108796296</v>
      </c>
      <c r="AM2810" t="s">
        <v>44</v>
      </c>
    </row>
    <row r="2811" spans="1:39" x14ac:dyDescent="0.2">
      <c r="A2811" t="s">
        <v>2648</v>
      </c>
      <c r="B2811" t="s">
        <v>40</v>
      </c>
      <c r="C2811" t="s">
        <v>1677</v>
      </c>
      <c r="D2811" t="s">
        <v>42</v>
      </c>
      <c r="E2811" t="s">
        <v>43</v>
      </c>
      <c r="F2811" t="s">
        <v>44</v>
      </c>
      <c r="G2811" t="s">
        <v>45</v>
      </c>
      <c r="H2811" t="s">
        <v>2650</v>
      </c>
      <c r="AH2811" t="s">
        <v>42</v>
      </c>
      <c r="AI2811" t="str">
        <f>"RO-3128"</f>
        <v>RO-3128</v>
      </c>
      <c r="AJ2811" t="str">
        <f>"RO-3128"</f>
        <v>RO-3128</v>
      </c>
      <c r="AK2811" t="s">
        <v>46</v>
      </c>
      <c r="AL2811" s="1">
        <v>44837.635787037034</v>
      </c>
      <c r="AM2811" t="s">
        <v>44</v>
      </c>
    </row>
    <row r="2812" spans="1:39" x14ac:dyDescent="0.2">
      <c r="A2812" t="s">
        <v>2648</v>
      </c>
      <c r="B2812" t="s">
        <v>40</v>
      </c>
      <c r="C2812" t="s">
        <v>1677</v>
      </c>
      <c r="D2812" t="s">
        <v>42</v>
      </c>
      <c r="E2812" t="s">
        <v>43</v>
      </c>
      <c r="F2812" t="s">
        <v>44</v>
      </c>
      <c r="G2812" t="s">
        <v>45</v>
      </c>
      <c r="H2812" t="s">
        <v>2651</v>
      </c>
      <c r="AH2812" t="s">
        <v>42</v>
      </c>
      <c r="AI2812" t="str">
        <f>"RO-3150"</f>
        <v>RO-3150</v>
      </c>
      <c r="AJ2812" t="str">
        <f>"RO-3150"</f>
        <v>RO-3150</v>
      </c>
      <c r="AK2812" t="s">
        <v>46</v>
      </c>
      <c r="AL2812" s="1">
        <v>44846.837812500002</v>
      </c>
      <c r="AM2812" t="s">
        <v>44</v>
      </c>
    </row>
    <row r="2813" spans="1:39" x14ac:dyDescent="0.2">
      <c r="A2813" t="s">
        <v>2648</v>
      </c>
      <c r="B2813" t="s">
        <v>40</v>
      </c>
      <c r="C2813" t="s">
        <v>1677</v>
      </c>
      <c r="D2813" t="s">
        <v>42</v>
      </c>
      <c r="E2813" t="s">
        <v>43</v>
      </c>
      <c r="F2813" t="s">
        <v>44</v>
      </c>
      <c r="G2813" t="s">
        <v>45</v>
      </c>
      <c r="H2813" t="s">
        <v>2652</v>
      </c>
      <c r="AH2813" t="s">
        <v>42</v>
      </c>
      <c r="AI2813" t="str">
        <f>"RO-3151"</f>
        <v>RO-3151</v>
      </c>
      <c r="AJ2813" t="str">
        <f>"RO-3151"</f>
        <v>RO-3151</v>
      </c>
      <c r="AK2813" t="s">
        <v>46</v>
      </c>
      <c r="AL2813" s="1">
        <v>44846.842824074076</v>
      </c>
      <c r="AM2813" t="s">
        <v>44</v>
      </c>
    </row>
    <row r="2814" spans="1:39" x14ac:dyDescent="0.2">
      <c r="A2814" t="s">
        <v>2648</v>
      </c>
      <c r="B2814" t="s">
        <v>40</v>
      </c>
      <c r="C2814" t="s">
        <v>1677</v>
      </c>
      <c r="D2814" t="s">
        <v>42</v>
      </c>
      <c r="E2814" t="s">
        <v>43</v>
      </c>
      <c r="F2814" t="s">
        <v>44</v>
      </c>
      <c r="G2814" t="s">
        <v>45</v>
      </c>
      <c r="H2814" t="s">
        <v>2653</v>
      </c>
      <c r="AH2814" t="s">
        <v>42</v>
      </c>
      <c r="AI2814" t="str">
        <f>"RO-3127"</f>
        <v>RO-3127</v>
      </c>
      <c r="AJ2814" t="str">
        <f>"RO-3127"</f>
        <v>RO-3127</v>
      </c>
      <c r="AK2814" t="s">
        <v>46</v>
      </c>
      <c r="AL2814" s="1">
        <v>44837.638993055552</v>
      </c>
      <c r="AM2814" t="s">
        <v>44</v>
      </c>
    </row>
    <row r="2815" spans="1:39" x14ac:dyDescent="0.2">
      <c r="A2815" t="s">
        <v>2654</v>
      </c>
      <c r="B2815" t="s">
        <v>40</v>
      </c>
      <c r="C2815" t="s">
        <v>1677</v>
      </c>
      <c r="D2815" t="s">
        <v>42</v>
      </c>
      <c r="E2815" t="s">
        <v>43</v>
      </c>
      <c r="F2815" t="s">
        <v>44</v>
      </c>
      <c r="G2815" t="s">
        <v>45</v>
      </c>
      <c r="H2815" t="s">
        <v>2655</v>
      </c>
      <c r="AH2815" t="s">
        <v>42</v>
      </c>
      <c r="AI2815" t="str">
        <f>"RO-3180"</f>
        <v>RO-3180</v>
      </c>
      <c r="AJ2815" t="str">
        <f>"RO-3180"</f>
        <v>RO-3180</v>
      </c>
      <c r="AK2815" t="s">
        <v>46</v>
      </c>
      <c r="AL2815" s="1">
        <v>44846.873784722222</v>
      </c>
      <c r="AM2815" t="s">
        <v>44</v>
      </c>
    </row>
    <row r="2816" spans="1:39" x14ac:dyDescent="0.2">
      <c r="A2816" t="s">
        <v>2654</v>
      </c>
      <c r="B2816" t="s">
        <v>40</v>
      </c>
      <c r="C2816" t="s">
        <v>1677</v>
      </c>
      <c r="D2816" t="s">
        <v>42</v>
      </c>
      <c r="E2816" t="s">
        <v>43</v>
      </c>
      <c r="F2816" t="s">
        <v>44</v>
      </c>
      <c r="G2816" t="s">
        <v>45</v>
      </c>
      <c r="H2816" t="s">
        <v>2656</v>
      </c>
      <c r="AH2816" t="s">
        <v>42</v>
      </c>
      <c r="AI2816" t="str">
        <f>"RO-3179"</f>
        <v>RO-3179</v>
      </c>
      <c r="AJ2816" t="str">
        <f>"RO-3179"</f>
        <v>RO-3179</v>
      </c>
      <c r="AK2816" t="s">
        <v>46</v>
      </c>
      <c r="AL2816" s="1">
        <v>44846.868784722225</v>
      </c>
      <c r="AM2816" t="s">
        <v>44</v>
      </c>
    </row>
    <row r="2817" spans="1:39" x14ac:dyDescent="0.2">
      <c r="A2817" t="s">
        <v>2657</v>
      </c>
      <c r="B2817" t="s">
        <v>40</v>
      </c>
      <c r="C2817" t="s">
        <v>2104</v>
      </c>
      <c r="D2817" t="s">
        <v>42</v>
      </c>
      <c r="E2817" t="s">
        <v>43</v>
      </c>
      <c r="F2817" t="s">
        <v>44</v>
      </c>
      <c r="G2817" t="s">
        <v>45</v>
      </c>
      <c r="AH2817" t="s">
        <v>42</v>
      </c>
      <c r="AI2817" t="str">
        <f>"67950195409428"</f>
        <v>67950195409428</v>
      </c>
      <c r="AJ2817" t="str">
        <f>"P-H10E16-01"</f>
        <v>P-H10E16-01</v>
      </c>
      <c r="AK2817" t="s">
        <v>46</v>
      </c>
      <c r="AL2817" s="1">
        <v>45007.680023148147</v>
      </c>
      <c r="AM2817" t="s">
        <v>44</v>
      </c>
    </row>
    <row r="2818" spans="1:39" x14ac:dyDescent="0.2">
      <c r="A2818" t="s">
        <v>2658</v>
      </c>
      <c r="B2818" t="s">
        <v>40</v>
      </c>
      <c r="C2818" t="s">
        <v>2104</v>
      </c>
      <c r="D2818" t="s">
        <v>42</v>
      </c>
      <c r="E2818" t="s">
        <v>43</v>
      </c>
      <c r="F2818" t="s">
        <v>44</v>
      </c>
      <c r="G2818" t="s">
        <v>45</v>
      </c>
      <c r="AH2818" t="s">
        <v>42</v>
      </c>
      <c r="AI2818" t="str">
        <f>"67950195429541"</f>
        <v>67950195429541</v>
      </c>
      <c r="AJ2818" t="str">
        <f>"P-H11E20-01"</f>
        <v>P-H11E20-01</v>
      </c>
      <c r="AK2818" t="s">
        <v>46</v>
      </c>
      <c r="AL2818" s="1">
        <v>45007.680023148147</v>
      </c>
      <c r="AM2818" t="s">
        <v>44</v>
      </c>
    </row>
    <row r="2819" spans="1:39" x14ac:dyDescent="0.2">
      <c r="A2819" t="s">
        <v>2659</v>
      </c>
      <c r="B2819" t="s">
        <v>40</v>
      </c>
      <c r="C2819" t="s">
        <v>2660</v>
      </c>
      <c r="D2819" t="s">
        <v>42</v>
      </c>
      <c r="E2819" t="s">
        <v>43</v>
      </c>
      <c r="F2819" t="s">
        <v>44</v>
      </c>
      <c r="G2819" t="s">
        <v>45</v>
      </c>
      <c r="AH2819" t="s">
        <v>42</v>
      </c>
      <c r="AI2819" t="str">
        <f>"66298896285030"</f>
        <v>66298896285030</v>
      </c>
      <c r="AJ2819" t="str">
        <f>"82617"</f>
        <v>82617</v>
      </c>
      <c r="AK2819" t="s">
        <v>46</v>
      </c>
      <c r="AL2819" s="1">
        <v>44816.557430555556</v>
      </c>
      <c r="AM2819" t="s">
        <v>44</v>
      </c>
    </row>
    <row r="2820" spans="1:39" x14ac:dyDescent="0.2">
      <c r="A2820" t="s">
        <v>2661</v>
      </c>
      <c r="B2820" t="s">
        <v>40</v>
      </c>
      <c r="C2820" t="s">
        <v>2662</v>
      </c>
      <c r="D2820" t="s">
        <v>42</v>
      </c>
      <c r="E2820" t="s">
        <v>43</v>
      </c>
      <c r="F2820" t="s">
        <v>44</v>
      </c>
      <c r="G2820" t="s">
        <v>45</v>
      </c>
      <c r="AH2820" t="s">
        <v>42</v>
      </c>
      <c r="AI2820" t="str">
        <f>"66298896340012"</f>
        <v>66298896340012</v>
      </c>
      <c r="AJ2820" t="str">
        <f>"S0119"</f>
        <v>S0119</v>
      </c>
      <c r="AK2820" t="s">
        <v>46</v>
      </c>
      <c r="AL2820" s="1">
        <v>44816.557442129626</v>
      </c>
      <c r="AM2820" t="s">
        <v>44</v>
      </c>
    </row>
    <row r="2821" spans="1:39" x14ac:dyDescent="0.2">
      <c r="A2821" t="s">
        <v>2663</v>
      </c>
      <c r="B2821" t="s">
        <v>40</v>
      </c>
      <c r="C2821" t="s">
        <v>2662</v>
      </c>
      <c r="D2821" t="s">
        <v>42</v>
      </c>
      <c r="E2821" t="s">
        <v>43</v>
      </c>
      <c r="F2821" t="s">
        <v>44</v>
      </c>
      <c r="G2821" t="s">
        <v>45</v>
      </c>
      <c r="AH2821" t="s">
        <v>42</v>
      </c>
      <c r="AI2821" t="str">
        <f>"1899"</f>
        <v>1899</v>
      </c>
      <c r="AJ2821" t="str">
        <f>"1899"</f>
        <v>1899</v>
      </c>
      <c r="AK2821" t="s">
        <v>46</v>
      </c>
      <c r="AL2821" s="1">
        <v>44951.688472222224</v>
      </c>
      <c r="AM2821" t="s">
        <v>44</v>
      </c>
    </row>
    <row r="2822" spans="1:39" x14ac:dyDescent="0.2">
      <c r="A2822" t="s">
        <v>2664</v>
      </c>
      <c r="B2822" t="s">
        <v>40</v>
      </c>
      <c r="C2822" t="s">
        <v>2662</v>
      </c>
      <c r="D2822" t="s">
        <v>42</v>
      </c>
      <c r="E2822" t="s">
        <v>43</v>
      </c>
      <c r="F2822" t="s">
        <v>44</v>
      </c>
      <c r="G2822" t="s">
        <v>45</v>
      </c>
      <c r="AH2822" t="s">
        <v>42</v>
      </c>
      <c r="AI2822" t="str">
        <f>"11189"</f>
        <v>11189</v>
      </c>
      <c r="AJ2822" t="str">
        <f>"11189"</f>
        <v>11189</v>
      </c>
      <c r="AK2822" t="s">
        <v>46</v>
      </c>
      <c r="AL2822" s="1">
        <v>45080.716747685183</v>
      </c>
      <c r="AM2822" t="s">
        <v>44</v>
      </c>
    </row>
    <row r="2823" spans="1:39" x14ac:dyDescent="0.2">
      <c r="A2823" t="s">
        <v>2665</v>
      </c>
      <c r="B2823" t="s">
        <v>40</v>
      </c>
      <c r="C2823" t="s">
        <v>2662</v>
      </c>
      <c r="D2823" t="s">
        <v>42</v>
      </c>
      <c r="E2823" t="s">
        <v>43</v>
      </c>
      <c r="F2823" t="s">
        <v>44</v>
      </c>
      <c r="G2823" t="s">
        <v>45</v>
      </c>
      <c r="AH2823" t="s">
        <v>42</v>
      </c>
      <c r="AI2823" t="str">
        <f>"49CC93"</f>
        <v>49CC93</v>
      </c>
      <c r="AJ2823" t="str">
        <f>"49CC93"</f>
        <v>49CC93</v>
      </c>
      <c r="AK2823" t="s">
        <v>46</v>
      </c>
      <c r="AL2823" s="1">
        <v>45093.974664351852</v>
      </c>
      <c r="AM2823" t="s">
        <v>44</v>
      </c>
    </row>
    <row r="2824" spans="1:39" x14ac:dyDescent="0.2">
      <c r="A2824" t="s">
        <v>2666</v>
      </c>
      <c r="B2824" t="s">
        <v>40</v>
      </c>
      <c r="C2824" t="s">
        <v>2662</v>
      </c>
      <c r="D2824" t="s">
        <v>42</v>
      </c>
      <c r="E2824" t="s">
        <v>43</v>
      </c>
      <c r="F2824" t="s">
        <v>44</v>
      </c>
      <c r="G2824" t="s">
        <v>45</v>
      </c>
      <c r="AH2824" t="s">
        <v>42</v>
      </c>
      <c r="AI2824" t="str">
        <f>"DA029"</f>
        <v>DA029</v>
      </c>
      <c r="AJ2824" t="str">
        <f>"DA029"</f>
        <v>DA029</v>
      </c>
      <c r="AK2824" t="s">
        <v>46</v>
      </c>
      <c r="AL2824" s="1">
        <v>44972.572326388887</v>
      </c>
      <c r="AM2824" t="s">
        <v>44</v>
      </c>
    </row>
    <row r="2825" spans="1:39" x14ac:dyDescent="0.2">
      <c r="A2825" t="s">
        <v>2667</v>
      </c>
      <c r="B2825" t="s">
        <v>40</v>
      </c>
      <c r="C2825" t="s">
        <v>2662</v>
      </c>
      <c r="D2825" t="s">
        <v>42</v>
      </c>
      <c r="E2825" t="s">
        <v>43</v>
      </c>
      <c r="F2825" t="s">
        <v>44</v>
      </c>
      <c r="G2825" t="s">
        <v>45</v>
      </c>
      <c r="AH2825" t="s">
        <v>42</v>
      </c>
      <c r="AI2825" t="str">
        <f>"66298896429209"</f>
        <v>66298896429209</v>
      </c>
      <c r="AJ2825" t="str">
        <f>"400038"</f>
        <v>400038</v>
      </c>
      <c r="AK2825" t="s">
        <v>46</v>
      </c>
      <c r="AL2825" s="1">
        <v>44816.557453703703</v>
      </c>
      <c r="AM2825" t="s">
        <v>44</v>
      </c>
    </row>
    <row r="2826" spans="1:39" x14ac:dyDescent="0.2">
      <c r="A2826" t="s">
        <v>2668</v>
      </c>
      <c r="B2826" t="s">
        <v>40</v>
      </c>
      <c r="C2826" t="s">
        <v>2662</v>
      </c>
      <c r="D2826" t="s">
        <v>42</v>
      </c>
      <c r="E2826" t="s">
        <v>43</v>
      </c>
      <c r="F2826" t="s">
        <v>44</v>
      </c>
      <c r="G2826" t="s">
        <v>45</v>
      </c>
      <c r="AH2826" t="s">
        <v>42</v>
      </c>
      <c r="AI2826" t="str">
        <f>"66298896471925"</f>
        <v>66298896471925</v>
      </c>
      <c r="AJ2826" t="str">
        <f>"400740"</f>
        <v>400740</v>
      </c>
      <c r="AK2826" t="s">
        <v>46</v>
      </c>
      <c r="AL2826" s="1">
        <v>44816.557453703703</v>
      </c>
      <c r="AM2826" t="s">
        <v>44</v>
      </c>
    </row>
    <row r="2827" spans="1:39" x14ac:dyDescent="0.2">
      <c r="A2827" t="s">
        <v>2669</v>
      </c>
      <c r="B2827" t="s">
        <v>40</v>
      </c>
      <c r="C2827" t="s">
        <v>2662</v>
      </c>
      <c r="D2827" t="s">
        <v>42</v>
      </c>
      <c r="E2827" t="s">
        <v>43</v>
      </c>
      <c r="F2827" t="s">
        <v>44</v>
      </c>
      <c r="G2827" t="s">
        <v>45</v>
      </c>
      <c r="AH2827" t="s">
        <v>42</v>
      </c>
      <c r="AI2827" t="str">
        <f>"66298896383619"</f>
        <v>66298896383619</v>
      </c>
      <c r="AJ2827" t="str">
        <f>"400037"</f>
        <v>400037</v>
      </c>
      <c r="AK2827" t="s">
        <v>46</v>
      </c>
      <c r="AL2827" s="1">
        <v>44816.557442129626</v>
      </c>
      <c r="AM2827" t="s">
        <v>44</v>
      </c>
    </row>
    <row r="2828" spans="1:39" x14ac:dyDescent="0.2">
      <c r="A2828" t="s">
        <v>2670</v>
      </c>
      <c r="B2828" t="s">
        <v>40</v>
      </c>
      <c r="C2828" t="s">
        <v>2662</v>
      </c>
      <c r="D2828" t="s">
        <v>42</v>
      </c>
      <c r="E2828" t="s">
        <v>43</v>
      </c>
      <c r="F2828" t="s">
        <v>44</v>
      </c>
      <c r="G2828" t="s">
        <v>45</v>
      </c>
      <c r="AH2828" t="s">
        <v>42</v>
      </c>
      <c r="AI2828" t="str">
        <f>"7859"</f>
        <v>7859</v>
      </c>
      <c r="AJ2828" t="str">
        <f>"7859"</f>
        <v>7859</v>
      </c>
      <c r="AK2828" t="s">
        <v>46</v>
      </c>
      <c r="AL2828" s="1">
        <v>44992.704247685186</v>
      </c>
      <c r="AM2828" t="s">
        <v>44</v>
      </c>
    </row>
    <row r="2829" spans="1:39" x14ac:dyDescent="0.2">
      <c r="A2829" t="s">
        <v>2671</v>
      </c>
      <c r="B2829" t="s">
        <v>40</v>
      </c>
      <c r="C2829" t="s">
        <v>2662</v>
      </c>
      <c r="D2829" t="s">
        <v>42</v>
      </c>
      <c r="E2829" t="s">
        <v>43</v>
      </c>
      <c r="F2829" t="s">
        <v>44</v>
      </c>
      <c r="G2829" t="s">
        <v>45</v>
      </c>
      <c r="AH2829" t="s">
        <v>42</v>
      </c>
      <c r="AI2829" t="str">
        <f>"12123"</f>
        <v>12123</v>
      </c>
      <c r="AJ2829" t="str">
        <f>"12123"</f>
        <v>12123</v>
      </c>
      <c r="AK2829" t="s">
        <v>46</v>
      </c>
      <c r="AL2829" s="1">
        <v>44951.688148148147</v>
      </c>
      <c r="AM2829" t="s">
        <v>44</v>
      </c>
    </row>
    <row r="2830" spans="1:39" x14ac:dyDescent="0.2">
      <c r="A2830" t="s">
        <v>2672</v>
      </c>
      <c r="B2830" t="s">
        <v>40</v>
      </c>
      <c r="C2830" t="s">
        <v>2662</v>
      </c>
      <c r="D2830" t="s">
        <v>42</v>
      </c>
      <c r="E2830" t="s">
        <v>43</v>
      </c>
      <c r="F2830" t="s">
        <v>44</v>
      </c>
      <c r="G2830" t="s">
        <v>45</v>
      </c>
      <c r="AH2830" t="s">
        <v>42</v>
      </c>
      <c r="AI2830" t="str">
        <f>"66298896581769"</f>
        <v>66298896581769</v>
      </c>
      <c r="AJ2830" t="str">
        <f>"401083"</f>
        <v>401083</v>
      </c>
      <c r="AK2830" t="s">
        <v>46</v>
      </c>
      <c r="AL2830" s="1">
        <v>44816.55746527778</v>
      </c>
      <c r="AM2830" t="s">
        <v>44</v>
      </c>
    </row>
    <row r="2831" spans="1:39" x14ac:dyDescent="0.2">
      <c r="A2831" t="s">
        <v>2673</v>
      </c>
      <c r="B2831" t="s">
        <v>40</v>
      </c>
      <c r="C2831" t="s">
        <v>2662</v>
      </c>
      <c r="D2831" t="s">
        <v>42</v>
      </c>
      <c r="E2831" t="s">
        <v>43</v>
      </c>
      <c r="F2831" t="s">
        <v>44</v>
      </c>
      <c r="G2831" t="s">
        <v>45</v>
      </c>
      <c r="AH2831" t="s">
        <v>42</v>
      </c>
      <c r="AI2831" t="str">
        <f>"66298896537128"</f>
        <v>66298896537128</v>
      </c>
      <c r="AJ2831" t="str">
        <f>"400040"</f>
        <v>400040</v>
      </c>
      <c r="AK2831" t="s">
        <v>46</v>
      </c>
      <c r="AL2831" s="1">
        <v>44816.55746527778</v>
      </c>
      <c r="AM2831" t="s">
        <v>44</v>
      </c>
    </row>
    <row r="2832" spans="1:39" x14ac:dyDescent="0.2">
      <c r="A2832" t="s">
        <v>2674</v>
      </c>
      <c r="B2832" t="s">
        <v>40</v>
      </c>
      <c r="C2832" t="s">
        <v>2662</v>
      </c>
      <c r="D2832" t="s">
        <v>42</v>
      </c>
      <c r="E2832" t="s">
        <v>43</v>
      </c>
      <c r="F2832" t="s">
        <v>44</v>
      </c>
      <c r="G2832" t="s">
        <v>45</v>
      </c>
      <c r="AH2832" t="s">
        <v>42</v>
      </c>
      <c r="AI2832" t="str">
        <f>"66298896626120"</f>
        <v>66298896626120</v>
      </c>
      <c r="AJ2832" t="str">
        <f>"DA015"</f>
        <v>DA015</v>
      </c>
      <c r="AK2832" t="s">
        <v>46</v>
      </c>
      <c r="AL2832" s="1">
        <v>44816.557476851849</v>
      </c>
      <c r="AM2832" t="s">
        <v>44</v>
      </c>
    </row>
    <row r="2833" spans="1:39" x14ac:dyDescent="0.2">
      <c r="A2833" t="s">
        <v>2675</v>
      </c>
      <c r="B2833" t="s">
        <v>40</v>
      </c>
      <c r="C2833" t="s">
        <v>2662</v>
      </c>
      <c r="D2833" t="s">
        <v>42</v>
      </c>
      <c r="E2833" t="s">
        <v>43</v>
      </c>
      <c r="F2833" t="s">
        <v>44</v>
      </c>
      <c r="G2833" t="s">
        <v>45</v>
      </c>
      <c r="AH2833" t="s">
        <v>42</v>
      </c>
      <c r="AI2833" t="str">
        <f>"66298896670599"</f>
        <v>66298896670599</v>
      </c>
      <c r="AJ2833" t="str">
        <f>"401076"</f>
        <v>401076</v>
      </c>
      <c r="AK2833" t="s">
        <v>46</v>
      </c>
      <c r="AL2833" s="1">
        <v>44816.557476851849</v>
      </c>
      <c r="AM2833" t="s">
        <v>44</v>
      </c>
    </row>
    <row r="2834" spans="1:39" x14ac:dyDescent="0.2">
      <c r="A2834" t="s">
        <v>2676</v>
      </c>
      <c r="B2834" t="s">
        <v>40</v>
      </c>
      <c r="C2834" t="s">
        <v>2662</v>
      </c>
      <c r="D2834" t="s">
        <v>42</v>
      </c>
      <c r="E2834" t="s">
        <v>43</v>
      </c>
      <c r="F2834" t="s">
        <v>44</v>
      </c>
      <c r="G2834" t="s">
        <v>45</v>
      </c>
      <c r="AH2834" t="s">
        <v>42</v>
      </c>
      <c r="AI2834" t="str">
        <f>"DA001"</f>
        <v>DA001</v>
      </c>
      <c r="AJ2834" t="str">
        <f>"DA001"</f>
        <v>DA001</v>
      </c>
      <c r="AK2834" t="s">
        <v>46</v>
      </c>
      <c r="AL2834" s="1">
        <v>44972.562025462961</v>
      </c>
      <c r="AM2834" t="s">
        <v>44</v>
      </c>
    </row>
    <row r="2835" spans="1:39" x14ac:dyDescent="0.2">
      <c r="A2835" t="s">
        <v>2677</v>
      </c>
      <c r="B2835" t="s">
        <v>40</v>
      </c>
      <c r="C2835" t="s">
        <v>2662</v>
      </c>
      <c r="D2835" t="s">
        <v>42</v>
      </c>
      <c r="E2835" t="s">
        <v>43</v>
      </c>
      <c r="F2835" t="s">
        <v>44</v>
      </c>
      <c r="G2835" t="s">
        <v>45</v>
      </c>
      <c r="AH2835" t="s">
        <v>42</v>
      </c>
      <c r="AI2835" t="str">
        <f>"DA011"</f>
        <v>DA011</v>
      </c>
      <c r="AJ2835" t="str">
        <f>"DA011"</f>
        <v>DA011</v>
      </c>
      <c r="AK2835" t="s">
        <v>46</v>
      </c>
      <c r="AL2835" s="1">
        <v>44858.682060185187</v>
      </c>
      <c r="AM2835" t="s">
        <v>44</v>
      </c>
    </row>
    <row r="2836" spans="1:39" x14ac:dyDescent="0.2">
      <c r="A2836" t="s">
        <v>2678</v>
      </c>
      <c r="B2836" t="s">
        <v>40</v>
      </c>
      <c r="C2836" t="s">
        <v>2662</v>
      </c>
      <c r="D2836" t="s">
        <v>42</v>
      </c>
      <c r="E2836" t="s">
        <v>43</v>
      </c>
      <c r="F2836" t="s">
        <v>44</v>
      </c>
      <c r="G2836" t="s">
        <v>45</v>
      </c>
      <c r="AH2836" t="s">
        <v>42</v>
      </c>
      <c r="AI2836" t="str">
        <f>"66298896715458"</f>
        <v>66298896715458</v>
      </c>
      <c r="AJ2836" t="str">
        <f>"401077"</f>
        <v>401077</v>
      </c>
      <c r="AK2836" t="s">
        <v>46</v>
      </c>
      <c r="AL2836" s="1">
        <v>44816.557488425926</v>
      </c>
      <c r="AM2836" t="s">
        <v>44</v>
      </c>
    </row>
    <row r="2837" spans="1:39" x14ac:dyDescent="0.2">
      <c r="A2837" t="s">
        <v>2679</v>
      </c>
      <c r="B2837" t="s">
        <v>40</v>
      </c>
      <c r="C2837" t="s">
        <v>2662</v>
      </c>
      <c r="D2837" t="s">
        <v>42</v>
      </c>
      <c r="E2837" t="s">
        <v>43</v>
      </c>
      <c r="F2837" t="s">
        <v>44</v>
      </c>
      <c r="G2837" t="s">
        <v>45</v>
      </c>
      <c r="AH2837" t="s">
        <v>42</v>
      </c>
      <c r="AI2837" t="str">
        <f>"11170"</f>
        <v>11170</v>
      </c>
      <c r="AJ2837" t="str">
        <f>"11170"</f>
        <v>11170</v>
      </c>
      <c r="AK2837" t="s">
        <v>46</v>
      </c>
      <c r="AL2837" s="1">
        <v>45076.60665509259</v>
      </c>
      <c r="AM2837" t="s">
        <v>44</v>
      </c>
    </row>
    <row r="2838" spans="1:39" x14ac:dyDescent="0.2">
      <c r="A2838" t="s">
        <v>2680</v>
      </c>
      <c r="B2838" t="s">
        <v>40</v>
      </c>
      <c r="C2838" t="s">
        <v>2662</v>
      </c>
      <c r="D2838" t="s">
        <v>42</v>
      </c>
      <c r="E2838" t="s">
        <v>43</v>
      </c>
      <c r="F2838" t="s">
        <v>44</v>
      </c>
      <c r="G2838" t="s">
        <v>45</v>
      </c>
      <c r="AH2838" t="s">
        <v>42</v>
      </c>
      <c r="AI2838" t="str">
        <f>"12863"</f>
        <v>12863</v>
      </c>
      <c r="AJ2838" t="str">
        <f>"12863"</f>
        <v>12863</v>
      </c>
      <c r="AK2838" t="s">
        <v>46</v>
      </c>
      <c r="AL2838" s="1">
        <v>45101.716643518521</v>
      </c>
      <c r="AM2838" t="s">
        <v>44</v>
      </c>
    </row>
    <row r="2839" spans="1:39" x14ac:dyDescent="0.2">
      <c r="A2839" t="s">
        <v>2681</v>
      </c>
      <c r="B2839" t="s">
        <v>40</v>
      </c>
      <c r="C2839" t="s">
        <v>2662</v>
      </c>
      <c r="D2839" t="s">
        <v>42</v>
      </c>
      <c r="E2839" t="s">
        <v>43</v>
      </c>
      <c r="F2839" t="s">
        <v>44</v>
      </c>
      <c r="G2839" t="s">
        <v>45</v>
      </c>
      <c r="AH2839" t="s">
        <v>42</v>
      </c>
      <c r="AI2839" t="str">
        <f>"11210-12F50-K"</f>
        <v>11210-12F50-K</v>
      </c>
      <c r="AJ2839" t="str">
        <f>"11210-12F50-K"</f>
        <v>11210-12F50-K</v>
      </c>
      <c r="AK2839" t="s">
        <v>46</v>
      </c>
      <c r="AL2839" s="1">
        <v>45092.907002314816</v>
      </c>
      <c r="AM2839" t="s">
        <v>44</v>
      </c>
    </row>
    <row r="2840" spans="1:39" x14ac:dyDescent="0.2">
      <c r="A2840" t="s">
        <v>2682</v>
      </c>
      <c r="B2840" t="s">
        <v>40</v>
      </c>
      <c r="C2840" t="s">
        <v>2662</v>
      </c>
      <c r="D2840" t="s">
        <v>42</v>
      </c>
      <c r="E2840" t="s">
        <v>43</v>
      </c>
      <c r="F2840" t="s">
        <v>44</v>
      </c>
      <c r="G2840" t="s">
        <v>45</v>
      </c>
      <c r="AH2840" t="s">
        <v>42</v>
      </c>
      <c r="AI2840" t="str">
        <f>"12261"</f>
        <v>12261</v>
      </c>
      <c r="AJ2840" t="str">
        <f>"12261"</f>
        <v>12261</v>
      </c>
      <c r="AK2840" t="s">
        <v>46</v>
      </c>
      <c r="AL2840" s="1">
        <v>45029.861342592594</v>
      </c>
      <c r="AM2840" t="s">
        <v>44</v>
      </c>
    </row>
    <row r="2841" spans="1:39" x14ac:dyDescent="0.2">
      <c r="A2841" t="s">
        <v>2683</v>
      </c>
      <c r="B2841" t="s">
        <v>40</v>
      </c>
      <c r="C2841" t="s">
        <v>2662</v>
      </c>
      <c r="D2841" t="s">
        <v>42</v>
      </c>
      <c r="E2841" t="s">
        <v>43</v>
      </c>
      <c r="F2841" t="s">
        <v>44</v>
      </c>
      <c r="G2841" t="s">
        <v>45</v>
      </c>
      <c r="AH2841" t="s">
        <v>42</v>
      </c>
      <c r="AI2841" t="str">
        <f>"8516"</f>
        <v>8516</v>
      </c>
      <c r="AJ2841" t="str">
        <f>"8516"</f>
        <v>8516</v>
      </c>
      <c r="AK2841" t="s">
        <v>46</v>
      </c>
      <c r="AL2841" s="1">
        <v>45156.726145833331</v>
      </c>
      <c r="AM2841" t="s">
        <v>44</v>
      </c>
    </row>
    <row r="2842" spans="1:39" x14ac:dyDescent="0.2">
      <c r="A2842" t="s">
        <v>2684</v>
      </c>
      <c r="B2842" t="s">
        <v>40</v>
      </c>
      <c r="C2842" t="s">
        <v>2662</v>
      </c>
      <c r="D2842" t="s">
        <v>42</v>
      </c>
      <c r="E2842" t="s">
        <v>43</v>
      </c>
      <c r="F2842" t="s">
        <v>44</v>
      </c>
      <c r="G2842" t="s">
        <v>45</v>
      </c>
      <c r="AH2842" t="s">
        <v>42</v>
      </c>
      <c r="AI2842" t="str">
        <f>"DA007"</f>
        <v>DA007</v>
      </c>
      <c r="AJ2842" t="str">
        <f>"DA007"</f>
        <v>DA007</v>
      </c>
      <c r="AK2842" t="s">
        <v>46</v>
      </c>
      <c r="AL2842" s="1">
        <v>44859.601782407408</v>
      </c>
      <c r="AM2842" t="s">
        <v>44</v>
      </c>
    </row>
    <row r="2843" spans="1:39" x14ac:dyDescent="0.2">
      <c r="A2843" t="s">
        <v>2685</v>
      </c>
      <c r="B2843" t="s">
        <v>40</v>
      </c>
      <c r="C2843" t="s">
        <v>2662</v>
      </c>
      <c r="D2843" t="s">
        <v>42</v>
      </c>
      <c r="E2843" t="s">
        <v>43</v>
      </c>
      <c r="F2843" t="s">
        <v>44</v>
      </c>
      <c r="G2843" t="s">
        <v>45</v>
      </c>
      <c r="AH2843" t="s">
        <v>42</v>
      </c>
      <c r="AI2843" t="str">
        <f>"7823"</f>
        <v>7823</v>
      </c>
      <c r="AJ2843" t="str">
        <f>"7823"</f>
        <v>7823</v>
      </c>
      <c r="AK2843" t="s">
        <v>46</v>
      </c>
      <c r="AL2843" s="1">
        <v>45107.843298611115</v>
      </c>
      <c r="AM2843" t="s">
        <v>44</v>
      </c>
    </row>
    <row r="2844" spans="1:39" x14ac:dyDescent="0.2">
      <c r="A2844" t="s">
        <v>2686</v>
      </c>
      <c r="B2844" t="s">
        <v>40</v>
      </c>
      <c r="C2844" t="s">
        <v>2662</v>
      </c>
      <c r="D2844" t="s">
        <v>42</v>
      </c>
      <c r="E2844" t="s">
        <v>43</v>
      </c>
      <c r="F2844" t="s">
        <v>44</v>
      </c>
      <c r="G2844" t="s">
        <v>45</v>
      </c>
      <c r="AH2844" t="s">
        <v>42</v>
      </c>
      <c r="AI2844" t="str">
        <f>"54B-E1310-00"</f>
        <v>54B-E1310-00</v>
      </c>
      <c r="AJ2844" t="str">
        <f>"54B-E1310-00"</f>
        <v>54B-E1310-00</v>
      </c>
      <c r="AK2844" t="s">
        <v>46</v>
      </c>
      <c r="AL2844" s="1">
        <v>45054.684201388889</v>
      </c>
      <c r="AM2844" t="s">
        <v>44</v>
      </c>
    </row>
    <row r="2845" spans="1:39" x14ac:dyDescent="0.2">
      <c r="A2845" t="s">
        <v>2687</v>
      </c>
      <c r="B2845" t="s">
        <v>40</v>
      </c>
      <c r="C2845" t="s">
        <v>2662</v>
      </c>
      <c r="D2845" t="s">
        <v>42</v>
      </c>
      <c r="E2845" t="s">
        <v>43</v>
      </c>
      <c r="F2845" t="s">
        <v>44</v>
      </c>
      <c r="G2845" t="s">
        <v>45</v>
      </c>
      <c r="AH2845" t="s">
        <v>42</v>
      </c>
      <c r="AI2845" t="str">
        <f>"66298896757160"</f>
        <v>66298896757160</v>
      </c>
      <c r="AJ2845" t="str">
        <f>"401079"</f>
        <v>401079</v>
      </c>
      <c r="AK2845" t="s">
        <v>46</v>
      </c>
      <c r="AL2845" s="1">
        <v>44816.557488425926</v>
      </c>
      <c r="AM2845" t="s">
        <v>44</v>
      </c>
    </row>
    <row r="2846" spans="1:39" x14ac:dyDescent="0.2">
      <c r="A2846" t="s">
        <v>2688</v>
      </c>
      <c r="B2846" t="s">
        <v>40</v>
      </c>
      <c r="C2846" t="s">
        <v>2662</v>
      </c>
      <c r="D2846" t="s">
        <v>42</v>
      </c>
      <c r="E2846" t="s">
        <v>43</v>
      </c>
      <c r="F2846" t="s">
        <v>44</v>
      </c>
      <c r="G2846" t="s">
        <v>45</v>
      </c>
      <c r="AH2846" t="s">
        <v>42</v>
      </c>
      <c r="AI2846" t="str">
        <f>"P400485100063"</f>
        <v>P400485100063</v>
      </c>
      <c r="AJ2846" t="str">
        <f>"P400485100063"</f>
        <v>P400485100063</v>
      </c>
      <c r="AK2846" t="s">
        <v>46</v>
      </c>
      <c r="AL2846" s="1">
        <v>45092.913738425923</v>
      </c>
      <c r="AM2846" t="s">
        <v>44</v>
      </c>
    </row>
    <row r="2847" spans="1:39" x14ac:dyDescent="0.2">
      <c r="A2847" t="s">
        <v>2689</v>
      </c>
      <c r="B2847" t="s">
        <v>40</v>
      </c>
      <c r="C2847" t="s">
        <v>2662</v>
      </c>
      <c r="D2847" t="s">
        <v>42</v>
      </c>
      <c r="E2847" t="s">
        <v>43</v>
      </c>
      <c r="F2847" t="s">
        <v>44</v>
      </c>
      <c r="G2847" t="s">
        <v>45</v>
      </c>
      <c r="AH2847" t="s">
        <v>42</v>
      </c>
      <c r="AI2847" t="str">
        <f>"66298896801440"</f>
        <v>66298896801440</v>
      </c>
      <c r="AJ2847" t="str">
        <f>"401080"</f>
        <v>401080</v>
      </c>
      <c r="AK2847" t="s">
        <v>46</v>
      </c>
      <c r="AL2847" s="1">
        <v>44816.557500000003</v>
      </c>
      <c r="AM2847" t="s">
        <v>44</v>
      </c>
    </row>
    <row r="2848" spans="1:39" x14ac:dyDescent="0.2">
      <c r="A2848" t="s">
        <v>2690</v>
      </c>
      <c r="B2848" t="s">
        <v>40</v>
      </c>
      <c r="C2848" t="s">
        <v>2662</v>
      </c>
      <c r="D2848" t="s">
        <v>42</v>
      </c>
      <c r="E2848" t="s">
        <v>43</v>
      </c>
      <c r="F2848" t="s">
        <v>44</v>
      </c>
      <c r="G2848" t="s">
        <v>45</v>
      </c>
      <c r="AH2848" t="s">
        <v>42</v>
      </c>
      <c r="AI2848" t="str">
        <f>"66298896847490"</f>
        <v>66298896847490</v>
      </c>
      <c r="AJ2848" t="str">
        <f>"400044"</f>
        <v>400044</v>
      </c>
      <c r="AK2848" t="s">
        <v>46</v>
      </c>
      <c r="AL2848" s="1">
        <v>44816.557500000003</v>
      </c>
      <c r="AM2848" t="s">
        <v>44</v>
      </c>
    </row>
    <row r="2849" spans="1:39" x14ac:dyDescent="0.2">
      <c r="A2849" t="s">
        <v>2691</v>
      </c>
      <c r="B2849" t="s">
        <v>40</v>
      </c>
      <c r="C2849" t="s">
        <v>2662</v>
      </c>
      <c r="D2849" t="s">
        <v>42</v>
      </c>
      <c r="E2849" t="s">
        <v>43</v>
      </c>
      <c r="F2849" t="s">
        <v>44</v>
      </c>
      <c r="G2849" t="s">
        <v>45</v>
      </c>
      <c r="AH2849" t="s">
        <v>42</v>
      </c>
      <c r="AI2849" t="str">
        <f>"8501"</f>
        <v>8501</v>
      </c>
      <c r="AJ2849" t="str">
        <f>"8501"</f>
        <v>8501</v>
      </c>
      <c r="AK2849" t="s">
        <v>46</v>
      </c>
      <c r="AL2849" s="1">
        <v>44970.554328703707</v>
      </c>
      <c r="AM2849" t="s">
        <v>44</v>
      </c>
    </row>
    <row r="2850" spans="1:39" x14ac:dyDescent="0.2">
      <c r="A2850" t="s">
        <v>2692</v>
      </c>
      <c r="B2850" t="s">
        <v>40</v>
      </c>
      <c r="C2850" t="s">
        <v>2662</v>
      </c>
      <c r="D2850" t="s">
        <v>42</v>
      </c>
      <c r="E2850" t="s">
        <v>43</v>
      </c>
      <c r="F2850" t="s">
        <v>44</v>
      </c>
      <c r="G2850" t="s">
        <v>45</v>
      </c>
      <c r="AH2850" t="s">
        <v>42</v>
      </c>
      <c r="AI2850" t="str">
        <f>"66298896888220"</f>
        <v>66298896888220</v>
      </c>
      <c r="AJ2850" t="str">
        <f>"401081"</f>
        <v>401081</v>
      </c>
      <c r="AK2850" t="s">
        <v>46</v>
      </c>
      <c r="AL2850" s="1">
        <v>44816.557500000003</v>
      </c>
      <c r="AM2850" t="s">
        <v>44</v>
      </c>
    </row>
    <row r="2851" spans="1:39" x14ac:dyDescent="0.2">
      <c r="A2851" t="s">
        <v>2693</v>
      </c>
      <c r="B2851" t="s">
        <v>40</v>
      </c>
      <c r="C2851" t="s">
        <v>2662</v>
      </c>
      <c r="D2851" t="s">
        <v>42</v>
      </c>
      <c r="E2851" t="s">
        <v>43</v>
      </c>
      <c r="F2851" t="s">
        <v>44</v>
      </c>
      <c r="G2851" t="s">
        <v>45</v>
      </c>
      <c r="AH2851" t="s">
        <v>42</v>
      </c>
      <c r="AI2851" t="str">
        <f>"DA028"</f>
        <v>DA028</v>
      </c>
      <c r="AJ2851" t="str">
        <f>"DA028"</f>
        <v>DA028</v>
      </c>
      <c r="AK2851" t="s">
        <v>46</v>
      </c>
      <c r="AL2851" s="1">
        <v>45070.819236111114</v>
      </c>
      <c r="AM2851" t="s">
        <v>44</v>
      </c>
    </row>
    <row r="2852" spans="1:39" x14ac:dyDescent="0.2">
      <c r="A2852" t="s">
        <v>2693</v>
      </c>
      <c r="B2852" t="s">
        <v>40</v>
      </c>
      <c r="C2852" t="s">
        <v>2662</v>
      </c>
      <c r="D2852" t="s">
        <v>42</v>
      </c>
      <c r="E2852" t="s">
        <v>43</v>
      </c>
      <c r="F2852" t="s">
        <v>44</v>
      </c>
      <c r="G2852" t="s">
        <v>45</v>
      </c>
      <c r="AH2852" t="s">
        <v>42</v>
      </c>
      <c r="AI2852" t="str">
        <f>"2428"</f>
        <v>2428</v>
      </c>
      <c r="AJ2852" t="str">
        <f>"2428"</f>
        <v>2428</v>
      </c>
      <c r="AK2852" t="s">
        <v>46</v>
      </c>
      <c r="AL2852" s="1">
        <v>45110.615081018521</v>
      </c>
      <c r="AM2852" t="s">
        <v>44</v>
      </c>
    </row>
    <row r="2853" spans="1:39" x14ac:dyDescent="0.2">
      <c r="A2853" t="s">
        <v>2694</v>
      </c>
      <c r="B2853" t="s">
        <v>40</v>
      </c>
      <c r="C2853" t="s">
        <v>2662</v>
      </c>
      <c r="D2853" t="s">
        <v>42</v>
      </c>
      <c r="E2853" t="s">
        <v>43</v>
      </c>
      <c r="F2853" t="s">
        <v>44</v>
      </c>
      <c r="G2853" t="s">
        <v>45</v>
      </c>
      <c r="AH2853" t="s">
        <v>42</v>
      </c>
      <c r="AI2853" t="str">
        <f>"66298896929391"</f>
        <v>66298896929391</v>
      </c>
      <c r="AJ2853" t="str">
        <f>"400737"</f>
        <v>400737</v>
      </c>
      <c r="AK2853" t="s">
        <v>46</v>
      </c>
      <c r="AL2853" s="1">
        <v>44816.557511574072</v>
      </c>
      <c r="AM2853" t="s">
        <v>44</v>
      </c>
    </row>
    <row r="2854" spans="1:39" x14ac:dyDescent="0.2">
      <c r="A2854" t="s">
        <v>2695</v>
      </c>
      <c r="B2854" t="s">
        <v>40</v>
      </c>
      <c r="C2854" t="s">
        <v>2662</v>
      </c>
      <c r="D2854" t="s">
        <v>42</v>
      </c>
      <c r="E2854" t="s">
        <v>43</v>
      </c>
      <c r="F2854" t="s">
        <v>44</v>
      </c>
      <c r="G2854" t="s">
        <v>45</v>
      </c>
      <c r="AH2854" t="s">
        <v>42</v>
      </c>
      <c r="AI2854" t="str">
        <f>"66298897054631"</f>
        <v>66298897054631</v>
      </c>
      <c r="AJ2854" t="str">
        <f>"400743"</f>
        <v>400743</v>
      </c>
      <c r="AK2854" t="s">
        <v>46</v>
      </c>
      <c r="AL2854" s="1">
        <v>44816.557523148149</v>
      </c>
      <c r="AM2854" t="s">
        <v>44</v>
      </c>
    </row>
    <row r="2855" spans="1:39" x14ac:dyDescent="0.2">
      <c r="A2855" t="s">
        <v>2696</v>
      </c>
      <c r="B2855" t="s">
        <v>40</v>
      </c>
      <c r="C2855" t="s">
        <v>2662</v>
      </c>
      <c r="D2855" t="s">
        <v>42</v>
      </c>
      <c r="E2855" t="s">
        <v>43</v>
      </c>
      <c r="F2855" t="s">
        <v>44</v>
      </c>
      <c r="G2855" t="s">
        <v>45</v>
      </c>
      <c r="AH2855" t="s">
        <v>42</v>
      </c>
      <c r="AI2855" t="str">
        <f>"66298897004040"</f>
        <v>66298897004040</v>
      </c>
      <c r="AJ2855" t="str">
        <f>"DA014"</f>
        <v>DA014</v>
      </c>
      <c r="AK2855" t="s">
        <v>46</v>
      </c>
      <c r="AL2855" s="1">
        <v>44816.557523148149</v>
      </c>
      <c r="AM2855" t="s">
        <v>44</v>
      </c>
    </row>
    <row r="2856" spans="1:39" x14ac:dyDescent="0.2">
      <c r="A2856" t="s">
        <v>2697</v>
      </c>
      <c r="B2856" t="s">
        <v>40</v>
      </c>
      <c r="C2856" t="s">
        <v>2662</v>
      </c>
      <c r="D2856" t="s">
        <v>42</v>
      </c>
      <c r="E2856" t="s">
        <v>43</v>
      </c>
      <c r="F2856" t="s">
        <v>44</v>
      </c>
      <c r="G2856" t="s">
        <v>45</v>
      </c>
      <c r="AH2856" t="s">
        <v>42</v>
      </c>
      <c r="AI2856" t="str">
        <f>"66298897093099"</f>
        <v>66298897093099</v>
      </c>
      <c r="AJ2856" t="str">
        <f>"XM-30306-000-K"</f>
        <v>XM-30306-000-K</v>
      </c>
      <c r="AK2856" t="s">
        <v>46</v>
      </c>
      <c r="AL2856" s="1">
        <v>44816.557523148149</v>
      </c>
      <c r="AM2856" t="s">
        <v>44</v>
      </c>
    </row>
    <row r="2857" spans="1:39" x14ac:dyDescent="0.2">
      <c r="A2857" t="s">
        <v>2698</v>
      </c>
      <c r="B2857" t="s">
        <v>40</v>
      </c>
      <c r="C2857" t="s">
        <v>2662</v>
      </c>
      <c r="D2857" t="s">
        <v>42</v>
      </c>
      <c r="E2857" t="s">
        <v>43</v>
      </c>
      <c r="F2857" t="s">
        <v>44</v>
      </c>
      <c r="G2857" t="s">
        <v>45</v>
      </c>
      <c r="AH2857" t="s">
        <v>42</v>
      </c>
      <c r="AI2857" t="str">
        <f>"ITF-150"</f>
        <v>ITF-150</v>
      </c>
      <c r="AJ2857" t="str">
        <f>"ITF-150"</f>
        <v>ITF-150</v>
      </c>
      <c r="AK2857" t="s">
        <v>46</v>
      </c>
      <c r="AL2857" s="1">
        <v>44998.692499999997</v>
      </c>
      <c r="AM2857" t="s">
        <v>44</v>
      </c>
    </row>
    <row r="2858" spans="1:39" x14ac:dyDescent="0.2">
      <c r="A2858" t="s">
        <v>2699</v>
      </c>
      <c r="B2858" t="s">
        <v>40</v>
      </c>
      <c r="C2858" t="s">
        <v>2662</v>
      </c>
      <c r="D2858" t="s">
        <v>42</v>
      </c>
      <c r="E2858" t="s">
        <v>43</v>
      </c>
      <c r="F2858" t="s">
        <v>44</v>
      </c>
      <c r="G2858" t="s">
        <v>45</v>
      </c>
      <c r="AH2858" t="s">
        <v>42</v>
      </c>
      <c r="AI2858" t="str">
        <f>"10492"</f>
        <v>10492</v>
      </c>
      <c r="AJ2858" t="str">
        <f>"10492"</f>
        <v>10492</v>
      </c>
      <c r="AK2858" t="s">
        <v>46</v>
      </c>
      <c r="AL2858" s="1">
        <v>45118.877500000002</v>
      </c>
      <c r="AM2858" t="s">
        <v>44</v>
      </c>
    </row>
    <row r="2859" spans="1:39" x14ac:dyDescent="0.2">
      <c r="A2859" t="s">
        <v>2700</v>
      </c>
      <c r="B2859" t="s">
        <v>40</v>
      </c>
      <c r="C2859" t="s">
        <v>2662</v>
      </c>
      <c r="D2859" t="s">
        <v>42</v>
      </c>
      <c r="E2859" t="s">
        <v>43</v>
      </c>
      <c r="F2859" t="s">
        <v>44</v>
      </c>
      <c r="G2859" t="s">
        <v>45</v>
      </c>
      <c r="AH2859" t="s">
        <v>42</v>
      </c>
      <c r="AI2859" t="str">
        <f>"66298897135588"</f>
        <v>66298897135588</v>
      </c>
      <c r="AJ2859" t="str">
        <f>"400746"</f>
        <v>400746</v>
      </c>
      <c r="AK2859" t="s">
        <v>46</v>
      </c>
      <c r="AL2859" s="1">
        <v>44816.557534722226</v>
      </c>
      <c r="AM2859" t="s">
        <v>44</v>
      </c>
    </row>
    <row r="2860" spans="1:39" x14ac:dyDescent="0.2">
      <c r="A2860" t="s">
        <v>2701</v>
      </c>
      <c r="B2860" t="s">
        <v>40</v>
      </c>
      <c r="C2860" t="s">
        <v>2662</v>
      </c>
      <c r="D2860" t="s">
        <v>42</v>
      </c>
      <c r="E2860" t="s">
        <v>43</v>
      </c>
      <c r="F2860" t="s">
        <v>44</v>
      </c>
      <c r="G2860" t="s">
        <v>45</v>
      </c>
      <c r="AH2860" t="s">
        <v>42</v>
      </c>
      <c r="AI2860" t="str">
        <f>"KIT-HP-PULSAR200"</f>
        <v>KIT-HP-PULSAR200</v>
      </c>
      <c r="AJ2860" t="str">
        <f>"KIT-HP-PULSAR200"</f>
        <v>KIT-HP-PULSAR200</v>
      </c>
      <c r="AK2860" t="s">
        <v>46</v>
      </c>
      <c r="AL2860" s="1">
        <v>44860.608310185184</v>
      </c>
      <c r="AM2860" t="s">
        <v>44</v>
      </c>
    </row>
    <row r="2861" spans="1:39" x14ac:dyDescent="0.2">
      <c r="A2861" t="s">
        <v>2702</v>
      </c>
      <c r="B2861" t="s">
        <v>40</v>
      </c>
      <c r="C2861" t="s">
        <v>2662</v>
      </c>
      <c r="D2861" t="s">
        <v>42</v>
      </c>
      <c r="E2861" t="s">
        <v>43</v>
      </c>
      <c r="F2861" t="s">
        <v>44</v>
      </c>
      <c r="G2861" t="s">
        <v>45</v>
      </c>
      <c r="AH2861" t="s">
        <v>42</v>
      </c>
      <c r="AI2861" t="str">
        <f>"66298897183661"</f>
        <v>66298897183661</v>
      </c>
      <c r="AJ2861" t="str">
        <f>"400738"</f>
        <v>400738</v>
      </c>
      <c r="AK2861" t="s">
        <v>46</v>
      </c>
      <c r="AL2861" s="1">
        <v>44816.557534722226</v>
      </c>
      <c r="AM2861" t="s">
        <v>44</v>
      </c>
    </row>
    <row r="2862" spans="1:39" x14ac:dyDescent="0.2">
      <c r="A2862" t="s">
        <v>2703</v>
      </c>
      <c r="B2862" t="s">
        <v>40</v>
      </c>
      <c r="C2862" t="s">
        <v>2662</v>
      </c>
      <c r="D2862" t="s">
        <v>42</v>
      </c>
      <c r="E2862" t="s">
        <v>43</v>
      </c>
      <c r="F2862" t="s">
        <v>44</v>
      </c>
      <c r="G2862" t="s">
        <v>45</v>
      </c>
      <c r="AH2862" t="s">
        <v>42</v>
      </c>
      <c r="AI2862" t="str">
        <f>"36-JL00-07-K"</f>
        <v>36-JL00-07-K</v>
      </c>
      <c r="AJ2862" t="str">
        <f>"36-JL00-07-K"</f>
        <v>36-JL00-07-K</v>
      </c>
      <c r="AK2862" t="s">
        <v>46</v>
      </c>
      <c r="AL2862" s="1">
        <v>45092.907581018517</v>
      </c>
      <c r="AM2862" t="s">
        <v>44</v>
      </c>
    </row>
    <row r="2863" spans="1:39" x14ac:dyDescent="0.2">
      <c r="A2863" t="s">
        <v>2704</v>
      </c>
      <c r="B2863" t="s">
        <v>40</v>
      </c>
      <c r="C2863" t="s">
        <v>2662</v>
      </c>
      <c r="D2863" t="s">
        <v>42</v>
      </c>
      <c r="E2863" t="s">
        <v>43</v>
      </c>
      <c r="F2863" t="s">
        <v>44</v>
      </c>
      <c r="G2863" t="s">
        <v>45</v>
      </c>
      <c r="AH2863" t="s">
        <v>42</v>
      </c>
      <c r="AI2863" t="str">
        <f>"66298897227260"</f>
        <v>66298897227260</v>
      </c>
      <c r="AJ2863" t="str">
        <f>"1210A-GFY6-C10-K"</f>
        <v>1210A-GFY6-C10-K</v>
      </c>
      <c r="AK2863" t="s">
        <v>46</v>
      </c>
      <c r="AL2863" s="1">
        <v>44816.557546296295</v>
      </c>
      <c r="AM2863" t="s">
        <v>44</v>
      </c>
    </row>
    <row r="2864" spans="1:39" x14ac:dyDescent="0.2">
      <c r="A2864" t="s">
        <v>2704</v>
      </c>
      <c r="B2864" t="s">
        <v>40</v>
      </c>
      <c r="C2864" t="s">
        <v>2662</v>
      </c>
      <c r="D2864" t="s">
        <v>42</v>
      </c>
      <c r="E2864" t="s">
        <v>43</v>
      </c>
      <c r="F2864" t="s">
        <v>44</v>
      </c>
      <c r="G2864" t="s">
        <v>45</v>
      </c>
      <c r="AH2864" t="s">
        <v>42</v>
      </c>
      <c r="AI2864" t="str">
        <f>"66298897266150"</f>
        <v>66298897266150</v>
      </c>
      <c r="AJ2864" t="str">
        <f>"DA019"</f>
        <v>DA019</v>
      </c>
      <c r="AK2864" t="s">
        <v>46</v>
      </c>
      <c r="AL2864" s="1">
        <v>44816.557546296295</v>
      </c>
      <c r="AM2864" t="s">
        <v>44</v>
      </c>
    </row>
    <row r="2865" spans="1:39" x14ac:dyDescent="0.2">
      <c r="A2865" t="s">
        <v>2705</v>
      </c>
      <c r="B2865" t="s">
        <v>40</v>
      </c>
      <c r="C2865" t="s">
        <v>2662</v>
      </c>
      <c r="D2865" t="s">
        <v>42</v>
      </c>
      <c r="E2865" t="s">
        <v>43</v>
      </c>
      <c r="F2865" t="s">
        <v>44</v>
      </c>
      <c r="G2865" t="s">
        <v>45</v>
      </c>
      <c r="AH2865" t="s">
        <v>42</v>
      </c>
      <c r="AI2865" t="str">
        <f>"66298897308846"</f>
        <v>66298897308846</v>
      </c>
      <c r="AJ2865" t="str">
        <f>"400739"</f>
        <v>400739</v>
      </c>
      <c r="AK2865" t="s">
        <v>46</v>
      </c>
      <c r="AL2865" s="1">
        <v>44816.557557870372</v>
      </c>
      <c r="AM2865" t="s">
        <v>44</v>
      </c>
    </row>
    <row r="2866" spans="1:39" x14ac:dyDescent="0.2">
      <c r="A2866" t="s">
        <v>2706</v>
      </c>
      <c r="B2866" t="s">
        <v>40</v>
      </c>
      <c r="C2866" t="s">
        <v>2662</v>
      </c>
      <c r="D2866" t="s">
        <v>42</v>
      </c>
      <c r="E2866" t="s">
        <v>43</v>
      </c>
      <c r="F2866" t="s">
        <v>44</v>
      </c>
      <c r="G2866" t="s">
        <v>45</v>
      </c>
      <c r="AH2866" t="s">
        <v>42</v>
      </c>
      <c r="AI2866" t="str">
        <f>"66298897356999"</f>
        <v>66298897356999</v>
      </c>
      <c r="AJ2866" t="str">
        <f>"DA010"</f>
        <v>DA010</v>
      </c>
      <c r="AK2866" t="s">
        <v>46</v>
      </c>
      <c r="AL2866" s="1">
        <v>44816.557557870372</v>
      </c>
      <c r="AM2866" t="s">
        <v>44</v>
      </c>
    </row>
    <row r="2867" spans="1:39" x14ac:dyDescent="0.2">
      <c r="A2867" t="s">
        <v>2707</v>
      </c>
      <c r="B2867" t="s">
        <v>40</v>
      </c>
      <c r="C2867" t="s">
        <v>2662</v>
      </c>
      <c r="D2867" t="s">
        <v>42</v>
      </c>
      <c r="E2867" t="s">
        <v>43</v>
      </c>
      <c r="F2867" t="s">
        <v>44</v>
      </c>
      <c r="G2867" t="s">
        <v>45</v>
      </c>
      <c r="AH2867" t="s">
        <v>42</v>
      </c>
      <c r="AI2867" t="str">
        <f>"DA031"</f>
        <v>DA031</v>
      </c>
      <c r="AJ2867" t="str">
        <f>"DA031"</f>
        <v>DA031</v>
      </c>
      <c r="AK2867" t="s">
        <v>46</v>
      </c>
      <c r="AL2867" s="1">
        <v>44862.689212962963</v>
      </c>
      <c r="AM2867" t="s">
        <v>44</v>
      </c>
    </row>
    <row r="2868" spans="1:39" x14ac:dyDescent="0.2">
      <c r="A2868" t="s">
        <v>2707</v>
      </c>
      <c r="B2868" t="s">
        <v>40</v>
      </c>
      <c r="C2868" t="s">
        <v>2662</v>
      </c>
      <c r="D2868" t="s">
        <v>42</v>
      </c>
      <c r="E2868" t="s">
        <v>43</v>
      </c>
      <c r="F2868" t="s">
        <v>44</v>
      </c>
      <c r="G2868" t="s">
        <v>45</v>
      </c>
      <c r="AH2868" t="s">
        <v>42</v>
      </c>
      <c r="AI2868" t="str">
        <f>"12100-KGA-900-K"</f>
        <v>12100-KGA-900-K</v>
      </c>
      <c r="AJ2868" t="str">
        <f>"12100-KGA-900-K"</f>
        <v>12100-KGA-900-K</v>
      </c>
      <c r="AK2868" t="s">
        <v>46</v>
      </c>
      <c r="AL2868" s="1">
        <v>45092.909525462965</v>
      </c>
      <c r="AM2868" t="s">
        <v>44</v>
      </c>
    </row>
    <row r="2869" spans="1:39" x14ac:dyDescent="0.2">
      <c r="A2869" t="s">
        <v>2708</v>
      </c>
      <c r="B2869" t="s">
        <v>40</v>
      </c>
      <c r="C2869" t="s">
        <v>2662</v>
      </c>
      <c r="D2869" t="s">
        <v>42</v>
      </c>
      <c r="E2869" t="s">
        <v>43</v>
      </c>
      <c r="F2869" t="s">
        <v>44</v>
      </c>
      <c r="G2869" t="s">
        <v>45</v>
      </c>
      <c r="AH2869" t="s">
        <v>42</v>
      </c>
      <c r="AI2869" t="str">
        <f>"66298897443745"</f>
        <v>66298897443745</v>
      </c>
      <c r="AJ2869" t="str">
        <f>"401085"</f>
        <v>401085</v>
      </c>
      <c r="AK2869" t="s">
        <v>46</v>
      </c>
      <c r="AL2869" s="1">
        <v>44816.557569444441</v>
      </c>
      <c r="AM2869" t="s">
        <v>44</v>
      </c>
    </row>
    <row r="2870" spans="1:39" x14ac:dyDescent="0.2">
      <c r="A2870" t="s">
        <v>2709</v>
      </c>
      <c r="B2870" t="s">
        <v>40</v>
      </c>
      <c r="C2870" t="s">
        <v>2662</v>
      </c>
      <c r="D2870" t="s">
        <v>42</v>
      </c>
      <c r="E2870" t="s">
        <v>43</v>
      </c>
      <c r="F2870" t="s">
        <v>44</v>
      </c>
      <c r="G2870" t="s">
        <v>45</v>
      </c>
      <c r="AH2870" t="s">
        <v>42</v>
      </c>
      <c r="AI2870" t="str">
        <f>"66298897400617"</f>
        <v>66298897400617</v>
      </c>
      <c r="AJ2870" t="str">
        <f>"400048"</f>
        <v>400048</v>
      </c>
      <c r="AK2870" t="s">
        <v>46</v>
      </c>
      <c r="AL2870" s="1">
        <v>44816.557569444441</v>
      </c>
      <c r="AM2870" t="s">
        <v>44</v>
      </c>
    </row>
    <row r="2871" spans="1:39" x14ac:dyDescent="0.2">
      <c r="A2871" t="s">
        <v>2710</v>
      </c>
      <c r="B2871" t="s">
        <v>40</v>
      </c>
      <c r="C2871" t="s">
        <v>2662</v>
      </c>
      <c r="D2871" t="s">
        <v>42</v>
      </c>
      <c r="E2871" t="s">
        <v>43</v>
      </c>
      <c r="F2871" t="s">
        <v>44</v>
      </c>
      <c r="G2871" t="s">
        <v>45</v>
      </c>
      <c r="AH2871" t="s">
        <v>42</v>
      </c>
      <c r="AI2871" t="str">
        <f>"66298897486145"</f>
        <v>66298897486145</v>
      </c>
      <c r="AJ2871" t="str">
        <f>"400745"</f>
        <v>400745</v>
      </c>
      <c r="AK2871" t="s">
        <v>46</v>
      </c>
      <c r="AL2871" s="1">
        <v>44816.557569444441</v>
      </c>
      <c r="AM2871" t="s">
        <v>44</v>
      </c>
    </row>
    <row r="2872" spans="1:39" x14ac:dyDescent="0.2">
      <c r="A2872" t="s">
        <v>2711</v>
      </c>
      <c r="B2872" t="s">
        <v>40</v>
      </c>
      <c r="C2872" t="s">
        <v>2662</v>
      </c>
      <c r="D2872" t="s">
        <v>42</v>
      </c>
      <c r="E2872" t="s">
        <v>43</v>
      </c>
      <c r="F2872" t="s">
        <v>44</v>
      </c>
      <c r="G2872" t="s">
        <v>45</v>
      </c>
      <c r="AH2872" t="s">
        <v>42</v>
      </c>
      <c r="AI2872" t="str">
        <f>"66298897529876"</f>
        <v>66298897529876</v>
      </c>
      <c r="AJ2872" t="str">
        <f>"400747"</f>
        <v>400747</v>
      </c>
      <c r="AK2872" t="s">
        <v>46</v>
      </c>
      <c r="AL2872" s="1">
        <v>44816.557581018518</v>
      </c>
      <c r="AM2872" t="s">
        <v>44</v>
      </c>
    </row>
    <row r="2873" spans="1:39" x14ac:dyDescent="0.2">
      <c r="A2873" t="s">
        <v>2712</v>
      </c>
      <c r="B2873" t="s">
        <v>40</v>
      </c>
      <c r="C2873" t="s">
        <v>2662</v>
      </c>
      <c r="D2873" t="s">
        <v>42</v>
      </c>
      <c r="E2873" t="s">
        <v>43</v>
      </c>
      <c r="F2873" t="s">
        <v>44</v>
      </c>
      <c r="G2873" t="s">
        <v>45</v>
      </c>
      <c r="AH2873" t="s">
        <v>42</v>
      </c>
      <c r="AI2873" t="str">
        <f>"66298897572360"</f>
        <v>66298897572360</v>
      </c>
      <c r="AJ2873" t="str">
        <f>"DA023"</f>
        <v>DA023</v>
      </c>
      <c r="AK2873" t="s">
        <v>46</v>
      </c>
      <c r="AL2873" s="1">
        <v>44816.557581018518</v>
      </c>
      <c r="AM2873" t="s">
        <v>44</v>
      </c>
    </row>
    <row r="2874" spans="1:39" x14ac:dyDescent="0.2">
      <c r="A2874" t="s">
        <v>2713</v>
      </c>
      <c r="B2874" t="s">
        <v>40</v>
      </c>
      <c r="C2874" t="s">
        <v>129</v>
      </c>
      <c r="D2874" t="s">
        <v>42</v>
      </c>
      <c r="E2874" t="s">
        <v>43</v>
      </c>
      <c r="F2874" t="s">
        <v>44</v>
      </c>
      <c r="G2874" t="s">
        <v>45</v>
      </c>
      <c r="AH2874" t="s">
        <v>42</v>
      </c>
      <c r="AI2874" t="str">
        <f>"66298897616538"</f>
        <v>66298897616538</v>
      </c>
      <c r="AJ2874" t="str">
        <f>"H215"</f>
        <v>H215</v>
      </c>
      <c r="AK2874" t="s">
        <v>46</v>
      </c>
      <c r="AL2874" s="1">
        <v>44816.557592592595</v>
      </c>
      <c r="AM2874" t="s">
        <v>44</v>
      </c>
    </row>
    <row r="2875" spans="1:39" x14ac:dyDescent="0.2">
      <c r="A2875" t="s">
        <v>2714</v>
      </c>
      <c r="B2875" t="s">
        <v>40</v>
      </c>
      <c r="C2875" t="s">
        <v>2104</v>
      </c>
      <c r="D2875" t="s">
        <v>42</v>
      </c>
      <c r="E2875" t="s">
        <v>43</v>
      </c>
      <c r="F2875" t="s">
        <v>44</v>
      </c>
      <c r="G2875" t="s">
        <v>45</v>
      </c>
      <c r="AH2875" t="s">
        <v>42</v>
      </c>
      <c r="AI2875" t="str">
        <f>"67950195435088"</f>
        <v>67950195435088</v>
      </c>
      <c r="AJ2875" t="str">
        <f>"DSK-3001"</f>
        <v>DSK-3001</v>
      </c>
      <c r="AK2875" t="s">
        <v>46</v>
      </c>
      <c r="AL2875" s="1">
        <v>45007.680023148147</v>
      </c>
      <c r="AM2875" t="s">
        <v>44</v>
      </c>
    </row>
    <row r="2876" spans="1:39" x14ac:dyDescent="0.2">
      <c r="A2876" t="s">
        <v>2715</v>
      </c>
      <c r="B2876" t="s">
        <v>40</v>
      </c>
      <c r="C2876" t="s">
        <v>2608</v>
      </c>
      <c r="D2876" t="s">
        <v>42</v>
      </c>
      <c r="E2876" t="s">
        <v>43</v>
      </c>
      <c r="F2876" t="s">
        <v>44</v>
      </c>
      <c r="G2876" t="s">
        <v>45</v>
      </c>
      <c r="AH2876" t="s">
        <v>42</v>
      </c>
      <c r="AI2876" t="str">
        <f>"66298897703512"</f>
        <v>66298897703512</v>
      </c>
      <c r="AJ2876" t="str">
        <f>"400317"</f>
        <v>400317</v>
      </c>
      <c r="AK2876" t="s">
        <v>46</v>
      </c>
      <c r="AL2876" s="1">
        <v>44816.557604166665</v>
      </c>
      <c r="AM2876" t="s">
        <v>44</v>
      </c>
    </row>
    <row r="2877" spans="1:39" x14ac:dyDescent="0.2">
      <c r="A2877" t="s">
        <v>2716</v>
      </c>
      <c r="B2877" t="s">
        <v>40</v>
      </c>
      <c r="C2877" t="s">
        <v>2608</v>
      </c>
      <c r="D2877" t="s">
        <v>42</v>
      </c>
      <c r="E2877" t="s">
        <v>43</v>
      </c>
      <c r="F2877" t="s">
        <v>44</v>
      </c>
      <c r="G2877" t="s">
        <v>45</v>
      </c>
      <c r="AH2877" t="s">
        <v>42</v>
      </c>
      <c r="AI2877" t="str">
        <f>"66298897658287"</f>
        <v>66298897658287</v>
      </c>
      <c r="AJ2877" t="str">
        <f>"400325"</f>
        <v>400325</v>
      </c>
      <c r="AK2877" t="s">
        <v>46</v>
      </c>
      <c r="AL2877" s="1">
        <v>44816.557592592595</v>
      </c>
      <c r="AM2877" t="s">
        <v>44</v>
      </c>
    </row>
    <row r="2878" spans="1:39" x14ac:dyDescent="0.2">
      <c r="A2878" t="s">
        <v>2717</v>
      </c>
      <c r="B2878" t="s">
        <v>40</v>
      </c>
      <c r="C2878" t="s">
        <v>2608</v>
      </c>
      <c r="D2878" t="s">
        <v>42</v>
      </c>
      <c r="E2878" t="s">
        <v>43</v>
      </c>
      <c r="F2878" t="s">
        <v>44</v>
      </c>
      <c r="G2878" t="s">
        <v>45</v>
      </c>
      <c r="AH2878" t="s">
        <v>43</v>
      </c>
      <c r="AI2878" t="str">
        <f>"7851"</f>
        <v>7851</v>
      </c>
      <c r="AJ2878" t="str">
        <f>"7851"</f>
        <v>7851</v>
      </c>
      <c r="AK2878" t="s">
        <v>46</v>
      </c>
      <c r="AL2878" s="1">
        <v>44915.902881944443</v>
      </c>
      <c r="AM2878" t="s">
        <v>44</v>
      </c>
    </row>
    <row r="2879" spans="1:39" x14ac:dyDescent="0.2">
      <c r="A2879" t="s">
        <v>2718</v>
      </c>
      <c r="B2879" t="s">
        <v>40</v>
      </c>
      <c r="C2879" t="s">
        <v>2608</v>
      </c>
      <c r="D2879" t="s">
        <v>42</v>
      </c>
      <c r="E2879" t="s">
        <v>43</v>
      </c>
      <c r="F2879" t="s">
        <v>44</v>
      </c>
      <c r="G2879" t="s">
        <v>45</v>
      </c>
      <c r="AH2879" t="s">
        <v>42</v>
      </c>
      <c r="AI2879" t="str">
        <f>"66298897749581"</f>
        <v>66298897749581</v>
      </c>
      <c r="AJ2879" t="str">
        <f>"400318"</f>
        <v>400318</v>
      </c>
      <c r="AK2879" t="s">
        <v>46</v>
      </c>
      <c r="AL2879" s="1">
        <v>44816.557604166665</v>
      </c>
      <c r="AM2879" t="s">
        <v>44</v>
      </c>
    </row>
    <row r="2880" spans="1:39" x14ac:dyDescent="0.2">
      <c r="A2880" t="s">
        <v>2719</v>
      </c>
      <c r="B2880" t="s">
        <v>40</v>
      </c>
      <c r="C2880" t="s">
        <v>2608</v>
      </c>
      <c r="D2880" t="s">
        <v>42</v>
      </c>
      <c r="E2880" t="s">
        <v>43</v>
      </c>
      <c r="F2880" t="s">
        <v>44</v>
      </c>
      <c r="G2880" t="s">
        <v>45</v>
      </c>
      <c r="AH2880" t="s">
        <v>42</v>
      </c>
      <c r="AI2880" t="str">
        <f>"66298897835329"</f>
        <v>66298897835329</v>
      </c>
      <c r="AJ2880" t="str">
        <f>"CH006"</f>
        <v>CH006</v>
      </c>
      <c r="AK2880" t="s">
        <v>46</v>
      </c>
      <c r="AL2880" s="1">
        <v>44816.557615740741</v>
      </c>
      <c r="AM2880" t="s">
        <v>44</v>
      </c>
    </row>
    <row r="2881" spans="1:39" x14ac:dyDescent="0.2">
      <c r="A2881" t="s">
        <v>2720</v>
      </c>
      <c r="B2881" t="s">
        <v>40</v>
      </c>
      <c r="C2881" t="s">
        <v>2608</v>
      </c>
      <c r="D2881" t="s">
        <v>42</v>
      </c>
      <c r="E2881" t="s">
        <v>43</v>
      </c>
      <c r="F2881" t="s">
        <v>44</v>
      </c>
      <c r="G2881" t="s">
        <v>45</v>
      </c>
      <c r="AH2881" t="s">
        <v>42</v>
      </c>
      <c r="AI2881" t="str">
        <f>"66298897792970"</f>
        <v>66298897792970</v>
      </c>
      <c r="AJ2881" t="str">
        <f>"400988"</f>
        <v>400988</v>
      </c>
      <c r="AK2881" t="s">
        <v>46</v>
      </c>
      <c r="AL2881" s="1">
        <v>44816.557604166665</v>
      </c>
      <c r="AM2881" t="s">
        <v>44</v>
      </c>
    </row>
    <row r="2882" spans="1:39" x14ac:dyDescent="0.2">
      <c r="A2882" t="s">
        <v>2721</v>
      </c>
      <c r="B2882" t="s">
        <v>40</v>
      </c>
      <c r="C2882" t="s">
        <v>2608</v>
      </c>
      <c r="D2882" t="s">
        <v>42</v>
      </c>
      <c r="E2882" t="s">
        <v>43</v>
      </c>
      <c r="F2882" t="s">
        <v>44</v>
      </c>
      <c r="G2882" t="s">
        <v>45</v>
      </c>
      <c r="AH2882" t="s">
        <v>42</v>
      </c>
      <c r="AI2882" t="str">
        <f>"66298897876070"</f>
        <v>66298897876070</v>
      </c>
      <c r="AJ2882" t="str">
        <f>"400987"</f>
        <v>400987</v>
      </c>
      <c r="AK2882" t="s">
        <v>46</v>
      </c>
      <c r="AL2882" s="1">
        <v>44816.557615740741</v>
      </c>
      <c r="AM2882" t="s">
        <v>44</v>
      </c>
    </row>
    <row r="2883" spans="1:39" x14ac:dyDescent="0.2">
      <c r="A2883" t="s">
        <v>2722</v>
      </c>
      <c r="B2883" t="s">
        <v>40</v>
      </c>
      <c r="C2883" t="s">
        <v>2608</v>
      </c>
      <c r="D2883" t="s">
        <v>42</v>
      </c>
      <c r="E2883" t="s">
        <v>43</v>
      </c>
      <c r="F2883" t="s">
        <v>44</v>
      </c>
      <c r="G2883" t="s">
        <v>45</v>
      </c>
      <c r="AH2883" t="s">
        <v>42</v>
      </c>
      <c r="AI2883" t="str">
        <f>"66298897920200"</f>
        <v>66298897920200</v>
      </c>
      <c r="AJ2883" t="str">
        <f>"400320"</f>
        <v>400320</v>
      </c>
      <c r="AK2883" t="s">
        <v>46</v>
      </c>
      <c r="AL2883" s="1">
        <v>44816.557627314818</v>
      </c>
      <c r="AM2883" t="s">
        <v>44</v>
      </c>
    </row>
    <row r="2884" spans="1:39" x14ac:dyDescent="0.2">
      <c r="A2884" t="s">
        <v>2723</v>
      </c>
      <c r="B2884" t="s">
        <v>40</v>
      </c>
      <c r="C2884" t="s">
        <v>2608</v>
      </c>
      <c r="D2884" t="s">
        <v>42</v>
      </c>
      <c r="E2884" t="s">
        <v>43</v>
      </c>
      <c r="F2884" t="s">
        <v>44</v>
      </c>
      <c r="G2884" t="s">
        <v>45</v>
      </c>
      <c r="AH2884" t="s">
        <v>42</v>
      </c>
      <c r="AI2884" t="str">
        <f>"66298897962796"</f>
        <v>66298897962796</v>
      </c>
      <c r="AJ2884" t="str">
        <f>"400321"</f>
        <v>400321</v>
      </c>
      <c r="AK2884" t="s">
        <v>46</v>
      </c>
      <c r="AL2884" s="1">
        <v>44816.557627314818</v>
      </c>
      <c r="AM2884" t="s">
        <v>44</v>
      </c>
    </row>
    <row r="2885" spans="1:39" x14ac:dyDescent="0.2">
      <c r="A2885" t="s">
        <v>2724</v>
      </c>
      <c r="B2885" t="s">
        <v>40</v>
      </c>
      <c r="C2885" t="s">
        <v>2608</v>
      </c>
      <c r="D2885" t="s">
        <v>42</v>
      </c>
      <c r="E2885" t="s">
        <v>43</v>
      </c>
      <c r="F2885" t="s">
        <v>44</v>
      </c>
      <c r="G2885" t="s">
        <v>45</v>
      </c>
      <c r="AH2885" t="s">
        <v>42</v>
      </c>
      <c r="AI2885" t="str">
        <f>"66298898009744"</f>
        <v>66298898009744</v>
      </c>
      <c r="AJ2885" t="str">
        <f>"400322"</f>
        <v>400322</v>
      </c>
      <c r="AK2885" t="s">
        <v>46</v>
      </c>
      <c r="AL2885" s="1">
        <v>44816.557638888888</v>
      </c>
      <c r="AM2885" t="s">
        <v>44</v>
      </c>
    </row>
    <row r="2886" spans="1:39" x14ac:dyDescent="0.2">
      <c r="A2886" t="s">
        <v>2725</v>
      </c>
      <c r="B2886" t="s">
        <v>40</v>
      </c>
      <c r="C2886" t="s">
        <v>2608</v>
      </c>
      <c r="D2886" t="s">
        <v>42</v>
      </c>
      <c r="E2886" t="s">
        <v>43</v>
      </c>
      <c r="F2886" t="s">
        <v>44</v>
      </c>
      <c r="G2886" t="s">
        <v>45</v>
      </c>
      <c r="AH2886" t="s">
        <v>42</v>
      </c>
      <c r="AI2886" t="str">
        <f>"66298898058379"</f>
        <v>66298898058379</v>
      </c>
      <c r="AJ2886" t="str">
        <f>"400323"</f>
        <v>400323</v>
      </c>
      <c r="AK2886" t="s">
        <v>46</v>
      </c>
      <c r="AL2886" s="1">
        <v>44816.557638888888</v>
      </c>
      <c r="AM2886" t="s">
        <v>44</v>
      </c>
    </row>
    <row r="2887" spans="1:39" x14ac:dyDescent="0.2">
      <c r="A2887" t="s">
        <v>2726</v>
      </c>
      <c r="B2887" t="s">
        <v>40</v>
      </c>
      <c r="C2887" t="s">
        <v>2608</v>
      </c>
      <c r="D2887" t="s">
        <v>42</v>
      </c>
      <c r="E2887" t="s">
        <v>43</v>
      </c>
      <c r="F2887" t="s">
        <v>44</v>
      </c>
      <c r="G2887" t="s">
        <v>45</v>
      </c>
      <c r="AH2887" t="s">
        <v>42</v>
      </c>
      <c r="AI2887" t="str">
        <f>"66298898100228"</f>
        <v>66298898100228</v>
      </c>
      <c r="AJ2887" t="str">
        <f>"400324"</f>
        <v>400324</v>
      </c>
      <c r="AK2887" t="s">
        <v>46</v>
      </c>
      <c r="AL2887" s="1">
        <v>44816.557650462964</v>
      </c>
      <c r="AM2887" t="s">
        <v>44</v>
      </c>
    </row>
    <row r="2888" spans="1:39" x14ac:dyDescent="0.2">
      <c r="A2888" t="s">
        <v>2727</v>
      </c>
      <c r="B2888" t="s">
        <v>2728</v>
      </c>
      <c r="C2888" t="s">
        <v>2729</v>
      </c>
      <c r="D2888" t="s">
        <v>42</v>
      </c>
      <c r="E2888" t="s">
        <v>42</v>
      </c>
      <c r="F2888" t="s">
        <v>44</v>
      </c>
      <c r="G2888" t="s">
        <v>45</v>
      </c>
      <c r="AH2888" t="s">
        <v>42</v>
      </c>
      <c r="AI2888" t="str">
        <f>"KIT-FZ-2.0-BAS"</f>
        <v>KIT-FZ-2.0-BAS</v>
      </c>
      <c r="AJ2888" t="str">
        <f>"KIT-FZ-2.0-BAS"</f>
        <v>KIT-FZ-2.0-BAS</v>
      </c>
      <c r="AK2888" t="s">
        <v>46</v>
      </c>
      <c r="AL2888" s="1">
        <v>45007.824293981481</v>
      </c>
      <c r="AM2888" t="s">
        <v>44</v>
      </c>
    </row>
    <row r="2889" spans="1:39" x14ac:dyDescent="0.2">
      <c r="A2889" t="s">
        <v>2730</v>
      </c>
      <c r="B2889" t="s">
        <v>2728</v>
      </c>
      <c r="C2889" t="s">
        <v>2731</v>
      </c>
      <c r="D2889" t="s">
        <v>42</v>
      </c>
      <c r="E2889" t="s">
        <v>42</v>
      </c>
      <c r="F2889" t="s">
        <v>44</v>
      </c>
      <c r="G2889" t="s">
        <v>45</v>
      </c>
      <c r="AH2889" t="s">
        <v>42</v>
      </c>
      <c r="AI2889" t="str">
        <f>"KIT-FZ-2.0-FULL"</f>
        <v>KIT-FZ-2.0-FULL</v>
      </c>
      <c r="AJ2889" t="str">
        <f>"KIT-FZ-2.0-FULL"</f>
        <v>KIT-FZ-2.0-FULL</v>
      </c>
      <c r="AK2889" t="s">
        <v>46</v>
      </c>
      <c r="AL2889" s="1">
        <v>45007.762291666666</v>
      </c>
      <c r="AM2889" t="s">
        <v>44</v>
      </c>
    </row>
    <row r="2890" spans="1:39" x14ac:dyDescent="0.2">
      <c r="A2890" t="s">
        <v>2732</v>
      </c>
      <c r="B2890" t="s">
        <v>2728</v>
      </c>
      <c r="C2890" t="s">
        <v>2733</v>
      </c>
      <c r="D2890" t="s">
        <v>42</v>
      </c>
      <c r="E2890" t="s">
        <v>42</v>
      </c>
      <c r="F2890" t="s">
        <v>44</v>
      </c>
      <c r="G2890" t="s">
        <v>45</v>
      </c>
      <c r="AH2890" t="s">
        <v>42</v>
      </c>
      <c r="AI2890" t="str">
        <f>"KIT-FZ-2.0-INT"</f>
        <v>KIT-FZ-2.0-INT</v>
      </c>
      <c r="AJ2890" t="str">
        <f>"KIT-FZ-2.0-INT"</f>
        <v>KIT-FZ-2.0-INT</v>
      </c>
      <c r="AK2890" t="s">
        <v>46</v>
      </c>
      <c r="AL2890" s="1">
        <v>45007.818402777775</v>
      </c>
      <c r="AM2890" t="s">
        <v>44</v>
      </c>
    </row>
    <row r="2891" spans="1:39" x14ac:dyDescent="0.2">
      <c r="A2891" t="s">
        <v>2734</v>
      </c>
      <c r="B2891" t="s">
        <v>40</v>
      </c>
      <c r="C2891" t="s">
        <v>50</v>
      </c>
      <c r="D2891" t="s">
        <v>42</v>
      </c>
      <c r="E2891" t="s">
        <v>43</v>
      </c>
      <c r="F2891" t="s">
        <v>44</v>
      </c>
      <c r="G2891" t="s">
        <v>45</v>
      </c>
      <c r="AH2891" t="s">
        <v>42</v>
      </c>
      <c r="AI2891" t="str">
        <f>"115477"</f>
        <v>115477</v>
      </c>
      <c r="AJ2891" t="str">
        <f>"115477"</f>
        <v>115477</v>
      </c>
      <c r="AK2891" t="s">
        <v>46</v>
      </c>
      <c r="AL2891" s="1">
        <v>45131.728935185187</v>
      </c>
      <c r="AM2891" t="s">
        <v>44</v>
      </c>
    </row>
    <row r="2892" spans="1:39" x14ac:dyDescent="0.2">
      <c r="A2892" t="s">
        <v>2735</v>
      </c>
      <c r="B2892" t="s">
        <v>40</v>
      </c>
      <c r="C2892" t="s">
        <v>129</v>
      </c>
      <c r="D2892" t="s">
        <v>42</v>
      </c>
      <c r="E2892" t="s">
        <v>43</v>
      </c>
      <c r="F2892" t="s">
        <v>44</v>
      </c>
      <c r="G2892" t="s">
        <v>45</v>
      </c>
      <c r="AH2892" t="s">
        <v>42</v>
      </c>
      <c r="AI2892" t="str">
        <f>"66298898144135"</f>
        <v>66298898144135</v>
      </c>
      <c r="AJ2892" t="str">
        <f>"H127"</f>
        <v>H127</v>
      </c>
      <c r="AK2892" t="s">
        <v>46</v>
      </c>
      <c r="AL2892" s="1">
        <v>44816.557650462964</v>
      </c>
      <c r="AM2892" t="s">
        <v>44</v>
      </c>
    </row>
    <row r="2893" spans="1:39" x14ac:dyDescent="0.2">
      <c r="A2893" t="s">
        <v>2736</v>
      </c>
      <c r="B2893" t="s">
        <v>40</v>
      </c>
      <c r="C2893" t="s">
        <v>2660</v>
      </c>
      <c r="D2893" t="s">
        <v>42</v>
      </c>
      <c r="E2893" t="s">
        <v>43</v>
      </c>
      <c r="F2893" t="s">
        <v>44</v>
      </c>
      <c r="G2893" t="s">
        <v>45</v>
      </c>
      <c r="H2893" t="s">
        <v>2737</v>
      </c>
      <c r="AH2893" t="s">
        <v>42</v>
      </c>
      <c r="AI2893" t="str">
        <f>"10000091383"</f>
        <v>10000091383</v>
      </c>
      <c r="AJ2893" t="str">
        <f>"10000091383"</f>
        <v>10000091383</v>
      </c>
      <c r="AK2893" t="s">
        <v>46</v>
      </c>
      <c r="AL2893" s="1">
        <v>44883.538171296299</v>
      </c>
      <c r="AM2893" t="s">
        <v>44</v>
      </c>
    </row>
    <row r="2894" spans="1:39" x14ac:dyDescent="0.2">
      <c r="A2894" t="s">
        <v>2738</v>
      </c>
      <c r="B2894" t="s">
        <v>40</v>
      </c>
      <c r="C2894" t="s">
        <v>2660</v>
      </c>
      <c r="D2894" t="s">
        <v>42</v>
      </c>
      <c r="E2894" t="s">
        <v>43</v>
      </c>
      <c r="F2894" t="s">
        <v>44</v>
      </c>
      <c r="G2894" t="s">
        <v>45</v>
      </c>
      <c r="H2894" t="s">
        <v>2739</v>
      </c>
      <c r="AH2894" t="s">
        <v>42</v>
      </c>
      <c r="AI2894" t="str">
        <f>"36-JZ00-80-KITH"</f>
        <v>36-JZ00-80-KITH</v>
      </c>
      <c r="AJ2894" t="str">
        <f>"36-JZ00-80-KITH"</f>
        <v>36-JZ00-80-KITH</v>
      </c>
      <c r="AK2894" t="s">
        <v>46</v>
      </c>
      <c r="AL2894" s="1">
        <v>45005.692407407405</v>
      </c>
      <c r="AM2894" t="s">
        <v>44</v>
      </c>
    </row>
    <row r="2895" spans="1:39" x14ac:dyDescent="0.2">
      <c r="A2895" t="s">
        <v>2740</v>
      </c>
      <c r="B2895" t="s">
        <v>40</v>
      </c>
      <c r="C2895" t="s">
        <v>2660</v>
      </c>
      <c r="D2895" t="s">
        <v>42</v>
      </c>
      <c r="E2895" t="s">
        <v>43</v>
      </c>
      <c r="F2895" t="s">
        <v>44</v>
      </c>
      <c r="G2895" t="s">
        <v>45</v>
      </c>
      <c r="AH2895" t="s">
        <v>42</v>
      </c>
      <c r="AI2895" t="str">
        <f>"10000091552"</f>
        <v>10000091552</v>
      </c>
      <c r="AJ2895" t="str">
        <f>"10000091552"</f>
        <v>10000091552</v>
      </c>
      <c r="AK2895" t="s">
        <v>46</v>
      </c>
      <c r="AL2895" s="1">
        <v>44986.586030092592</v>
      </c>
      <c r="AM2895" t="s">
        <v>44</v>
      </c>
    </row>
    <row r="2896" spans="1:39" x14ac:dyDescent="0.2">
      <c r="A2896" t="s">
        <v>2741</v>
      </c>
      <c r="B2896" t="s">
        <v>40</v>
      </c>
      <c r="C2896" t="s">
        <v>2660</v>
      </c>
      <c r="D2896" t="s">
        <v>42</v>
      </c>
      <c r="E2896" t="s">
        <v>43</v>
      </c>
      <c r="F2896" t="s">
        <v>44</v>
      </c>
      <c r="G2896" t="s">
        <v>45</v>
      </c>
      <c r="AH2896" t="s">
        <v>42</v>
      </c>
      <c r="AI2896" t="str">
        <f>"10000091551"</f>
        <v>10000091551</v>
      </c>
      <c r="AJ2896" t="str">
        <f>"10000091551"</f>
        <v>10000091551</v>
      </c>
      <c r="AK2896" t="s">
        <v>46</v>
      </c>
      <c r="AL2896" s="1">
        <v>44986.585451388892</v>
      </c>
      <c r="AM2896" t="s">
        <v>44</v>
      </c>
    </row>
    <row r="2897" spans="1:39" x14ac:dyDescent="0.2">
      <c r="A2897" t="s">
        <v>2742</v>
      </c>
      <c r="B2897" t="s">
        <v>40</v>
      </c>
      <c r="C2897" t="s">
        <v>2660</v>
      </c>
      <c r="D2897" t="s">
        <v>42</v>
      </c>
      <c r="E2897" t="s">
        <v>43</v>
      </c>
      <c r="F2897" t="s">
        <v>44</v>
      </c>
      <c r="G2897" t="s">
        <v>45</v>
      </c>
      <c r="AH2897" t="s">
        <v>42</v>
      </c>
      <c r="AI2897" t="str">
        <f>"66298898242506"</f>
        <v>66298898242506</v>
      </c>
      <c r="AJ2897" t="str">
        <f>"41200-K70-600KIT"</f>
        <v>41200-K70-600KIT</v>
      </c>
      <c r="AK2897" t="s">
        <v>46</v>
      </c>
      <c r="AL2897" s="1">
        <v>44816.557662037034</v>
      </c>
      <c r="AM2897" t="s">
        <v>44</v>
      </c>
    </row>
    <row r="2898" spans="1:39" x14ac:dyDescent="0.2">
      <c r="A2898" t="s">
        <v>2743</v>
      </c>
      <c r="B2898" t="s">
        <v>40</v>
      </c>
      <c r="C2898" t="s">
        <v>2660</v>
      </c>
      <c r="D2898" t="s">
        <v>42</v>
      </c>
      <c r="E2898" t="s">
        <v>43</v>
      </c>
      <c r="F2898" t="s">
        <v>44</v>
      </c>
      <c r="G2898" t="s">
        <v>45</v>
      </c>
      <c r="H2898" t="s">
        <v>2744</v>
      </c>
      <c r="AH2898" t="s">
        <v>42</v>
      </c>
      <c r="AI2898" t="str">
        <f>"10000091459"</f>
        <v>10000091459</v>
      </c>
      <c r="AJ2898" t="str">
        <f>"10000091459"</f>
        <v>10000091459</v>
      </c>
      <c r="AK2898" t="s">
        <v>46</v>
      </c>
      <c r="AL2898" s="1">
        <v>44902.670787037037</v>
      </c>
      <c r="AM2898" t="s">
        <v>44</v>
      </c>
    </row>
    <row r="2899" spans="1:39" x14ac:dyDescent="0.2">
      <c r="A2899" t="s">
        <v>2743</v>
      </c>
      <c r="B2899" t="s">
        <v>40</v>
      </c>
      <c r="C2899" t="s">
        <v>2660</v>
      </c>
      <c r="D2899" t="s">
        <v>42</v>
      </c>
      <c r="E2899" t="s">
        <v>43</v>
      </c>
      <c r="F2899" t="s">
        <v>44</v>
      </c>
      <c r="G2899" t="s">
        <v>45</v>
      </c>
      <c r="H2899" t="s">
        <v>2745</v>
      </c>
      <c r="AH2899" t="s">
        <v>42</v>
      </c>
      <c r="AI2899" t="str">
        <f>"10000091338"</f>
        <v>10000091338</v>
      </c>
      <c r="AJ2899" t="str">
        <f>"10000091338"</f>
        <v>10000091338</v>
      </c>
      <c r="AK2899" t="s">
        <v>46</v>
      </c>
      <c r="AL2899" s="1">
        <v>44950.865243055552</v>
      </c>
      <c r="AM2899" t="s">
        <v>44</v>
      </c>
    </row>
    <row r="2900" spans="1:39" x14ac:dyDescent="0.2">
      <c r="A2900" t="s">
        <v>2746</v>
      </c>
      <c r="B2900" t="s">
        <v>40</v>
      </c>
      <c r="C2900" t="s">
        <v>2660</v>
      </c>
      <c r="D2900" t="s">
        <v>42</v>
      </c>
      <c r="E2900" t="s">
        <v>43</v>
      </c>
      <c r="F2900" t="s">
        <v>44</v>
      </c>
      <c r="G2900" t="s">
        <v>45</v>
      </c>
      <c r="AH2900" t="s">
        <v>42</v>
      </c>
      <c r="AI2900" t="str">
        <f>"12308"</f>
        <v>12308</v>
      </c>
      <c r="AJ2900" t="str">
        <f>"12308"</f>
        <v>12308</v>
      </c>
      <c r="AK2900" t="s">
        <v>46</v>
      </c>
      <c r="AL2900" s="1">
        <v>45076.745162037034</v>
      </c>
      <c r="AM2900" t="s">
        <v>44</v>
      </c>
    </row>
    <row r="2901" spans="1:39" x14ac:dyDescent="0.2">
      <c r="A2901" t="s">
        <v>2747</v>
      </c>
      <c r="B2901" t="s">
        <v>40</v>
      </c>
      <c r="C2901" t="s">
        <v>2660</v>
      </c>
      <c r="D2901" t="s">
        <v>42</v>
      </c>
      <c r="E2901" t="s">
        <v>43</v>
      </c>
      <c r="F2901" t="s">
        <v>44</v>
      </c>
      <c r="G2901" t="s">
        <v>45</v>
      </c>
      <c r="H2901" t="s">
        <v>2748</v>
      </c>
      <c r="AH2901" t="s">
        <v>42</v>
      </c>
      <c r="AI2901" t="str">
        <f>"41200-KVX-900-KI"</f>
        <v>41200-KVX-900-KI</v>
      </c>
      <c r="AJ2901" t="str">
        <f>"41200-KVX-900-KI"</f>
        <v>41200-KVX-900-KI</v>
      </c>
      <c r="AK2901" t="s">
        <v>46</v>
      </c>
      <c r="AL2901" s="1">
        <v>44816.557650462964</v>
      </c>
      <c r="AM2901" t="s">
        <v>44</v>
      </c>
    </row>
    <row r="2902" spans="1:39" x14ac:dyDescent="0.2">
      <c r="A2902" t="s">
        <v>2749</v>
      </c>
      <c r="B2902" t="s">
        <v>40</v>
      </c>
      <c r="C2902" t="s">
        <v>2660</v>
      </c>
      <c r="D2902" t="s">
        <v>42</v>
      </c>
      <c r="E2902" t="s">
        <v>43</v>
      </c>
      <c r="F2902" t="s">
        <v>44</v>
      </c>
      <c r="G2902" t="s">
        <v>45</v>
      </c>
      <c r="AH2902" t="s">
        <v>42</v>
      </c>
      <c r="AI2902" t="str">
        <f>"66298898286614"</f>
        <v>66298898286614</v>
      </c>
      <c r="AJ2902" t="str">
        <f>"41200-KPN-A00KIT"</f>
        <v>41200-KPN-A00KIT</v>
      </c>
      <c r="AK2902" t="s">
        <v>46</v>
      </c>
      <c r="AL2902" s="1">
        <v>44816.557662037034</v>
      </c>
      <c r="AM2902" t="s">
        <v>44</v>
      </c>
    </row>
    <row r="2903" spans="1:39" x14ac:dyDescent="0.2">
      <c r="A2903" t="s">
        <v>2750</v>
      </c>
      <c r="B2903" t="s">
        <v>40</v>
      </c>
      <c r="C2903" t="s">
        <v>2660</v>
      </c>
      <c r="D2903" t="s">
        <v>42</v>
      </c>
      <c r="E2903" t="s">
        <v>43</v>
      </c>
      <c r="F2903" t="s">
        <v>44</v>
      </c>
      <c r="G2903" t="s">
        <v>45</v>
      </c>
      <c r="H2903" t="s">
        <v>2751</v>
      </c>
      <c r="AH2903" t="s">
        <v>42</v>
      </c>
      <c r="AI2903" t="str">
        <f>"41200-KSP-B00-KITH"</f>
        <v>41200-KSP-B00-KITH</v>
      </c>
      <c r="AJ2903" t="str">
        <f>"41200-KSP-B00-KITH"</f>
        <v>41200-KSP-B00-KITH</v>
      </c>
      <c r="AK2903" t="s">
        <v>46</v>
      </c>
      <c r="AL2903" s="1">
        <v>44816.557673611111</v>
      </c>
      <c r="AM2903" t="s">
        <v>44</v>
      </c>
    </row>
    <row r="2904" spans="1:39" x14ac:dyDescent="0.2">
      <c r="A2904" t="s">
        <v>2752</v>
      </c>
      <c r="B2904" t="s">
        <v>40</v>
      </c>
      <c r="C2904" t="s">
        <v>2660</v>
      </c>
      <c r="D2904" t="s">
        <v>42</v>
      </c>
      <c r="E2904" t="s">
        <v>43</v>
      </c>
      <c r="F2904" t="s">
        <v>44</v>
      </c>
      <c r="G2904" t="s">
        <v>45</v>
      </c>
      <c r="H2904" t="s">
        <v>2753</v>
      </c>
      <c r="AH2904" t="s">
        <v>42</v>
      </c>
      <c r="AI2904" t="str">
        <f>"41201-KVE-900KITH"</f>
        <v>41201-KVE-900KITH</v>
      </c>
      <c r="AJ2904" t="str">
        <f>"41201-KVE-900KITH"</f>
        <v>41201-KVE-900KITH</v>
      </c>
      <c r="AK2904" t="s">
        <v>46</v>
      </c>
      <c r="AL2904" s="1">
        <v>44901.541770833333</v>
      </c>
      <c r="AM2904" t="s">
        <v>44</v>
      </c>
    </row>
    <row r="2905" spans="1:39" x14ac:dyDescent="0.2">
      <c r="A2905" t="s">
        <v>2754</v>
      </c>
      <c r="B2905" t="s">
        <v>40</v>
      </c>
      <c r="C2905" t="s">
        <v>2660</v>
      </c>
      <c r="D2905" t="s">
        <v>42</v>
      </c>
      <c r="E2905" t="s">
        <v>43</v>
      </c>
      <c r="F2905" t="s">
        <v>44</v>
      </c>
      <c r="G2905" t="s">
        <v>45</v>
      </c>
      <c r="AH2905" t="s">
        <v>42</v>
      </c>
      <c r="AI2905" t="str">
        <f>"41201-KYJ-900-KITH"</f>
        <v>41201-KYJ-900-KITH</v>
      </c>
      <c r="AJ2905" t="str">
        <f>"41201-KYJ-900-KITH"</f>
        <v>41201-KYJ-900-KITH</v>
      </c>
      <c r="AK2905" t="s">
        <v>46</v>
      </c>
      <c r="AL2905" s="1">
        <v>44900.817407407405</v>
      </c>
      <c r="AM2905" t="s">
        <v>44</v>
      </c>
    </row>
    <row r="2906" spans="1:39" x14ac:dyDescent="0.2">
      <c r="A2906" t="s">
        <v>2755</v>
      </c>
      <c r="B2906" t="s">
        <v>40</v>
      </c>
      <c r="C2906" t="s">
        <v>2660</v>
      </c>
      <c r="D2906" t="s">
        <v>42</v>
      </c>
      <c r="E2906" t="s">
        <v>43</v>
      </c>
      <c r="F2906" t="s">
        <v>44</v>
      </c>
      <c r="G2906" t="s">
        <v>45</v>
      </c>
      <c r="H2906" t="s">
        <v>2756</v>
      </c>
      <c r="AH2906" t="s">
        <v>42</v>
      </c>
      <c r="AI2906" t="str">
        <f>"10000091441"</f>
        <v>10000091441</v>
      </c>
      <c r="AJ2906" t="str">
        <f>"10000091441"</f>
        <v>10000091441</v>
      </c>
      <c r="AK2906" t="s">
        <v>46</v>
      </c>
      <c r="AL2906" s="1">
        <v>45014.861574074072</v>
      </c>
      <c r="AM2906" t="s">
        <v>44</v>
      </c>
    </row>
    <row r="2907" spans="1:39" x14ac:dyDescent="0.2">
      <c r="A2907" t="s">
        <v>2757</v>
      </c>
      <c r="B2907" t="s">
        <v>40</v>
      </c>
      <c r="C2907" t="s">
        <v>2660</v>
      </c>
      <c r="D2907" t="s">
        <v>42</v>
      </c>
      <c r="E2907" t="s">
        <v>43</v>
      </c>
      <c r="F2907" t="s">
        <v>44</v>
      </c>
      <c r="G2907" t="s">
        <v>45</v>
      </c>
      <c r="AH2907" t="s">
        <v>42</v>
      </c>
      <c r="AI2907" t="str">
        <f>"10000091182"</f>
        <v>10000091182</v>
      </c>
      <c r="AJ2907" t="str">
        <f>"10000091182"</f>
        <v>10000091182</v>
      </c>
      <c r="AK2907" t="s">
        <v>46</v>
      </c>
      <c r="AL2907" s="1">
        <v>44950.883437500001</v>
      </c>
      <c r="AM2907" t="s">
        <v>44</v>
      </c>
    </row>
    <row r="2908" spans="1:39" x14ac:dyDescent="0.2">
      <c r="A2908" t="s">
        <v>2758</v>
      </c>
      <c r="B2908" t="s">
        <v>40</v>
      </c>
      <c r="C2908" t="s">
        <v>2660</v>
      </c>
      <c r="D2908" t="s">
        <v>42</v>
      </c>
      <c r="E2908" t="s">
        <v>43</v>
      </c>
      <c r="F2908" t="s">
        <v>44</v>
      </c>
      <c r="G2908" t="s">
        <v>45</v>
      </c>
      <c r="AH2908" t="s">
        <v>42</v>
      </c>
      <c r="AI2908" t="str">
        <f>"66298898385566"</f>
        <v>66298898385566</v>
      </c>
      <c r="AJ2908" t="str">
        <f>"41201-383-0045-K"</f>
        <v>41201-383-0045-K</v>
      </c>
      <c r="AK2908" t="s">
        <v>46</v>
      </c>
      <c r="AL2908" s="1">
        <v>44816.557673611111</v>
      </c>
      <c r="AM2908" t="s">
        <v>44</v>
      </c>
    </row>
    <row r="2909" spans="1:39" x14ac:dyDescent="0.2">
      <c r="A2909" t="s">
        <v>2759</v>
      </c>
      <c r="B2909" t="s">
        <v>40</v>
      </c>
      <c r="C2909" t="s">
        <v>2660</v>
      </c>
      <c r="D2909" t="s">
        <v>42</v>
      </c>
      <c r="E2909" t="s">
        <v>43</v>
      </c>
      <c r="F2909" t="s">
        <v>44</v>
      </c>
      <c r="G2909" t="s">
        <v>45</v>
      </c>
      <c r="AH2909" t="s">
        <v>42</v>
      </c>
      <c r="AI2909" t="str">
        <f>"66298898843468"</f>
        <v>66298898843468</v>
      </c>
      <c r="AJ2909" t="str">
        <f>"KIT-TRAS-14/38"</f>
        <v>KIT-TRAS-14/38</v>
      </c>
      <c r="AK2909" t="s">
        <v>46</v>
      </c>
      <c r="AL2909" s="1">
        <v>44816.55773148148</v>
      </c>
      <c r="AM2909" t="s">
        <v>44</v>
      </c>
    </row>
    <row r="2910" spans="1:39" x14ac:dyDescent="0.2">
      <c r="A2910" t="s">
        <v>2760</v>
      </c>
      <c r="B2910" t="s">
        <v>40</v>
      </c>
      <c r="C2910" t="s">
        <v>2660</v>
      </c>
      <c r="D2910" t="s">
        <v>42</v>
      </c>
      <c r="E2910" t="s">
        <v>43</v>
      </c>
      <c r="F2910" t="s">
        <v>44</v>
      </c>
      <c r="G2910" t="s">
        <v>45</v>
      </c>
      <c r="AH2910" t="s">
        <v>42</v>
      </c>
      <c r="AI2910" t="str">
        <f>"66298898428323"</f>
        <v>66298898428323</v>
      </c>
      <c r="AJ2910" t="str">
        <f>"41201-383-3635-K"</f>
        <v>41201-383-3635-K</v>
      </c>
      <c r="AK2910" t="s">
        <v>46</v>
      </c>
      <c r="AL2910" s="1">
        <v>44816.557685185187</v>
      </c>
      <c r="AM2910" t="s">
        <v>44</v>
      </c>
    </row>
    <row r="2911" spans="1:39" x14ac:dyDescent="0.2">
      <c r="A2911" t="s">
        <v>2761</v>
      </c>
      <c r="B2911" t="s">
        <v>40</v>
      </c>
      <c r="C2911" t="s">
        <v>2660</v>
      </c>
      <c r="D2911" t="s">
        <v>42</v>
      </c>
      <c r="E2911" t="s">
        <v>43</v>
      </c>
      <c r="F2911" t="s">
        <v>44</v>
      </c>
      <c r="G2911" t="s">
        <v>45</v>
      </c>
      <c r="H2911" t="s">
        <v>2762</v>
      </c>
      <c r="AH2911" t="s">
        <v>42</v>
      </c>
      <c r="AI2911" t="str">
        <f>"41201-383-0035-KITH"</f>
        <v>41201-383-0035-KITH</v>
      </c>
      <c r="AJ2911" t="str">
        <f>"41201-383-0035-KITH"</f>
        <v>41201-383-0035-KITH</v>
      </c>
      <c r="AK2911" t="s">
        <v>46</v>
      </c>
      <c r="AL2911" s="1">
        <v>45005.549386574072</v>
      </c>
      <c r="AM2911" t="s">
        <v>44</v>
      </c>
    </row>
    <row r="2912" spans="1:39" x14ac:dyDescent="0.2">
      <c r="A2912" t="s">
        <v>2763</v>
      </c>
      <c r="B2912" t="s">
        <v>40</v>
      </c>
      <c r="C2912" t="s">
        <v>2660</v>
      </c>
      <c r="D2912" t="s">
        <v>42</v>
      </c>
      <c r="E2912" t="s">
        <v>43</v>
      </c>
      <c r="F2912" t="s">
        <v>44</v>
      </c>
      <c r="G2912" t="s">
        <v>45</v>
      </c>
      <c r="AH2912" t="s">
        <v>42</v>
      </c>
      <c r="AI2912" t="str">
        <f>"66298898518450"</f>
        <v>66298898518450</v>
      </c>
      <c r="AJ2912" t="str">
        <f>"41201-383-3637-K"</f>
        <v>41201-383-3637-K</v>
      </c>
      <c r="AK2912" t="s">
        <v>46</v>
      </c>
      <c r="AL2912" s="1">
        <v>44816.557696759257</v>
      </c>
      <c r="AM2912" t="s">
        <v>44</v>
      </c>
    </row>
    <row r="2913" spans="1:39" x14ac:dyDescent="0.2">
      <c r="A2913" t="s">
        <v>2764</v>
      </c>
      <c r="B2913" t="s">
        <v>40</v>
      </c>
      <c r="C2913" t="s">
        <v>2660</v>
      </c>
      <c r="D2913" t="s">
        <v>42</v>
      </c>
      <c r="E2913" t="s">
        <v>43</v>
      </c>
      <c r="F2913" t="s">
        <v>44</v>
      </c>
      <c r="G2913" t="s">
        <v>45</v>
      </c>
      <c r="AH2913" t="s">
        <v>42</v>
      </c>
      <c r="AI2913" t="str">
        <f>"66298898471315"</f>
        <v>66298898471315</v>
      </c>
      <c r="AJ2913" t="str">
        <f>"41201-383-0037-K"</f>
        <v>41201-383-0037-K</v>
      </c>
      <c r="AK2913" t="s">
        <v>46</v>
      </c>
      <c r="AL2913" s="1">
        <v>44816.557685185187</v>
      </c>
      <c r="AM2913" t="s">
        <v>44</v>
      </c>
    </row>
    <row r="2914" spans="1:39" x14ac:dyDescent="0.2">
      <c r="A2914" t="s">
        <v>2765</v>
      </c>
      <c r="B2914" t="s">
        <v>40</v>
      </c>
      <c r="C2914" t="s">
        <v>2660</v>
      </c>
      <c r="D2914" t="s">
        <v>42</v>
      </c>
      <c r="E2914" t="s">
        <v>43</v>
      </c>
      <c r="F2914" t="s">
        <v>44</v>
      </c>
      <c r="G2914" t="s">
        <v>45</v>
      </c>
      <c r="AH2914" t="s">
        <v>42</v>
      </c>
      <c r="AI2914" t="str">
        <f>"66298898560492"</f>
        <v>66298898560492</v>
      </c>
      <c r="AJ2914" t="str">
        <f>"41201-383-0038-K"</f>
        <v>41201-383-0038-K</v>
      </c>
      <c r="AK2914" t="s">
        <v>46</v>
      </c>
      <c r="AL2914" s="1">
        <v>44816.557696759257</v>
      </c>
      <c r="AM2914" t="s">
        <v>44</v>
      </c>
    </row>
    <row r="2915" spans="1:39" x14ac:dyDescent="0.2">
      <c r="A2915" t="s">
        <v>2766</v>
      </c>
      <c r="B2915" t="s">
        <v>40</v>
      </c>
      <c r="C2915" t="s">
        <v>2660</v>
      </c>
      <c r="D2915" t="s">
        <v>42</v>
      </c>
      <c r="E2915" t="s">
        <v>43</v>
      </c>
      <c r="F2915" t="s">
        <v>44</v>
      </c>
      <c r="G2915" t="s">
        <v>45</v>
      </c>
      <c r="AH2915" t="s">
        <v>42</v>
      </c>
      <c r="AI2915" t="str">
        <f>"66298898605378"</f>
        <v>66298898605378</v>
      </c>
      <c r="AJ2915" t="str">
        <f>"41201-383-3643-K"</f>
        <v>41201-383-3643-K</v>
      </c>
      <c r="AK2915" t="s">
        <v>46</v>
      </c>
      <c r="AL2915" s="1">
        <v>44816.557708333334</v>
      </c>
      <c r="AM2915" t="s">
        <v>44</v>
      </c>
    </row>
    <row r="2916" spans="1:39" x14ac:dyDescent="0.2">
      <c r="A2916" t="s">
        <v>2767</v>
      </c>
      <c r="B2916" t="s">
        <v>40</v>
      </c>
      <c r="C2916" t="s">
        <v>2660</v>
      </c>
      <c r="D2916" t="s">
        <v>42</v>
      </c>
      <c r="E2916" t="s">
        <v>43</v>
      </c>
      <c r="F2916" t="s">
        <v>44</v>
      </c>
      <c r="G2916" t="s">
        <v>45</v>
      </c>
      <c r="AH2916" t="s">
        <v>42</v>
      </c>
      <c r="AI2916" t="str">
        <f>"66298898654832"</f>
        <v>66298898654832</v>
      </c>
      <c r="AJ2916" t="str">
        <f>"41201-383-1638-K"</f>
        <v>41201-383-1638-K</v>
      </c>
      <c r="AK2916" t="s">
        <v>46</v>
      </c>
      <c r="AL2916" s="1">
        <v>44816.557708333334</v>
      </c>
      <c r="AM2916" t="s">
        <v>44</v>
      </c>
    </row>
    <row r="2917" spans="1:39" x14ac:dyDescent="0.2">
      <c r="A2917" t="s">
        <v>2768</v>
      </c>
      <c r="B2917" t="s">
        <v>40</v>
      </c>
      <c r="C2917" t="s">
        <v>2660</v>
      </c>
      <c r="D2917" t="s">
        <v>42</v>
      </c>
      <c r="E2917" t="s">
        <v>43</v>
      </c>
      <c r="F2917" t="s">
        <v>44</v>
      </c>
      <c r="G2917" t="s">
        <v>45</v>
      </c>
      <c r="AH2917" t="s">
        <v>42</v>
      </c>
      <c r="AI2917" t="str">
        <f>"66298898699792"</f>
        <v>66298898699792</v>
      </c>
      <c r="AJ2917" t="str">
        <f>"41201-383-1639-K"</f>
        <v>41201-383-1639-K</v>
      </c>
      <c r="AK2917" t="s">
        <v>46</v>
      </c>
      <c r="AL2917" s="1">
        <v>44816.557708333334</v>
      </c>
      <c r="AM2917" t="s">
        <v>44</v>
      </c>
    </row>
    <row r="2918" spans="1:39" x14ac:dyDescent="0.2">
      <c r="A2918" t="s">
        <v>2769</v>
      </c>
      <c r="B2918" t="s">
        <v>40</v>
      </c>
      <c r="C2918" t="s">
        <v>2660</v>
      </c>
      <c r="D2918" t="s">
        <v>42</v>
      </c>
      <c r="E2918" t="s">
        <v>43</v>
      </c>
      <c r="F2918" t="s">
        <v>44</v>
      </c>
      <c r="G2918" t="s">
        <v>45</v>
      </c>
      <c r="AH2918" t="s">
        <v>42</v>
      </c>
      <c r="AI2918" t="str">
        <f>"66298898744523"</f>
        <v>66298898744523</v>
      </c>
      <c r="AJ2918" t="str">
        <f>"41201-383-1739KI"</f>
        <v>41201-383-1739KI</v>
      </c>
      <c r="AK2918" t="s">
        <v>46</v>
      </c>
      <c r="AL2918" s="1">
        <v>44816.557719907411</v>
      </c>
      <c r="AM2918" t="s">
        <v>44</v>
      </c>
    </row>
    <row r="2919" spans="1:39" x14ac:dyDescent="0.2">
      <c r="A2919" t="s">
        <v>2770</v>
      </c>
      <c r="B2919" t="s">
        <v>40</v>
      </c>
      <c r="C2919" t="s">
        <v>2660</v>
      </c>
      <c r="D2919" t="s">
        <v>42</v>
      </c>
      <c r="E2919" t="s">
        <v>43</v>
      </c>
      <c r="F2919" t="s">
        <v>44</v>
      </c>
      <c r="G2919" t="s">
        <v>45</v>
      </c>
      <c r="AH2919" t="s">
        <v>42</v>
      </c>
      <c r="AI2919" t="str">
        <f>"66298898786270"</f>
        <v>66298898786270</v>
      </c>
      <c r="AJ2919" t="str">
        <f>"PP-20400-000-KIT"</f>
        <v>PP-20400-000-KIT</v>
      </c>
      <c r="AK2919" t="s">
        <v>46</v>
      </c>
      <c r="AL2919" s="1">
        <v>44816.557719907411</v>
      </c>
      <c r="AM2919" t="s">
        <v>44</v>
      </c>
    </row>
    <row r="2920" spans="1:39" x14ac:dyDescent="0.2">
      <c r="A2920" t="s">
        <v>2771</v>
      </c>
      <c r="B2920" t="s">
        <v>40</v>
      </c>
      <c r="C2920" t="s">
        <v>2660</v>
      </c>
      <c r="D2920" t="s">
        <v>42</v>
      </c>
      <c r="E2920" t="s">
        <v>43</v>
      </c>
      <c r="F2920" t="s">
        <v>44</v>
      </c>
      <c r="G2920" t="s">
        <v>45</v>
      </c>
      <c r="H2920" t="s">
        <v>2772</v>
      </c>
      <c r="AH2920" t="s">
        <v>42</v>
      </c>
      <c r="AI2920" t="str">
        <f>"41201-KGA-900-KI"</f>
        <v>41201-KGA-900-KI</v>
      </c>
      <c r="AJ2920" t="str">
        <f>"41201-KGA-900-KI"</f>
        <v>41201-KGA-900-KI</v>
      </c>
      <c r="AK2920" t="s">
        <v>46</v>
      </c>
      <c r="AL2920" s="1">
        <v>44816.557743055557</v>
      </c>
      <c r="AM2920" t="s">
        <v>44</v>
      </c>
    </row>
    <row r="2921" spans="1:39" x14ac:dyDescent="0.2">
      <c r="A2921" t="s">
        <v>2773</v>
      </c>
      <c r="B2921" t="s">
        <v>40</v>
      </c>
      <c r="C2921" t="s">
        <v>2660</v>
      </c>
      <c r="D2921" t="s">
        <v>42</v>
      </c>
      <c r="E2921" t="s">
        <v>43</v>
      </c>
      <c r="F2921" t="s">
        <v>44</v>
      </c>
      <c r="G2921" t="s">
        <v>45</v>
      </c>
      <c r="H2921" t="s">
        <v>2774</v>
      </c>
      <c r="AH2921" t="s">
        <v>42</v>
      </c>
      <c r="AI2921" t="str">
        <f>"41201-KRF-B40-KITH"</f>
        <v>41201-KRF-B40-KITH</v>
      </c>
      <c r="AJ2921" t="str">
        <f>"41201-KRF-B40-KITH"</f>
        <v>41201-KRF-B40-KITH</v>
      </c>
      <c r="AK2921" t="s">
        <v>46</v>
      </c>
      <c r="AL2921" s="1">
        <v>45005.715925925928</v>
      </c>
      <c r="AM2921" t="s">
        <v>44</v>
      </c>
    </row>
    <row r="2922" spans="1:39" x14ac:dyDescent="0.2">
      <c r="A2922" t="s">
        <v>2775</v>
      </c>
      <c r="B2922" t="s">
        <v>40</v>
      </c>
      <c r="C2922" t="s">
        <v>2660</v>
      </c>
      <c r="D2922" t="s">
        <v>42</v>
      </c>
      <c r="E2922" t="s">
        <v>43</v>
      </c>
      <c r="F2922" t="s">
        <v>44</v>
      </c>
      <c r="G2922" t="s">
        <v>45</v>
      </c>
      <c r="AH2922" t="s">
        <v>42</v>
      </c>
      <c r="AI2922" t="str">
        <f>"10000091476"</f>
        <v>10000091476</v>
      </c>
      <c r="AJ2922" t="str">
        <f>"10000091476"</f>
        <v>10000091476</v>
      </c>
      <c r="AK2922" t="s">
        <v>46</v>
      </c>
      <c r="AL2922" s="1">
        <v>44874.772685185184</v>
      </c>
      <c r="AM2922" t="s">
        <v>44</v>
      </c>
    </row>
    <row r="2923" spans="1:39" x14ac:dyDescent="0.2">
      <c r="A2923" t="s">
        <v>2776</v>
      </c>
      <c r="B2923" t="s">
        <v>40</v>
      </c>
      <c r="C2923" t="s">
        <v>2660</v>
      </c>
      <c r="D2923" t="s">
        <v>42</v>
      </c>
      <c r="E2923" t="s">
        <v>43</v>
      </c>
      <c r="F2923" t="s">
        <v>44</v>
      </c>
      <c r="G2923" t="s">
        <v>45</v>
      </c>
      <c r="H2923" t="s">
        <v>2777</v>
      </c>
      <c r="AH2923" t="s">
        <v>42</v>
      </c>
      <c r="AI2923" t="str">
        <f>"64511-42A01-KITH-OR"</f>
        <v>64511-42A01-KITH-OR</v>
      </c>
      <c r="AJ2923" t="str">
        <f>"64511-42A01-KITH-OR"</f>
        <v>64511-42A01-KITH-OR</v>
      </c>
      <c r="AK2923" t="s">
        <v>46</v>
      </c>
      <c r="AL2923" s="1">
        <v>45005.790532407409</v>
      </c>
      <c r="AM2923" t="s">
        <v>44</v>
      </c>
    </row>
    <row r="2924" spans="1:39" x14ac:dyDescent="0.2">
      <c r="A2924" t="s">
        <v>2778</v>
      </c>
      <c r="B2924" t="s">
        <v>40</v>
      </c>
      <c r="C2924" t="s">
        <v>2660</v>
      </c>
      <c r="D2924" t="s">
        <v>42</v>
      </c>
      <c r="E2924" t="s">
        <v>43</v>
      </c>
      <c r="F2924" t="s">
        <v>44</v>
      </c>
      <c r="G2924" t="s">
        <v>45</v>
      </c>
      <c r="AH2924" t="s">
        <v>42</v>
      </c>
      <c r="AI2924" t="str">
        <f>"64511-42A01-KITH"</f>
        <v>64511-42A01-KITH</v>
      </c>
      <c r="AJ2924" t="str">
        <f>"64511-42A01-KITH"</f>
        <v>64511-42A01-KITH</v>
      </c>
      <c r="AK2924" t="s">
        <v>46</v>
      </c>
      <c r="AL2924" s="1">
        <v>44896.788229166668</v>
      </c>
      <c r="AM2924" t="s">
        <v>44</v>
      </c>
    </row>
    <row r="2925" spans="1:39" x14ac:dyDescent="0.2">
      <c r="A2925" t="s">
        <v>2779</v>
      </c>
      <c r="B2925" t="s">
        <v>40</v>
      </c>
      <c r="C2925" t="s">
        <v>2660</v>
      </c>
      <c r="D2925" t="s">
        <v>42</v>
      </c>
      <c r="E2925" t="s">
        <v>43</v>
      </c>
      <c r="F2925" t="s">
        <v>44</v>
      </c>
      <c r="G2925" t="s">
        <v>45</v>
      </c>
      <c r="AH2925" t="s">
        <v>42</v>
      </c>
      <c r="AI2925" t="str">
        <f>"10000091619"</f>
        <v>10000091619</v>
      </c>
      <c r="AJ2925" t="str">
        <f>"10000091619"</f>
        <v>10000091619</v>
      </c>
      <c r="AK2925" t="s">
        <v>46</v>
      </c>
      <c r="AL2925" s="1">
        <v>45132.894918981481</v>
      </c>
      <c r="AM2925" t="s">
        <v>44</v>
      </c>
    </row>
    <row r="2926" spans="1:39" x14ac:dyDescent="0.2">
      <c r="A2926" t="s">
        <v>2780</v>
      </c>
      <c r="B2926" t="s">
        <v>40</v>
      </c>
      <c r="C2926" t="s">
        <v>2660</v>
      </c>
      <c r="D2926" t="s">
        <v>42</v>
      </c>
      <c r="E2926" t="s">
        <v>43</v>
      </c>
      <c r="F2926" t="s">
        <v>44</v>
      </c>
      <c r="G2926" t="s">
        <v>45</v>
      </c>
      <c r="H2926" t="s">
        <v>2781</v>
      </c>
      <c r="AH2926" t="s">
        <v>42</v>
      </c>
      <c r="AI2926" t="str">
        <f>"64511-45F00-KIT"</f>
        <v>64511-45F00-KIT</v>
      </c>
      <c r="AJ2926" t="str">
        <f>"64511-45F00-KIT"</f>
        <v>64511-45F00-KIT</v>
      </c>
      <c r="AK2926" t="s">
        <v>46</v>
      </c>
      <c r="AL2926" s="1">
        <v>44816.557743055557</v>
      </c>
      <c r="AM2926" t="s">
        <v>44</v>
      </c>
    </row>
    <row r="2927" spans="1:39" x14ac:dyDescent="0.2">
      <c r="A2927" t="s">
        <v>2782</v>
      </c>
      <c r="B2927" t="s">
        <v>40</v>
      </c>
      <c r="C2927" t="s">
        <v>2660</v>
      </c>
      <c r="D2927" t="s">
        <v>42</v>
      </c>
      <c r="E2927" t="s">
        <v>43</v>
      </c>
      <c r="F2927" t="s">
        <v>44</v>
      </c>
      <c r="G2927" t="s">
        <v>45</v>
      </c>
      <c r="H2927" t="s">
        <v>2783</v>
      </c>
      <c r="AH2927" t="s">
        <v>42</v>
      </c>
      <c r="AI2927" t="str">
        <f>"10000091465"</f>
        <v>10000091465</v>
      </c>
      <c r="AJ2927" t="str">
        <f>"10000091465"</f>
        <v>10000091465</v>
      </c>
      <c r="AK2927" t="s">
        <v>46</v>
      </c>
      <c r="AL2927" s="1">
        <v>44951.792939814812</v>
      </c>
      <c r="AM2927" t="s">
        <v>44</v>
      </c>
    </row>
    <row r="2928" spans="1:39" x14ac:dyDescent="0.2">
      <c r="A2928" t="s">
        <v>2784</v>
      </c>
      <c r="B2928" t="s">
        <v>40</v>
      </c>
      <c r="C2928" t="s">
        <v>2660</v>
      </c>
      <c r="D2928" t="s">
        <v>42</v>
      </c>
      <c r="E2928" t="s">
        <v>43</v>
      </c>
      <c r="F2928" t="s">
        <v>44</v>
      </c>
      <c r="G2928" t="s">
        <v>45</v>
      </c>
      <c r="H2928" t="s">
        <v>2785</v>
      </c>
      <c r="AH2928" t="s">
        <v>42</v>
      </c>
      <c r="AI2928" t="str">
        <f>"10000091196"</f>
        <v>10000091196</v>
      </c>
      <c r="AJ2928" t="str">
        <f>"10000091196"</f>
        <v>10000091196</v>
      </c>
      <c r="AK2928" t="s">
        <v>46</v>
      </c>
      <c r="AL2928" s="1">
        <v>44890.790763888886</v>
      </c>
      <c r="AM2928" t="s">
        <v>44</v>
      </c>
    </row>
    <row r="2929" spans="1:39" x14ac:dyDescent="0.2">
      <c r="A2929" t="s">
        <v>2786</v>
      </c>
      <c r="B2929" t="s">
        <v>40</v>
      </c>
      <c r="C2929" t="s">
        <v>2660</v>
      </c>
      <c r="D2929" t="s">
        <v>42</v>
      </c>
      <c r="E2929" t="s">
        <v>43</v>
      </c>
      <c r="F2929" t="s">
        <v>44</v>
      </c>
      <c r="G2929" t="s">
        <v>45</v>
      </c>
      <c r="AH2929" t="s">
        <v>42</v>
      </c>
      <c r="AI2929" t="str">
        <f>"66298899038620"</f>
        <v>66298899038620</v>
      </c>
      <c r="AJ2929" t="str">
        <f>"45D-F5440-00-KIT"</f>
        <v>45D-F5440-00-KIT</v>
      </c>
      <c r="AK2929" t="s">
        <v>46</v>
      </c>
      <c r="AL2929" s="1">
        <v>44816.557754629626</v>
      </c>
      <c r="AM2929" t="s">
        <v>44</v>
      </c>
    </row>
    <row r="2930" spans="1:39" x14ac:dyDescent="0.2">
      <c r="A2930" t="s">
        <v>2787</v>
      </c>
      <c r="B2930" t="s">
        <v>40</v>
      </c>
      <c r="C2930" t="s">
        <v>2660</v>
      </c>
      <c r="D2930" t="s">
        <v>42</v>
      </c>
      <c r="E2930" t="s">
        <v>43</v>
      </c>
      <c r="F2930" t="s">
        <v>44</v>
      </c>
      <c r="G2930" t="s">
        <v>45</v>
      </c>
      <c r="AH2930" t="s">
        <v>42</v>
      </c>
      <c r="AI2930" t="str">
        <f>"10000071909"</f>
        <v>10000071909</v>
      </c>
      <c r="AJ2930" t="str">
        <f>"10000071909"</f>
        <v>10000071909</v>
      </c>
      <c r="AK2930" t="s">
        <v>46</v>
      </c>
      <c r="AL2930" s="1">
        <v>44890.791620370372</v>
      </c>
      <c r="AM2930" t="s">
        <v>44</v>
      </c>
    </row>
    <row r="2931" spans="1:39" x14ac:dyDescent="0.2">
      <c r="A2931" t="s">
        <v>2788</v>
      </c>
      <c r="B2931" t="s">
        <v>40</v>
      </c>
      <c r="C2931" t="s">
        <v>2660</v>
      </c>
      <c r="D2931" t="s">
        <v>42</v>
      </c>
      <c r="E2931" t="s">
        <v>43</v>
      </c>
      <c r="F2931" t="s">
        <v>44</v>
      </c>
      <c r="G2931" t="s">
        <v>45</v>
      </c>
      <c r="H2931" t="s">
        <v>2789</v>
      </c>
      <c r="AH2931" t="s">
        <v>42</v>
      </c>
      <c r="AI2931" t="str">
        <f>"64511-34J10-KITH"</f>
        <v>64511-34J10-KITH</v>
      </c>
      <c r="AJ2931" t="str">
        <f>"64511-34J10-KITH"</f>
        <v>64511-34J10-KITH</v>
      </c>
      <c r="AK2931" t="s">
        <v>46</v>
      </c>
      <c r="AL2931" s="1">
        <v>44816.557754629626</v>
      </c>
      <c r="AM2931" t="s">
        <v>44</v>
      </c>
    </row>
    <row r="2932" spans="1:39" x14ac:dyDescent="0.2">
      <c r="A2932" t="s">
        <v>2788</v>
      </c>
      <c r="B2932" t="s">
        <v>40</v>
      </c>
      <c r="C2932" t="s">
        <v>2660</v>
      </c>
      <c r="D2932" t="s">
        <v>42</v>
      </c>
      <c r="E2932" t="s">
        <v>43</v>
      </c>
      <c r="F2932" t="s">
        <v>44</v>
      </c>
      <c r="G2932" t="s">
        <v>45</v>
      </c>
      <c r="H2932" t="s">
        <v>2789</v>
      </c>
      <c r="AH2932" t="s">
        <v>42</v>
      </c>
      <c r="AI2932" t="str">
        <f>"10000091387"</f>
        <v>10000091387</v>
      </c>
      <c r="AJ2932" t="str">
        <f>"10000091387"</f>
        <v>10000091387</v>
      </c>
      <c r="AK2932" t="s">
        <v>46</v>
      </c>
      <c r="AL2932" s="1">
        <v>44946.564432870371</v>
      </c>
      <c r="AM2932" t="s">
        <v>44</v>
      </c>
    </row>
    <row r="2933" spans="1:39" x14ac:dyDescent="0.2">
      <c r="A2933" t="s">
        <v>2790</v>
      </c>
      <c r="B2933" t="s">
        <v>40</v>
      </c>
      <c r="C2933" t="s">
        <v>2660</v>
      </c>
      <c r="D2933" t="s">
        <v>42</v>
      </c>
      <c r="E2933" t="s">
        <v>43</v>
      </c>
      <c r="F2933" t="s">
        <v>44</v>
      </c>
      <c r="G2933" t="s">
        <v>45</v>
      </c>
      <c r="H2933" t="s">
        <v>2791</v>
      </c>
      <c r="AH2933" t="s">
        <v>42</v>
      </c>
      <c r="AI2933" t="str">
        <f>"64511-0534-115-KITH"</f>
        <v>64511-0534-115-KITH</v>
      </c>
      <c r="AJ2933" t="str">
        <f>"64511-0534-115-KITH"</f>
        <v>64511-0534-115-KITH</v>
      </c>
      <c r="AK2933" t="s">
        <v>46</v>
      </c>
      <c r="AL2933" s="1">
        <v>45005.546365740738</v>
      </c>
      <c r="AM2933" t="s">
        <v>44</v>
      </c>
    </row>
    <row r="2934" spans="1:39" x14ac:dyDescent="0.2">
      <c r="A2934" t="s">
        <v>2792</v>
      </c>
      <c r="B2934" t="s">
        <v>40</v>
      </c>
      <c r="C2934" t="s">
        <v>2660</v>
      </c>
      <c r="D2934" t="s">
        <v>42</v>
      </c>
      <c r="E2934" t="s">
        <v>43</v>
      </c>
      <c r="F2934" t="s">
        <v>44</v>
      </c>
      <c r="G2934" t="s">
        <v>45</v>
      </c>
      <c r="H2934" t="s">
        <v>2793</v>
      </c>
      <c r="AH2934" t="s">
        <v>42</v>
      </c>
      <c r="AI2934" t="str">
        <f>"64511-05338-KITH"</f>
        <v>64511-05338-KITH</v>
      </c>
      <c r="AJ2934" t="str">
        <f>"64511-05338-KITH"</f>
        <v>64511-05338-KITH</v>
      </c>
      <c r="AK2934" t="s">
        <v>46</v>
      </c>
      <c r="AL2934" s="1">
        <v>44816.55777777778</v>
      </c>
      <c r="AM2934" t="s">
        <v>44</v>
      </c>
    </row>
    <row r="2935" spans="1:39" x14ac:dyDescent="0.2">
      <c r="A2935" t="s">
        <v>2794</v>
      </c>
      <c r="B2935" t="s">
        <v>40</v>
      </c>
      <c r="C2935" t="s">
        <v>2660</v>
      </c>
      <c r="D2935" t="s">
        <v>42</v>
      </c>
      <c r="E2935" t="s">
        <v>43</v>
      </c>
      <c r="F2935" t="s">
        <v>44</v>
      </c>
      <c r="G2935" t="s">
        <v>45</v>
      </c>
      <c r="AH2935" t="s">
        <v>42</v>
      </c>
      <c r="AI2935" t="str">
        <f>"64511-05310-15-K"</f>
        <v>64511-05310-15-K</v>
      </c>
      <c r="AJ2935" t="str">
        <f>"64511-05310-15-K"</f>
        <v>64511-05310-15-K</v>
      </c>
      <c r="AK2935" t="s">
        <v>46</v>
      </c>
      <c r="AL2935" s="1">
        <v>45092.91028935185</v>
      </c>
      <c r="AM2935" t="s">
        <v>44</v>
      </c>
    </row>
    <row r="2936" spans="1:39" x14ac:dyDescent="0.2">
      <c r="A2936" t="s">
        <v>2795</v>
      </c>
      <c r="B2936" t="s">
        <v>40</v>
      </c>
      <c r="C2936" t="s">
        <v>2660</v>
      </c>
      <c r="D2936" t="s">
        <v>42</v>
      </c>
      <c r="E2936" t="s">
        <v>43</v>
      </c>
      <c r="F2936" t="s">
        <v>44</v>
      </c>
      <c r="G2936" t="s">
        <v>45</v>
      </c>
      <c r="H2936" t="s">
        <v>2796</v>
      </c>
      <c r="AH2936" t="s">
        <v>42</v>
      </c>
      <c r="AI2936" t="str">
        <f>"64511-0533-815-KITH"</f>
        <v>64511-0533-815-KITH</v>
      </c>
      <c r="AJ2936" t="str">
        <f>"64511-0533-815-KITH"</f>
        <v>64511-0533-815-KITH</v>
      </c>
      <c r="AK2936" t="s">
        <v>46</v>
      </c>
      <c r="AL2936" s="1">
        <v>45005.571759259263</v>
      </c>
      <c r="AM2936" t="s">
        <v>44</v>
      </c>
    </row>
    <row r="2937" spans="1:39" x14ac:dyDescent="0.2">
      <c r="A2937" t="s">
        <v>2795</v>
      </c>
      <c r="B2937" t="s">
        <v>40</v>
      </c>
      <c r="C2937" t="s">
        <v>2660</v>
      </c>
      <c r="D2937" t="s">
        <v>42</v>
      </c>
      <c r="E2937" t="s">
        <v>43</v>
      </c>
      <c r="F2937" t="s">
        <v>44</v>
      </c>
      <c r="G2937" t="s">
        <v>45</v>
      </c>
      <c r="H2937" t="s">
        <v>2797</v>
      </c>
      <c r="AH2937" t="s">
        <v>42</v>
      </c>
      <c r="AI2937" t="str">
        <f>"64511-05341-KITH"</f>
        <v>64511-05341-KITH</v>
      </c>
      <c r="AJ2937" t="str">
        <f>"64511-05341-KITH"</f>
        <v>64511-05341-KITH</v>
      </c>
      <c r="AK2937" t="s">
        <v>46</v>
      </c>
      <c r="AL2937" s="1">
        <v>44816.557766203703</v>
      </c>
      <c r="AM2937" t="s">
        <v>44</v>
      </c>
    </row>
    <row r="2938" spans="1:39" x14ac:dyDescent="0.2">
      <c r="A2938" t="s">
        <v>2795</v>
      </c>
      <c r="B2938" t="s">
        <v>40</v>
      </c>
      <c r="C2938" t="s">
        <v>2660</v>
      </c>
      <c r="D2938" t="s">
        <v>42</v>
      </c>
      <c r="E2938" t="s">
        <v>43</v>
      </c>
      <c r="F2938" t="s">
        <v>44</v>
      </c>
      <c r="G2938" t="s">
        <v>45</v>
      </c>
      <c r="H2938" t="s">
        <v>2798</v>
      </c>
      <c r="AH2938" t="s">
        <v>42</v>
      </c>
      <c r="AI2938" t="str">
        <f>"66298899168962"</f>
        <v>66298899168962</v>
      </c>
      <c r="AJ2938" t="str">
        <f>"64511-05310-KIT"</f>
        <v>64511-05310-KIT</v>
      </c>
      <c r="AK2938" t="s">
        <v>46</v>
      </c>
      <c r="AL2938" s="1">
        <v>44816.557766203703</v>
      </c>
      <c r="AM2938" t="s">
        <v>44</v>
      </c>
    </row>
    <row r="2939" spans="1:39" x14ac:dyDescent="0.2">
      <c r="A2939" t="s">
        <v>2799</v>
      </c>
      <c r="B2939" t="s">
        <v>40</v>
      </c>
      <c r="C2939" t="s">
        <v>2660</v>
      </c>
      <c r="D2939" t="s">
        <v>42</v>
      </c>
      <c r="E2939" t="s">
        <v>43</v>
      </c>
      <c r="F2939" t="s">
        <v>44</v>
      </c>
      <c r="G2939" t="s">
        <v>45</v>
      </c>
      <c r="H2939" t="s">
        <v>2800</v>
      </c>
      <c r="AH2939" t="s">
        <v>42</v>
      </c>
      <c r="AI2939" t="str">
        <f>"64511-30H00-KITH"</f>
        <v>64511-30H00-KITH</v>
      </c>
      <c r="AJ2939" t="str">
        <f>"64511-30H00-KITH"</f>
        <v>64511-30H00-KITH</v>
      </c>
      <c r="AK2939" t="s">
        <v>46</v>
      </c>
      <c r="AL2939" s="1">
        <v>44816.55777777778</v>
      </c>
      <c r="AM2939" t="s">
        <v>44</v>
      </c>
    </row>
    <row r="2940" spans="1:39" x14ac:dyDescent="0.2">
      <c r="A2940" t="s">
        <v>2801</v>
      </c>
      <c r="B2940" t="s">
        <v>40</v>
      </c>
      <c r="C2940" t="s">
        <v>2660</v>
      </c>
      <c r="D2940" t="s">
        <v>42</v>
      </c>
      <c r="E2940" t="s">
        <v>43</v>
      </c>
      <c r="F2940" t="s">
        <v>44</v>
      </c>
      <c r="G2940" t="s">
        <v>45</v>
      </c>
      <c r="H2940" t="s">
        <v>2802</v>
      </c>
      <c r="AH2940" t="s">
        <v>42</v>
      </c>
      <c r="AI2940" t="str">
        <f>"64511-01D04-KITH"</f>
        <v>64511-01D04-KITH</v>
      </c>
      <c r="AJ2940" t="str">
        <f>"64511-01D04-KITH"</f>
        <v>64511-01D04-KITH</v>
      </c>
      <c r="AK2940" t="s">
        <v>46</v>
      </c>
      <c r="AL2940" s="1">
        <v>44816.557789351849</v>
      </c>
      <c r="AM2940" t="s">
        <v>44</v>
      </c>
    </row>
    <row r="2941" spans="1:39" x14ac:dyDescent="0.2">
      <c r="A2941" t="s">
        <v>2803</v>
      </c>
      <c r="B2941" t="s">
        <v>40</v>
      </c>
      <c r="C2941" t="s">
        <v>2660</v>
      </c>
      <c r="D2941" t="s">
        <v>42</v>
      </c>
      <c r="E2941" t="s">
        <v>43</v>
      </c>
      <c r="F2941" t="s">
        <v>44</v>
      </c>
      <c r="G2941" t="s">
        <v>45</v>
      </c>
      <c r="H2941" t="s">
        <v>2804</v>
      </c>
      <c r="AH2941" t="s">
        <v>42</v>
      </c>
      <c r="AI2941" t="str">
        <f>"64511-48H10-K/OR"</f>
        <v>64511-48H10-K/OR</v>
      </c>
      <c r="AJ2941" t="str">
        <f>"64511-48H10-K/OR"</f>
        <v>64511-48H10-K/OR</v>
      </c>
      <c r="AK2941" t="s">
        <v>46</v>
      </c>
      <c r="AL2941" s="1">
        <v>44816.557789351849</v>
      </c>
      <c r="AM2941" t="s">
        <v>44</v>
      </c>
    </row>
    <row r="2942" spans="1:39" x14ac:dyDescent="0.2">
      <c r="A2942" t="s">
        <v>2805</v>
      </c>
      <c r="B2942" t="s">
        <v>40</v>
      </c>
      <c r="C2942" t="s">
        <v>2660</v>
      </c>
      <c r="D2942" t="s">
        <v>42</v>
      </c>
      <c r="E2942" t="s">
        <v>43</v>
      </c>
      <c r="F2942" t="s">
        <v>44</v>
      </c>
      <c r="G2942" t="s">
        <v>45</v>
      </c>
      <c r="H2942" t="s">
        <v>2806</v>
      </c>
      <c r="AH2942" t="s">
        <v>42</v>
      </c>
      <c r="AI2942" t="str">
        <f>"64511-48040-KITJ"</f>
        <v>64511-48040-KITJ</v>
      </c>
      <c r="AJ2942" t="str">
        <f>"64511-48040-KITJ"</f>
        <v>64511-48040-KITJ</v>
      </c>
      <c r="AK2942" t="s">
        <v>46</v>
      </c>
      <c r="AL2942" s="1">
        <v>44816.557789351849</v>
      </c>
      <c r="AM2942" t="s">
        <v>44</v>
      </c>
    </row>
    <row r="2943" spans="1:39" x14ac:dyDescent="0.2">
      <c r="A2943" t="s">
        <v>2805</v>
      </c>
      <c r="B2943" t="s">
        <v>40</v>
      </c>
      <c r="C2943" t="s">
        <v>2660</v>
      </c>
      <c r="D2943" t="s">
        <v>42</v>
      </c>
      <c r="E2943" t="s">
        <v>43</v>
      </c>
      <c r="F2943" t="s">
        <v>44</v>
      </c>
      <c r="G2943" t="s">
        <v>45</v>
      </c>
      <c r="H2943" t="s">
        <v>2807</v>
      </c>
      <c r="AH2943" t="s">
        <v>42</v>
      </c>
      <c r="AI2943" t="str">
        <f>"64511-48048-KITH"</f>
        <v>64511-48048-KITH</v>
      </c>
      <c r="AJ2943" t="str">
        <f>"64511-48048-KITH"</f>
        <v>64511-48048-KITH</v>
      </c>
      <c r="AK2943" t="s">
        <v>46</v>
      </c>
      <c r="AL2943" s="1">
        <v>44816.557800925926</v>
      </c>
      <c r="AM2943" t="s">
        <v>44</v>
      </c>
    </row>
    <row r="2944" spans="1:39" x14ac:dyDescent="0.2">
      <c r="A2944" t="s">
        <v>2808</v>
      </c>
      <c r="B2944" t="s">
        <v>40</v>
      </c>
      <c r="C2944" t="s">
        <v>2660</v>
      </c>
      <c r="D2944" t="s">
        <v>42</v>
      </c>
      <c r="E2944" t="s">
        <v>43</v>
      </c>
      <c r="F2944" t="s">
        <v>44</v>
      </c>
      <c r="G2944" t="s">
        <v>45</v>
      </c>
      <c r="AH2944" t="s">
        <v>42</v>
      </c>
      <c r="AI2944" t="str">
        <f>"10000091505"</f>
        <v>10000091505</v>
      </c>
      <c r="AJ2944" t="str">
        <f>"10000091505"</f>
        <v>10000091505</v>
      </c>
      <c r="AK2944" t="s">
        <v>46</v>
      </c>
      <c r="AL2944" s="1">
        <v>45083.720891203702</v>
      </c>
      <c r="AM2944" t="s">
        <v>44</v>
      </c>
    </row>
    <row r="2945" spans="1:39" x14ac:dyDescent="0.2">
      <c r="A2945" t="s">
        <v>2809</v>
      </c>
      <c r="B2945" t="s">
        <v>40</v>
      </c>
      <c r="C2945" t="s">
        <v>2660</v>
      </c>
      <c r="D2945" t="s">
        <v>42</v>
      </c>
      <c r="E2945" t="s">
        <v>43</v>
      </c>
      <c r="F2945" t="s">
        <v>44</v>
      </c>
      <c r="G2945" t="s">
        <v>45</v>
      </c>
      <c r="H2945" t="s">
        <v>2810</v>
      </c>
      <c r="AH2945" t="s">
        <v>42</v>
      </c>
      <c r="AI2945" t="str">
        <f>"66298899471489"</f>
        <v>66298899471489</v>
      </c>
      <c r="AJ2945" t="str">
        <f>"EVO-20400-000KH"</f>
        <v>EVO-20400-000KH</v>
      </c>
      <c r="AK2945" t="s">
        <v>46</v>
      </c>
      <c r="AL2945" s="1">
        <v>44816.557800925926</v>
      </c>
      <c r="AM2945" t="s">
        <v>44</v>
      </c>
    </row>
    <row r="2946" spans="1:39" x14ac:dyDescent="0.2">
      <c r="A2946" t="s">
        <v>2811</v>
      </c>
      <c r="B2946" t="s">
        <v>40</v>
      </c>
      <c r="C2946" t="s">
        <v>2660</v>
      </c>
      <c r="D2946" t="s">
        <v>42</v>
      </c>
      <c r="E2946" t="s">
        <v>43</v>
      </c>
      <c r="F2946" t="s">
        <v>44</v>
      </c>
      <c r="G2946" t="s">
        <v>45</v>
      </c>
      <c r="H2946" t="s">
        <v>2812</v>
      </c>
      <c r="AH2946" t="s">
        <v>42</v>
      </c>
      <c r="AI2946" t="str">
        <f>"66298899512622"</f>
        <v>66298899512622</v>
      </c>
      <c r="AJ2946" t="str">
        <f>"SL-20400-000-KIT"</f>
        <v>SL-20400-000-KIT</v>
      </c>
      <c r="AK2946" t="s">
        <v>46</v>
      </c>
      <c r="AL2946" s="1">
        <v>44816.557812500003</v>
      </c>
      <c r="AM2946" t="s">
        <v>44</v>
      </c>
    </row>
    <row r="2947" spans="1:39" x14ac:dyDescent="0.2">
      <c r="A2947" t="s">
        <v>2811</v>
      </c>
      <c r="B2947" t="s">
        <v>40</v>
      </c>
      <c r="C2947" t="s">
        <v>2660</v>
      </c>
      <c r="D2947" t="s">
        <v>42</v>
      </c>
      <c r="E2947" t="s">
        <v>43</v>
      </c>
      <c r="F2947" t="s">
        <v>44</v>
      </c>
      <c r="G2947" t="s">
        <v>45</v>
      </c>
      <c r="H2947" t="s">
        <v>2753</v>
      </c>
      <c r="AH2947" t="s">
        <v>42</v>
      </c>
      <c r="AI2947" t="str">
        <f>"66298899559232"</f>
        <v>66298899559232</v>
      </c>
      <c r="AJ2947" t="str">
        <f>"41201-383-1543KI"</f>
        <v>41201-383-1543KI</v>
      </c>
      <c r="AK2947" t="s">
        <v>46</v>
      </c>
      <c r="AL2947" s="1">
        <v>44816.557812500003</v>
      </c>
      <c r="AM2947" t="s">
        <v>44</v>
      </c>
    </row>
    <row r="2948" spans="1:39" x14ac:dyDescent="0.2">
      <c r="A2948" t="s">
        <v>2813</v>
      </c>
      <c r="B2948" t="s">
        <v>40</v>
      </c>
      <c r="C2948" t="s">
        <v>2660</v>
      </c>
      <c r="D2948" t="s">
        <v>42</v>
      </c>
      <c r="E2948" t="s">
        <v>43</v>
      </c>
      <c r="F2948" t="s">
        <v>44</v>
      </c>
      <c r="G2948" t="s">
        <v>45</v>
      </c>
      <c r="AH2948" t="s">
        <v>42</v>
      </c>
      <c r="AI2948" t="str">
        <f>"27600H3EY20H000"</f>
        <v>27600H3EY20H000</v>
      </c>
      <c r="AJ2948" t="str">
        <f>"27600H3EY20H000"</f>
        <v>27600H3EY20H000</v>
      </c>
      <c r="AK2948" t="s">
        <v>46</v>
      </c>
      <c r="AL2948" s="1">
        <v>44875.768483796295</v>
      </c>
      <c r="AM2948" t="s">
        <v>44</v>
      </c>
    </row>
    <row r="2949" spans="1:39" x14ac:dyDescent="0.2">
      <c r="A2949" t="s">
        <v>2814</v>
      </c>
      <c r="B2949" t="s">
        <v>40</v>
      </c>
      <c r="C2949" t="s">
        <v>2660</v>
      </c>
      <c r="D2949" t="s">
        <v>42</v>
      </c>
      <c r="E2949" t="s">
        <v>43</v>
      </c>
      <c r="F2949" t="s">
        <v>44</v>
      </c>
      <c r="G2949" t="s">
        <v>45</v>
      </c>
      <c r="H2949" t="s">
        <v>2815</v>
      </c>
      <c r="AH2949" t="s">
        <v>42</v>
      </c>
      <c r="AI2949" t="str">
        <f>"64511-05310-15-KITH"</f>
        <v>64511-05310-15-KITH</v>
      </c>
      <c r="AJ2949" t="str">
        <f>"64511-05310-15-KITH"</f>
        <v>64511-05310-15-KITH</v>
      </c>
      <c r="AK2949" t="s">
        <v>46</v>
      </c>
      <c r="AL2949" s="1">
        <v>45005.720497685186</v>
      </c>
      <c r="AM2949" t="s">
        <v>44</v>
      </c>
    </row>
    <row r="2950" spans="1:39" x14ac:dyDescent="0.2">
      <c r="A2950" t="s">
        <v>2816</v>
      </c>
      <c r="B2950" t="s">
        <v>40</v>
      </c>
      <c r="C2950" t="s">
        <v>2660</v>
      </c>
      <c r="D2950" t="s">
        <v>42</v>
      </c>
      <c r="E2950" t="s">
        <v>43</v>
      </c>
      <c r="F2950" t="s">
        <v>44</v>
      </c>
      <c r="G2950" t="s">
        <v>45</v>
      </c>
      <c r="H2950" t="s">
        <v>2817</v>
      </c>
      <c r="AH2950" t="s">
        <v>42</v>
      </c>
      <c r="AI2950" t="str">
        <f>"SM-20400-000-KIT"</f>
        <v>SM-20400-000-KIT</v>
      </c>
      <c r="AJ2950" t="str">
        <f>"SM-20400-000-KIT"</f>
        <v>SM-20400-000-KIT</v>
      </c>
      <c r="AK2950" t="s">
        <v>46</v>
      </c>
      <c r="AL2950" s="1">
        <v>44816.557824074072</v>
      </c>
      <c r="AM2950" t="s">
        <v>44</v>
      </c>
    </row>
    <row r="2951" spans="1:39" x14ac:dyDescent="0.2">
      <c r="A2951" t="s">
        <v>2818</v>
      </c>
      <c r="B2951" t="s">
        <v>40</v>
      </c>
      <c r="C2951" t="s">
        <v>2660</v>
      </c>
      <c r="D2951" t="s">
        <v>42</v>
      </c>
      <c r="E2951" t="s">
        <v>43</v>
      </c>
      <c r="F2951" t="s">
        <v>44</v>
      </c>
      <c r="G2951" t="s">
        <v>45</v>
      </c>
      <c r="H2951" t="s">
        <v>2819</v>
      </c>
      <c r="AH2951" t="s">
        <v>42</v>
      </c>
      <c r="AI2951" t="str">
        <f>"66298899602557"</f>
        <v>66298899602557</v>
      </c>
      <c r="AJ2951" t="str">
        <f>"XN-20400-999-KIT"</f>
        <v>XN-20400-999-KIT</v>
      </c>
      <c r="AK2951" t="s">
        <v>46</v>
      </c>
      <c r="AL2951" s="1">
        <v>44816.557824074072</v>
      </c>
      <c r="AM2951" t="s">
        <v>44</v>
      </c>
    </row>
    <row r="2952" spans="1:39" x14ac:dyDescent="0.2">
      <c r="A2952" t="s">
        <v>2820</v>
      </c>
      <c r="B2952" t="s">
        <v>40</v>
      </c>
      <c r="C2952" t="s">
        <v>2660</v>
      </c>
      <c r="D2952" t="s">
        <v>42</v>
      </c>
      <c r="E2952" t="s">
        <v>43</v>
      </c>
      <c r="F2952" t="s">
        <v>44</v>
      </c>
      <c r="G2952" t="s">
        <v>45</v>
      </c>
      <c r="H2952" t="s">
        <v>2821</v>
      </c>
      <c r="AH2952" t="s">
        <v>42</v>
      </c>
      <c r="AI2952" t="str">
        <f>"XN-20400-0015-KITH"</f>
        <v>XN-20400-0015-KITH</v>
      </c>
      <c r="AJ2952" t="str">
        <f>"XN-20400-0015-KITH"</f>
        <v>XN-20400-0015-KITH</v>
      </c>
      <c r="AK2952" t="s">
        <v>46</v>
      </c>
      <c r="AL2952" s="1">
        <v>45005.611064814817</v>
      </c>
      <c r="AM2952" t="s">
        <v>44</v>
      </c>
    </row>
    <row r="2953" spans="1:39" x14ac:dyDescent="0.2">
      <c r="A2953" t="s">
        <v>2822</v>
      </c>
      <c r="B2953" t="s">
        <v>40</v>
      </c>
      <c r="C2953" t="s">
        <v>2660</v>
      </c>
      <c r="D2953" t="s">
        <v>42</v>
      </c>
      <c r="E2953" t="s">
        <v>43</v>
      </c>
      <c r="F2953" t="s">
        <v>44</v>
      </c>
      <c r="G2953" t="s">
        <v>45</v>
      </c>
      <c r="H2953" t="s">
        <v>2823</v>
      </c>
      <c r="AH2953" t="s">
        <v>42</v>
      </c>
      <c r="AI2953" t="str">
        <f>"12295"</f>
        <v>12295</v>
      </c>
      <c r="AJ2953" t="str">
        <f>"12295"</f>
        <v>12295</v>
      </c>
      <c r="AK2953" t="s">
        <v>46</v>
      </c>
      <c r="AL2953" s="1">
        <v>44949.610833333332</v>
      </c>
      <c r="AM2953" t="s">
        <v>44</v>
      </c>
    </row>
    <row r="2954" spans="1:39" x14ac:dyDescent="0.2">
      <c r="A2954" t="s">
        <v>2824</v>
      </c>
      <c r="B2954" t="s">
        <v>40</v>
      </c>
      <c r="C2954" t="s">
        <v>2660</v>
      </c>
      <c r="D2954" t="s">
        <v>42</v>
      </c>
      <c r="E2954" t="s">
        <v>43</v>
      </c>
      <c r="F2954" t="s">
        <v>44</v>
      </c>
      <c r="G2954" t="s">
        <v>45</v>
      </c>
      <c r="AH2954" t="s">
        <v>42</v>
      </c>
      <c r="AI2954" t="str">
        <f>"66298899684026"</f>
        <v>66298899684026</v>
      </c>
      <c r="AJ2954" t="str">
        <f>"50002058-KITH"</f>
        <v>50002058-KITH</v>
      </c>
      <c r="AK2954" t="s">
        <v>46</v>
      </c>
      <c r="AL2954" s="1">
        <v>44816.557824074072</v>
      </c>
      <c r="AM2954" t="s">
        <v>44</v>
      </c>
    </row>
    <row r="2955" spans="1:39" x14ac:dyDescent="0.2">
      <c r="A2955" t="s">
        <v>2824</v>
      </c>
      <c r="B2955" t="s">
        <v>40</v>
      </c>
      <c r="C2955" t="s">
        <v>2660</v>
      </c>
      <c r="D2955" t="s">
        <v>42</v>
      </c>
      <c r="E2955" t="s">
        <v>43</v>
      </c>
      <c r="F2955" t="s">
        <v>44</v>
      </c>
      <c r="G2955" t="s">
        <v>45</v>
      </c>
      <c r="AH2955" t="s">
        <v>42</v>
      </c>
      <c r="AI2955" t="str">
        <f>"10000091471"</f>
        <v>10000091471</v>
      </c>
      <c r="AJ2955" t="str">
        <f>"10000091471"</f>
        <v>10000091471</v>
      </c>
      <c r="AK2955" t="s">
        <v>46</v>
      </c>
      <c r="AL2955" s="1">
        <v>44929.61519675926</v>
      </c>
      <c r="AM2955" t="s">
        <v>44</v>
      </c>
    </row>
    <row r="2956" spans="1:39" x14ac:dyDescent="0.2">
      <c r="A2956" t="s">
        <v>2825</v>
      </c>
      <c r="B2956" t="s">
        <v>40</v>
      </c>
      <c r="C2956" t="s">
        <v>2660</v>
      </c>
      <c r="D2956" t="s">
        <v>42</v>
      </c>
      <c r="E2956" t="s">
        <v>43</v>
      </c>
      <c r="F2956" t="s">
        <v>44</v>
      </c>
      <c r="G2956" t="s">
        <v>45</v>
      </c>
      <c r="H2956" t="s">
        <v>2826</v>
      </c>
      <c r="AH2956" t="s">
        <v>42</v>
      </c>
      <c r="AI2956" t="str">
        <f>"41201-383-0040-K"</f>
        <v>41201-383-0040-K</v>
      </c>
      <c r="AJ2956" t="str">
        <f>"41201-383-0040-K"</f>
        <v>41201-383-0040-K</v>
      </c>
      <c r="AK2956" t="s">
        <v>46</v>
      </c>
      <c r="AL2956" s="1">
        <v>44816.557835648149</v>
      </c>
      <c r="AM2956" t="s">
        <v>44</v>
      </c>
    </row>
    <row r="2957" spans="1:39" x14ac:dyDescent="0.2">
      <c r="A2957" t="s">
        <v>2827</v>
      </c>
      <c r="B2957" t="s">
        <v>40</v>
      </c>
      <c r="C2957" t="s">
        <v>2660</v>
      </c>
      <c r="D2957" t="s">
        <v>42</v>
      </c>
      <c r="E2957" t="s">
        <v>43</v>
      </c>
      <c r="F2957" t="s">
        <v>44</v>
      </c>
      <c r="G2957" t="s">
        <v>45</v>
      </c>
      <c r="H2957" t="s">
        <v>2828</v>
      </c>
      <c r="AH2957" t="s">
        <v>42</v>
      </c>
      <c r="AI2957" t="str">
        <f>"41201-KVE-915KIT"</f>
        <v>41201-KVE-915KIT</v>
      </c>
      <c r="AJ2957" t="str">
        <f>"41201-KVE-915KIT"</f>
        <v>41201-KVE-915KIT</v>
      </c>
      <c r="AK2957" t="s">
        <v>46</v>
      </c>
      <c r="AL2957" s="1">
        <v>44816.557835648149</v>
      </c>
      <c r="AM2957" t="s">
        <v>44</v>
      </c>
    </row>
    <row r="2958" spans="1:39" x14ac:dyDescent="0.2">
      <c r="A2958" t="s">
        <v>2829</v>
      </c>
      <c r="B2958" t="s">
        <v>40</v>
      </c>
      <c r="C2958" t="s">
        <v>2660</v>
      </c>
      <c r="D2958" t="s">
        <v>42</v>
      </c>
      <c r="E2958" t="s">
        <v>43</v>
      </c>
      <c r="F2958" t="s">
        <v>44</v>
      </c>
      <c r="G2958" t="s">
        <v>45</v>
      </c>
      <c r="AH2958" t="s">
        <v>42</v>
      </c>
      <c r="AI2958" t="str">
        <f>"27600H40Y00H000"</f>
        <v>27600H40Y00H000</v>
      </c>
      <c r="AJ2958" t="str">
        <f>"27600H40Y00H000"</f>
        <v>27600H40Y00H000</v>
      </c>
      <c r="AK2958" t="s">
        <v>46</v>
      </c>
      <c r="AL2958" s="1">
        <v>44875.607094907406</v>
      </c>
      <c r="AM2958" t="s">
        <v>44</v>
      </c>
    </row>
    <row r="2959" spans="1:39" x14ac:dyDescent="0.2">
      <c r="A2959" t="s">
        <v>2830</v>
      </c>
      <c r="B2959" t="s">
        <v>40</v>
      </c>
      <c r="C2959" t="s">
        <v>2660</v>
      </c>
      <c r="D2959" t="s">
        <v>42</v>
      </c>
      <c r="E2959" t="s">
        <v>43</v>
      </c>
      <c r="F2959" t="s">
        <v>44</v>
      </c>
      <c r="G2959" t="s">
        <v>45</v>
      </c>
      <c r="H2959" t="s">
        <v>2831</v>
      </c>
      <c r="AH2959" t="s">
        <v>42</v>
      </c>
      <c r="AI2959" t="str">
        <f>"10000071848"</f>
        <v>10000071848</v>
      </c>
      <c r="AJ2959" t="str">
        <f>"10000071848"</f>
        <v>10000071848</v>
      </c>
      <c r="AK2959" t="s">
        <v>46</v>
      </c>
      <c r="AL2959" s="1">
        <v>44883.62709490741</v>
      </c>
      <c r="AM2959" t="s">
        <v>44</v>
      </c>
    </row>
    <row r="2960" spans="1:39" x14ac:dyDescent="0.2">
      <c r="A2960" t="s">
        <v>2830</v>
      </c>
      <c r="B2960" t="s">
        <v>40</v>
      </c>
      <c r="C2960" t="s">
        <v>2660</v>
      </c>
      <c r="D2960" t="s">
        <v>42</v>
      </c>
      <c r="E2960" t="s">
        <v>43</v>
      </c>
      <c r="F2960" t="s">
        <v>44</v>
      </c>
      <c r="G2960" t="s">
        <v>45</v>
      </c>
      <c r="H2960" t="s">
        <v>2832</v>
      </c>
      <c r="AH2960" t="s">
        <v>42</v>
      </c>
      <c r="AI2960" t="str">
        <f>"41201-KSM-900-KITH"</f>
        <v>41201-KSM-900-KITH</v>
      </c>
      <c r="AJ2960" t="str">
        <f>"41201-KSM-900-KITH"</f>
        <v>41201-KSM-900-KITH</v>
      </c>
      <c r="AK2960" t="s">
        <v>46</v>
      </c>
      <c r="AL2960" s="1">
        <v>45005.801238425927</v>
      </c>
      <c r="AM2960" t="s">
        <v>44</v>
      </c>
    </row>
    <row r="2961" spans="1:39" x14ac:dyDescent="0.2">
      <c r="A2961" t="s">
        <v>2833</v>
      </c>
      <c r="B2961" t="s">
        <v>40</v>
      </c>
      <c r="C2961" t="s">
        <v>2660</v>
      </c>
      <c r="D2961" t="s">
        <v>42</v>
      </c>
      <c r="E2961" t="s">
        <v>43</v>
      </c>
      <c r="F2961" t="s">
        <v>44</v>
      </c>
      <c r="G2961" t="s">
        <v>45</v>
      </c>
      <c r="H2961" t="s">
        <v>2834</v>
      </c>
      <c r="AH2961" t="s">
        <v>42</v>
      </c>
      <c r="AI2961" t="str">
        <f>"64511-05310-16-KITH"</f>
        <v>64511-05310-16-KITH</v>
      </c>
      <c r="AJ2961" t="str">
        <f>"64511-05310-16-KITH"</f>
        <v>64511-05310-16-KITH</v>
      </c>
      <c r="AK2961" t="s">
        <v>46</v>
      </c>
      <c r="AL2961" s="1">
        <v>45005.616724537038</v>
      </c>
      <c r="AM2961" t="s">
        <v>44</v>
      </c>
    </row>
    <row r="2962" spans="1:39" x14ac:dyDescent="0.2">
      <c r="A2962" t="s">
        <v>2835</v>
      </c>
      <c r="B2962" t="s">
        <v>40</v>
      </c>
      <c r="C2962" t="s">
        <v>2660</v>
      </c>
      <c r="D2962" t="s">
        <v>42</v>
      </c>
      <c r="E2962" t="s">
        <v>43</v>
      </c>
      <c r="F2962" t="s">
        <v>44</v>
      </c>
      <c r="G2962" t="s">
        <v>45</v>
      </c>
      <c r="H2962" t="s">
        <v>2753</v>
      </c>
      <c r="AH2962" t="s">
        <v>42</v>
      </c>
      <c r="AI2962" t="str">
        <f>"66298899806225"</f>
        <v>66298899806225</v>
      </c>
      <c r="AJ2962" t="str">
        <f>"36-JE00-07-KITH"</f>
        <v>36-JE00-07-KITH</v>
      </c>
      <c r="AK2962" t="s">
        <v>46</v>
      </c>
      <c r="AL2962" s="1">
        <v>44816.557847222219</v>
      </c>
      <c r="AM2962" t="s">
        <v>44</v>
      </c>
    </row>
    <row r="2963" spans="1:39" x14ac:dyDescent="0.2">
      <c r="A2963" t="s">
        <v>2836</v>
      </c>
      <c r="B2963" t="s">
        <v>40</v>
      </c>
      <c r="C2963" t="s">
        <v>2660</v>
      </c>
      <c r="D2963" t="s">
        <v>42</v>
      </c>
      <c r="E2963" t="s">
        <v>43</v>
      </c>
      <c r="F2963" t="s">
        <v>44</v>
      </c>
      <c r="G2963" t="s">
        <v>45</v>
      </c>
      <c r="AH2963" t="s">
        <v>42</v>
      </c>
      <c r="AI2963" t="str">
        <f>"10000091501"</f>
        <v>10000091501</v>
      </c>
      <c r="AJ2963" t="str">
        <f>"10000091501"</f>
        <v>10000091501</v>
      </c>
      <c r="AK2963" t="s">
        <v>46</v>
      </c>
      <c r="AL2963" s="1">
        <v>44907.816712962966</v>
      </c>
      <c r="AM2963" t="s">
        <v>44</v>
      </c>
    </row>
    <row r="2964" spans="1:39" x14ac:dyDescent="0.2">
      <c r="A2964" t="s">
        <v>2837</v>
      </c>
      <c r="B2964" t="s">
        <v>40</v>
      </c>
      <c r="C2964" t="s">
        <v>2660</v>
      </c>
      <c r="D2964" t="s">
        <v>42</v>
      </c>
      <c r="E2964" t="s">
        <v>43</v>
      </c>
      <c r="F2964" t="s">
        <v>44</v>
      </c>
      <c r="G2964" t="s">
        <v>45</v>
      </c>
      <c r="AH2964" t="s">
        <v>42</v>
      </c>
      <c r="AI2964" t="str">
        <f>"10000091396"</f>
        <v>10000091396</v>
      </c>
      <c r="AJ2964" t="str">
        <f>"10000091396"</f>
        <v>10000091396</v>
      </c>
      <c r="AK2964" t="s">
        <v>46</v>
      </c>
      <c r="AL2964" s="1">
        <v>44946.553437499999</v>
      </c>
      <c r="AM2964" t="s">
        <v>44</v>
      </c>
    </row>
    <row r="2965" spans="1:39" x14ac:dyDescent="0.2">
      <c r="A2965" t="s">
        <v>2838</v>
      </c>
      <c r="B2965" t="s">
        <v>40</v>
      </c>
      <c r="C2965" t="s">
        <v>2660</v>
      </c>
      <c r="D2965" t="s">
        <v>42</v>
      </c>
      <c r="E2965" t="s">
        <v>43</v>
      </c>
      <c r="F2965" t="s">
        <v>44</v>
      </c>
      <c r="G2965" t="s">
        <v>45</v>
      </c>
      <c r="H2965" t="s">
        <v>2839</v>
      </c>
      <c r="AH2965" t="s">
        <v>42</v>
      </c>
      <c r="AI2965" t="str">
        <f>"36-JF00-06-KITH"</f>
        <v>36-JF00-06-KITH</v>
      </c>
      <c r="AJ2965" t="str">
        <f>"36-JF00-06-KITH"</f>
        <v>36-JF00-06-KITH</v>
      </c>
      <c r="AK2965" t="s">
        <v>46</v>
      </c>
      <c r="AL2965" s="1">
        <v>45005.653113425928</v>
      </c>
      <c r="AM2965" t="s">
        <v>44</v>
      </c>
    </row>
    <row r="2966" spans="1:39" x14ac:dyDescent="0.2">
      <c r="A2966" t="s">
        <v>2840</v>
      </c>
      <c r="B2966" t="s">
        <v>40</v>
      </c>
      <c r="C2966" t="s">
        <v>2660</v>
      </c>
      <c r="D2966" t="s">
        <v>42</v>
      </c>
      <c r="E2966" t="s">
        <v>43</v>
      </c>
      <c r="F2966" t="s">
        <v>44</v>
      </c>
      <c r="G2966" t="s">
        <v>45</v>
      </c>
      <c r="AH2966" t="s">
        <v>42</v>
      </c>
      <c r="AI2966" t="str">
        <f>"66298899849666"</f>
        <v>66298899849666</v>
      </c>
      <c r="AJ2966" t="str">
        <f>"36-DK00-36-KITH"</f>
        <v>36-DK00-36-KITH</v>
      </c>
      <c r="AK2966" t="s">
        <v>46</v>
      </c>
      <c r="AL2966" s="1">
        <v>44816.557847222219</v>
      </c>
      <c r="AM2966" t="s">
        <v>44</v>
      </c>
    </row>
    <row r="2967" spans="1:39" x14ac:dyDescent="0.2">
      <c r="A2967" t="s">
        <v>2840</v>
      </c>
      <c r="B2967" t="s">
        <v>40</v>
      </c>
      <c r="C2967" t="s">
        <v>2660</v>
      </c>
      <c r="D2967" t="s">
        <v>42</v>
      </c>
      <c r="E2967" t="s">
        <v>43</v>
      </c>
      <c r="F2967" t="s">
        <v>44</v>
      </c>
      <c r="G2967" t="s">
        <v>45</v>
      </c>
      <c r="AH2967" t="s">
        <v>42</v>
      </c>
      <c r="AI2967" t="str">
        <f>"66298899855346"</f>
        <v>66298899855346</v>
      </c>
      <c r="AJ2967" t="str">
        <f>"DX-1510-23-KITH"</f>
        <v>DX-1510-23-KITH</v>
      </c>
      <c r="AK2967" t="s">
        <v>46</v>
      </c>
      <c r="AL2967" s="1">
        <v>44816.557847222219</v>
      </c>
      <c r="AM2967" t="s">
        <v>44</v>
      </c>
    </row>
    <row r="2968" spans="1:39" x14ac:dyDescent="0.2">
      <c r="A2968" t="s">
        <v>2841</v>
      </c>
      <c r="B2968" t="s">
        <v>40</v>
      </c>
      <c r="C2968" t="s">
        <v>2660</v>
      </c>
      <c r="D2968" t="s">
        <v>42</v>
      </c>
      <c r="E2968" t="s">
        <v>43</v>
      </c>
      <c r="F2968" t="s">
        <v>44</v>
      </c>
      <c r="G2968" t="s">
        <v>45</v>
      </c>
      <c r="AH2968" t="s">
        <v>42</v>
      </c>
      <c r="AI2968" t="str">
        <f>"66298899909046"</f>
        <v>66298899909046</v>
      </c>
      <c r="AJ2968" t="str">
        <f>"DJ-1510-18-KITH"</f>
        <v>DJ-1510-18-KITH</v>
      </c>
      <c r="AK2968" t="s">
        <v>46</v>
      </c>
      <c r="AL2968" s="1">
        <v>44816.557858796295</v>
      </c>
      <c r="AM2968" t="s">
        <v>44</v>
      </c>
    </row>
    <row r="2969" spans="1:39" x14ac:dyDescent="0.2">
      <c r="A2969" t="s">
        <v>2842</v>
      </c>
      <c r="B2969" t="s">
        <v>40</v>
      </c>
      <c r="C2969" t="s">
        <v>2660</v>
      </c>
      <c r="D2969" t="s">
        <v>42</v>
      </c>
      <c r="E2969" t="s">
        <v>43</v>
      </c>
      <c r="F2969" t="s">
        <v>44</v>
      </c>
      <c r="G2969" t="s">
        <v>45</v>
      </c>
      <c r="AH2969" t="s">
        <v>42</v>
      </c>
      <c r="AI2969" t="str">
        <f>"10000091391"</f>
        <v>10000091391</v>
      </c>
      <c r="AJ2969" t="str">
        <f>"10000091391"</f>
        <v>10000091391</v>
      </c>
      <c r="AK2969" t="s">
        <v>46</v>
      </c>
      <c r="AL2969" s="1">
        <v>44951.778136574074</v>
      </c>
      <c r="AM2969" t="s">
        <v>44</v>
      </c>
    </row>
    <row r="2970" spans="1:39" x14ac:dyDescent="0.2">
      <c r="A2970" t="s">
        <v>2843</v>
      </c>
      <c r="B2970" t="s">
        <v>40</v>
      </c>
      <c r="C2970" t="s">
        <v>2660</v>
      </c>
      <c r="D2970" t="s">
        <v>42</v>
      </c>
      <c r="E2970" t="s">
        <v>43</v>
      </c>
      <c r="F2970" t="s">
        <v>44</v>
      </c>
      <c r="G2970" t="s">
        <v>45</v>
      </c>
      <c r="AH2970" t="s">
        <v>42</v>
      </c>
      <c r="AI2970" t="str">
        <f>"66298899948017"</f>
        <v>66298899948017</v>
      </c>
      <c r="AJ2970" t="str">
        <f>"36-DK00-40-KITH"</f>
        <v>36-DK00-40-KITH</v>
      </c>
      <c r="AK2970" t="s">
        <v>46</v>
      </c>
      <c r="AL2970" s="1">
        <v>44816.557858796295</v>
      </c>
      <c r="AM2970" t="s">
        <v>44</v>
      </c>
    </row>
    <row r="2971" spans="1:39" x14ac:dyDescent="0.2">
      <c r="A2971" t="s">
        <v>2844</v>
      </c>
      <c r="B2971" t="s">
        <v>40</v>
      </c>
      <c r="C2971" t="s">
        <v>2660</v>
      </c>
      <c r="D2971" t="s">
        <v>42</v>
      </c>
      <c r="E2971" t="s">
        <v>43</v>
      </c>
      <c r="F2971" t="s">
        <v>44</v>
      </c>
      <c r="G2971" t="s">
        <v>45</v>
      </c>
      <c r="AH2971" t="s">
        <v>42</v>
      </c>
      <c r="AI2971" t="str">
        <f>"10000091381"</f>
        <v>10000091381</v>
      </c>
      <c r="AJ2971" t="str">
        <f>"10000091381"</f>
        <v>10000091381</v>
      </c>
      <c r="AK2971" t="s">
        <v>46</v>
      </c>
      <c r="AL2971" s="1">
        <v>44952.582800925928</v>
      </c>
      <c r="AM2971" t="s">
        <v>44</v>
      </c>
    </row>
    <row r="2972" spans="1:39" x14ac:dyDescent="0.2">
      <c r="A2972" t="s">
        <v>2845</v>
      </c>
      <c r="B2972" t="s">
        <v>40</v>
      </c>
      <c r="C2972" t="s">
        <v>2660</v>
      </c>
      <c r="D2972" t="s">
        <v>42</v>
      </c>
      <c r="E2972" t="s">
        <v>43</v>
      </c>
      <c r="F2972" t="s">
        <v>44</v>
      </c>
      <c r="G2972" t="s">
        <v>45</v>
      </c>
      <c r="H2972" t="s">
        <v>2846</v>
      </c>
      <c r="AH2972" t="s">
        <v>42</v>
      </c>
      <c r="AI2972" t="str">
        <f>"64511-05310-0016-KITH"</f>
        <v>64511-05310-0016-KITH</v>
      </c>
      <c r="AJ2972" t="str">
        <f>"64511-05310-0016-KITH"</f>
        <v>64511-05310-0016-KITH</v>
      </c>
      <c r="AK2972" t="s">
        <v>46</v>
      </c>
      <c r="AL2972" s="1">
        <v>45005.686805555553</v>
      </c>
      <c r="AM2972" t="s">
        <v>44</v>
      </c>
    </row>
    <row r="2973" spans="1:39" x14ac:dyDescent="0.2">
      <c r="A2973" t="s">
        <v>2847</v>
      </c>
      <c r="B2973" t="s">
        <v>40</v>
      </c>
      <c r="C2973" t="s">
        <v>2660</v>
      </c>
      <c r="D2973" t="s">
        <v>42</v>
      </c>
      <c r="E2973" t="s">
        <v>43</v>
      </c>
      <c r="F2973" t="s">
        <v>44</v>
      </c>
      <c r="G2973" t="s">
        <v>45</v>
      </c>
      <c r="AH2973" t="s">
        <v>42</v>
      </c>
      <c r="AI2973" t="str">
        <f>"66298899990620"</f>
        <v>66298899990620</v>
      </c>
      <c r="AJ2973" t="str">
        <f>"41201-KVC-915KIT"</f>
        <v>41201-KVC-915KIT</v>
      </c>
      <c r="AK2973" t="s">
        <v>46</v>
      </c>
      <c r="AL2973" s="1">
        <v>44816.557858796295</v>
      </c>
      <c r="AM2973" t="s">
        <v>44</v>
      </c>
    </row>
    <row r="2974" spans="1:39" x14ac:dyDescent="0.2">
      <c r="A2974" t="s">
        <v>2847</v>
      </c>
      <c r="B2974" t="s">
        <v>40</v>
      </c>
      <c r="C2974" t="s">
        <v>2660</v>
      </c>
      <c r="D2974" t="s">
        <v>42</v>
      </c>
      <c r="E2974" t="s">
        <v>43</v>
      </c>
      <c r="F2974" t="s">
        <v>44</v>
      </c>
      <c r="G2974" t="s">
        <v>45</v>
      </c>
      <c r="AH2974" t="s">
        <v>42</v>
      </c>
      <c r="AI2974" t="str">
        <f>"66298899996424"</f>
        <v>66298899996424</v>
      </c>
      <c r="AJ2974" t="str">
        <f>"41201-KVC-900KIT"</f>
        <v>41201-KVC-900KIT</v>
      </c>
      <c r="AK2974" t="s">
        <v>46</v>
      </c>
      <c r="AL2974" s="1">
        <v>44816.557858796295</v>
      </c>
      <c r="AM2974" t="s">
        <v>44</v>
      </c>
    </row>
    <row r="2975" spans="1:39" x14ac:dyDescent="0.2">
      <c r="A2975" t="s">
        <v>2848</v>
      </c>
      <c r="B2975" t="s">
        <v>40</v>
      </c>
      <c r="C2975" t="s">
        <v>2660</v>
      </c>
      <c r="D2975" t="s">
        <v>42</v>
      </c>
      <c r="E2975" t="s">
        <v>43</v>
      </c>
      <c r="F2975" t="s">
        <v>44</v>
      </c>
      <c r="G2975" t="s">
        <v>45</v>
      </c>
      <c r="AH2975" t="s">
        <v>42</v>
      </c>
      <c r="AI2975" t="str">
        <f>"66298900050635"</f>
        <v>66298900050635</v>
      </c>
      <c r="AJ2975" t="str">
        <f>"5GE-F5437-00-KIT"</f>
        <v>5GE-F5437-00-KIT</v>
      </c>
      <c r="AK2975" t="s">
        <v>46</v>
      </c>
      <c r="AL2975" s="1">
        <v>44816.557870370372</v>
      </c>
      <c r="AM2975" t="s">
        <v>44</v>
      </c>
    </row>
    <row r="2976" spans="1:39" x14ac:dyDescent="0.2">
      <c r="A2976" t="s">
        <v>2849</v>
      </c>
      <c r="B2976" t="s">
        <v>40</v>
      </c>
      <c r="C2976" t="s">
        <v>2660</v>
      </c>
      <c r="D2976" t="s">
        <v>42</v>
      </c>
      <c r="E2976" t="s">
        <v>43</v>
      </c>
      <c r="F2976" t="s">
        <v>44</v>
      </c>
      <c r="G2976" t="s">
        <v>45</v>
      </c>
      <c r="H2976" t="s">
        <v>2850</v>
      </c>
      <c r="AH2976" t="s">
        <v>42</v>
      </c>
      <c r="AI2976" t="str">
        <f>"N9111560-KITH"</f>
        <v>N9111560-KITH</v>
      </c>
      <c r="AJ2976" t="str">
        <f>"N9111560-KITH"</f>
        <v>N9111560-KITH</v>
      </c>
      <c r="AK2976" t="s">
        <v>46</v>
      </c>
      <c r="AL2976" s="1">
        <v>45005.561192129629</v>
      </c>
      <c r="AM2976" t="s">
        <v>44</v>
      </c>
    </row>
    <row r="2977" spans="1:39" x14ac:dyDescent="0.2">
      <c r="A2977" t="s">
        <v>2851</v>
      </c>
      <c r="B2977" t="s">
        <v>40</v>
      </c>
      <c r="C2977" t="s">
        <v>2660</v>
      </c>
      <c r="D2977" t="s">
        <v>42</v>
      </c>
      <c r="E2977" t="s">
        <v>43</v>
      </c>
      <c r="F2977" t="s">
        <v>44</v>
      </c>
      <c r="G2977" t="s">
        <v>45</v>
      </c>
      <c r="H2977" t="s">
        <v>2852</v>
      </c>
      <c r="AH2977" t="s">
        <v>42</v>
      </c>
      <c r="AI2977" t="str">
        <f>"N8323690-KIT"</f>
        <v>N8323690-KIT</v>
      </c>
      <c r="AJ2977" t="str">
        <f>"N8323690-KIT"</f>
        <v>N8323690-KIT</v>
      </c>
      <c r="AK2977" t="s">
        <v>46</v>
      </c>
      <c r="AL2977" s="1">
        <v>45005.623819444445</v>
      </c>
      <c r="AM2977" t="s">
        <v>44</v>
      </c>
    </row>
    <row r="2978" spans="1:39" x14ac:dyDescent="0.2">
      <c r="A2978" t="s">
        <v>2853</v>
      </c>
      <c r="B2978" t="s">
        <v>40</v>
      </c>
      <c r="C2978" t="s">
        <v>2660</v>
      </c>
      <c r="D2978" t="s">
        <v>42</v>
      </c>
      <c r="E2978" t="s">
        <v>43</v>
      </c>
      <c r="F2978" t="s">
        <v>44</v>
      </c>
      <c r="G2978" t="s">
        <v>45</v>
      </c>
      <c r="AH2978" t="s">
        <v>42</v>
      </c>
      <c r="AI2978" t="str">
        <f>"66298900091241"</f>
        <v>66298900091241</v>
      </c>
      <c r="AJ2978" t="str">
        <f>"TX-20400-000-KIT"</f>
        <v>TX-20400-000-KIT</v>
      </c>
      <c r="AK2978" t="s">
        <v>46</v>
      </c>
      <c r="AL2978" s="1">
        <v>44816.557870370372</v>
      </c>
      <c r="AM2978" t="s">
        <v>44</v>
      </c>
    </row>
    <row r="2979" spans="1:39" x14ac:dyDescent="0.2">
      <c r="A2979" t="s">
        <v>2854</v>
      </c>
      <c r="B2979" t="s">
        <v>40</v>
      </c>
      <c r="C2979" t="s">
        <v>2660</v>
      </c>
      <c r="D2979" t="s">
        <v>42</v>
      </c>
      <c r="E2979" t="s">
        <v>43</v>
      </c>
      <c r="F2979" t="s">
        <v>44</v>
      </c>
      <c r="G2979" t="s">
        <v>45</v>
      </c>
      <c r="AH2979" t="s">
        <v>42</v>
      </c>
      <c r="AI2979" t="str">
        <f>"66298900132692"</f>
        <v>66298900132692</v>
      </c>
      <c r="AJ2979" t="str">
        <f>"TX-20400-017-KIT"</f>
        <v>TX-20400-017-KIT</v>
      </c>
      <c r="AK2979" t="s">
        <v>46</v>
      </c>
      <c r="AL2979" s="1">
        <v>44816.557881944442</v>
      </c>
      <c r="AM2979" t="s">
        <v>44</v>
      </c>
    </row>
    <row r="2980" spans="1:39" x14ac:dyDescent="0.2">
      <c r="A2980" t="s">
        <v>2855</v>
      </c>
      <c r="B2980" t="s">
        <v>40</v>
      </c>
      <c r="C2980" t="s">
        <v>2660</v>
      </c>
      <c r="D2980" t="s">
        <v>42</v>
      </c>
      <c r="E2980" t="s">
        <v>43</v>
      </c>
      <c r="F2980" t="s">
        <v>44</v>
      </c>
      <c r="G2980" t="s">
        <v>45</v>
      </c>
      <c r="H2980" t="s">
        <v>2856</v>
      </c>
      <c r="AH2980" t="s">
        <v>42</v>
      </c>
      <c r="AI2980" t="str">
        <f>"41200-K43-900-KITH"</f>
        <v>41200-K43-900-KITH</v>
      </c>
      <c r="AJ2980" t="str">
        <f>"41200-K43-900-KITH"</f>
        <v>41200-K43-900-KITH</v>
      </c>
      <c r="AK2980" t="s">
        <v>46</v>
      </c>
      <c r="AL2980" s="1">
        <v>45005.558009259257</v>
      </c>
      <c r="AM2980" t="s">
        <v>44</v>
      </c>
    </row>
    <row r="2981" spans="1:39" x14ac:dyDescent="0.2">
      <c r="A2981" t="s">
        <v>2857</v>
      </c>
      <c r="B2981" t="s">
        <v>40</v>
      </c>
      <c r="C2981" t="s">
        <v>2660</v>
      </c>
      <c r="D2981" t="s">
        <v>42</v>
      </c>
      <c r="E2981" t="s">
        <v>43</v>
      </c>
      <c r="F2981" t="s">
        <v>44</v>
      </c>
      <c r="G2981" t="s">
        <v>45</v>
      </c>
      <c r="AH2981" t="s">
        <v>42</v>
      </c>
      <c r="AI2981" t="str">
        <f>"66298900176462"</f>
        <v>66298900176462</v>
      </c>
      <c r="AJ2981" t="str">
        <f>"41200-437-670KIT"</f>
        <v>41200-437-670KIT</v>
      </c>
      <c r="AK2981" t="s">
        <v>46</v>
      </c>
      <c r="AL2981" s="1">
        <v>44816.557881944442</v>
      </c>
      <c r="AM2981" t="s">
        <v>44</v>
      </c>
    </row>
    <row r="2982" spans="1:39" x14ac:dyDescent="0.2">
      <c r="A2982" t="s">
        <v>2858</v>
      </c>
      <c r="B2982" t="s">
        <v>40</v>
      </c>
      <c r="C2982" t="s">
        <v>2660</v>
      </c>
      <c r="D2982" t="s">
        <v>42</v>
      </c>
      <c r="E2982" t="s">
        <v>43</v>
      </c>
      <c r="F2982" t="s">
        <v>44</v>
      </c>
      <c r="G2982" t="s">
        <v>45</v>
      </c>
      <c r="AH2982" t="s">
        <v>42</v>
      </c>
      <c r="AI2982" t="str">
        <f>"66298900221936"</f>
        <v>66298900221936</v>
      </c>
      <c r="AJ2982" t="str">
        <f>"41200-427-670-KI"</f>
        <v>41200-427-670-KI</v>
      </c>
      <c r="AK2982" t="s">
        <v>46</v>
      </c>
      <c r="AL2982" s="1">
        <v>44816.557893518519</v>
      </c>
      <c r="AM2982" t="s">
        <v>44</v>
      </c>
    </row>
    <row r="2983" spans="1:39" x14ac:dyDescent="0.2">
      <c r="A2983" t="s">
        <v>2859</v>
      </c>
      <c r="B2983" t="s">
        <v>40</v>
      </c>
      <c r="C2983" t="s">
        <v>2660</v>
      </c>
      <c r="D2983" t="s">
        <v>42</v>
      </c>
      <c r="E2983" t="s">
        <v>43</v>
      </c>
      <c r="F2983" t="s">
        <v>44</v>
      </c>
      <c r="G2983" t="s">
        <v>45</v>
      </c>
      <c r="AH2983" t="s">
        <v>42</v>
      </c>
      <c r="AI2983" t="str">
        <f>"66298900261145"</f>
        <v>66298900261145</v>
      </c>
      <c r="AJ2983" t="str">
        <f>"41200-KFC-900KIT"</f>
        <v>41200-KFC-900KIT</v>
      </c>
      <c r="AK2983" t="s">
        <v>46</v>
      </c>
      <c r="AL2983" s="1">
        <v>44816.557893518519</v>
      </c>
      <c r="AM2983" t="s">
        <v>44</v>
      </c>
    </row>
    <row r="2984" spans="1:39" x14ac:dyDescent="0.2">
      <c r="A2984" t="s">
        <v>2860</v>
      </c>
      <c r="B2984" t="s">
        <v>40</v>
      </c>
      <c r="C2984" t="s">
        <v>2660</v>
      </c>
      <c r="D2984" t="s">
        <v>42</v>
      </c>
      <c r="E2984" t="s">
        <v>43</v>
      </c>
      <c r="F2984" t="s">
        <v>44</v>
      </c>
      <c r="G2984" t="s">
        <v>45</v>
      </c>
      <c r="AH2984" t="s">
        <v>42</v>
      </c>
      <c r="AI2984" t="str">
        <f>"10000091175"</f>
        <v>10000091175</v>
      </c>
      <c r="AJ2984" t="str">
        <f>"10000091175"</f>
        <v>10000091175</v>
      </c>
      <c r="AK2984" t="s">
        <v>46</v>
      </c>
      <c r="AL2984" s="1">
        <v>44951.777002314811</v>
      </c>
      <c r="AM2984" t="s">
        <v>44</v>
      </c>
    </row>
    <row r="2985" spans="1:39" x14ac:dyDescent="0.2">
      <c r="A2985" t="s">
        <v>2861</v>
      </c>
      <c r="B2985" t="s">
        <v>40</v>
      </c>
      <c r="C2985" t="s">
        <v>2660</v>
      </c>
      <c r="D2985" t="s">
        <v>42</v>
      </c>
      <c r="E2985" t="s">
        <v>43</v>
      </c>
      <c r="F2985" t="s">
        <v>44</v>
      </c>
      <c r="G2985" t="s">
        <v>45</v>
      </c>
      <c r="AH2985" t="s">
        <v>42</v>
      </c>
      <c r="AI2985" t="str">
        <f>"66298900307202"</f>
        <v>66298900307202</v>
      </c>
      <c r="AJ2985" t="str">
        <f>"41200-KBB-900KIT"</f>
        <v>41200-KBB-900KIT</v>
      </c>
      <c r="AK2985" t="s">
        <v>46</v>
      </c>
      <c r="AL2985" s="1">
        <v>44816.557905092595</v>
      </c>
      <c r="AM2985" t="s">
        <v>44</v>
      </c>
    </row>
    <row r="2986" spans="1:39" x14ac:dyDescent="0.2">
      <c r="A2986" t="s">
        <v>2862</v>
      </c>
      <c r="B2986" t="s">
        <v>40</v>
      </c>
      <c r="C2986" t="s">
        <v>2660</v>
      </c>
      <c r="D2986" t="s">
        <v>42</v>
      </c>
      <c r="E2986" t="s">
        <v>43</v>
      </c>
      <c r="F2986" t="s">
        <v>44</v>
      </c>
      <c r="G2986" t="s">
        <v>45</v>
      </c>
      <c r="AH2986" t="s">
        <v>42</v>
      </c>
      <c r="AI2986" t="str">
        <f>"66298900691637"</f>
        <v>66298900691637</v>
      </c>
      <c r="AJ2986" t="str">
        <f>"41201-KPE-900KIT"</f>
        <v>41201-KPE-900KIT</v>
      </c>
      <c r="AK2986" t="s">
        <v>46</v>
      </c>
      <c r="AL2986" s="1">
        <v>44816.557939814818</v>
      </c>
      <c r="AM2986" t="s">
        <v>44</v>
      </c>
    </row>
    <row r="2987" spans="1:39" x14ac:dyDescent="0.2">
      <c r="A2987" t="s">
        <v>2863</v>
      </c>
      <c r="B2987" t="s">
        <v>40</v>
      </c>
      <c r="C2987" t="s">
        <v>2660</v>
      </c>
      <c r="D2987" t="s">
        <v>42</v>
      </c>
      <c r="E2987" t="s">
        <v>43</v>
      </c>
      <c r="F2987" t="s">
        <v>44</v>
      </c>
      <c r="G2987" t="s">
        <v>45</v>
      </c>
      <c r="AH2987" t="s">
        <v>42</v>
      </c>
      <c r="AI2987" t="str">
        <f>"10000091051"</f>
        <v>10000091051</v>
      </c>
      <c r="AJ2987" t="str">
        <f>"10000091051"</f>
        <v>10000091051</v>
      </c>
      <c r="AK2987" t="s">
        <v>46</v>
      </c>
      <c r="AL2987" s="1">
        <v>44951.77753472222</v>
      </c>
      <c r="AM2987" t="s">
        <v>44</v>
      </c>
    </row>
    <row r="2988" spans="1:39" x14ac:dyDescent="0.2">
      <c r="A2988" t="s">
        <v>2864</v>
      </c>
      <c r="B2988" t="s">
        <v>40</v>
      </c>
      <c r="C2988" t="s">
        <v>2660</v>
      </c>
      <c r="D2988" t="s">
        <v>42</v>
      </c>
      <c r="E2988" t="s">
        <v>43</v>
      </c>
      <c r="F2988" t="s">
        <v>44</v>
      </c>
      <c r="G2988" t="s">
        <v>45</v>
      </c>
      <c r="AH2988" t="s">
        <v>42</v>
      </c>
      <c r="AI2988" t="str">
        <f>"66298900729332"</f>
        <v>66298900729332</v>
      </c>
      <c r="AJ2988" t="str">
        <f>"4VW-F5445-11-KIT"</f>
        <v>4VW-F5445-11-KIT</v>
      </c>
      <c r="AK2988" t="s">
        <v>46</v>
      </c>
      <c r="AL2988" s="1">
        <v>44816.557951388888</v>
      </c>
      <c r="AM2988" t="s">
        <v>44</v>
      </c>
    </row>
    <row r="2989" spans="1:39" x14ac:dyDescent="0.2">
      <c r="A2989" t="s">
        <v>2865</v>
      </c>
      <c r="B2989" t="s">
        <v>40</v>
      </c>
      <c r="C2989" t="s">
        <v>2660</v>
      </c>
      <c r="D2989" t="s">
        <v>42</v>
      </c>
      <c r="E2989" t="s">
        <v>43</v>
      </c>
      <c r="F2989" t="s">
        <v>44</v>
      </c>
      <c r="G2989" t="s">
        <v>45</v>
      </c>
      <c r="AH2989" t="s">
        <v>42</v>
      </c>
      <c r="AI2989" t="str">
        <f>"3B2-F5450-20-KITH"</f>
        <v>3B2-F5450-20-KITH</v>
      </c>
      <c r="AJ2989" t="str">
        <f>"3B2-F5450-20-KITH"</f>
        <v>3B2-F5450-20-KITH</v>
      </c>
      <c r="AK2989" t="s">
        <v>46</v>
      </c>
      <c r="AL2989" s="1">
        <v>44870.696099537039</v>
      </c>
      <c r="AM2989" t="s">
        <v>44</v>
      </c>
    </row>
    <row r="2990" spans="1:39" x14ac:dyDescent="0.2">
      <c r="A2990" t="s">
        <v>2865</v>
      </c>
      <c r="B2990" t="s">
        <v>40</v>
      </c>
      <c r="C2990" t="s">
        <v>2660</v>
      </c>
      <c r="D2990" t="s">
        <v>42</v>
      </c>
      <c r="E2990" t="s">
        <v>43</v>
      </c>
      <c r="F2990" t="s">
        <v>44</v>
      </c>
      <c r="G2990" t="s">
        <v>45</v>
      </c>
      <c r="AH2990" t="s">
        <v>42</v>
      </c>
      <c r="AI2990" t="str">
        <f>"12307"</f>
        <v>12307</v>
      </c>
      <c r="AJ2990" t="str">
        <f>"12307"</f>
        <v>12307</v>
      </c>
      <c r="AK2990" t="s">
        <v>46</v>
      </c>
      <c r="AL2990" s="1">
        <v>45083.845682870371</v>
      </c>
      <c r="AM2990" t="s">
        <v>44</v>
      </c>
    </row>
    <row r="2991" spans="1:39" x14ac:dyDescent="0.2">
      <c r="A2991" t="s">
        <v>2866</v>
      </c>
      <c r="B2991" t="s">
        <v>40</v>
      </c>
      <c r="C2991" t="s">
        <v>2660</v>
      </c>
      <c r="D2991" t="s">
        <v>42</v>
      </c>
      <c r="E2991" t="s">
        <v>43</v>
      </c>
      <c r="F2991" t="s">
        <v>44</v>
      </c>
      <c r="G2991" t="s">
        <v>45</v>
      </c>
      <c r="AH2991" t="s">
        <v>42</v>
      </c>
      <c r="AI2991" t="str">
        <f>"12297"</f>
        <v>12297</v>
      </c>
      <c r="AJ2991" t="str">
        <f>"12297"</f>
        <v>12297</v>
      </c>
      <c r="AK2991" t="s">
        <v>46</v>
      </c>
      <c r="AL2991" s="1">
        <v>45147.694016203706</v>
      </c>
      <c r="AM2991" t="s">
        <v>44</v>
      </c>
    </row>
    <row r="2992" spans="1:39" x14ac:dyDescent="0.2">
      <c r="A2992" t="s">
        <v>2867</v>
      </c>
      <c r="B2992" t="s">
        <v>40</v>
      </c>
      <c r="C2992" t="s">
        <v>2660</v>
      </c>
      <c r="D2992" t="s">
        <v>42</v>
      </c>
      <c r="E2992" t="s">
        <v>43</v>
      </c>
      <c r="F2992" t="s">
        <v>44</v>
      </c>
      <c r="G2992" t="s">
        <v>45</v>
      </c>
      <c r="AH2992" t="s">
        <v>42</v>
      </c>
      <c r="AI2992" t="str">
        <f>"10000091161"</f>
        <v>10000091161</v>
      </c>
      <c r="AJ2992" t="str">
        <f>"10000091161"</f>
        <v>10000091161</v>
      </c>
      <c r="AK2992" t="s">
        <v>46</v>
      </c>
      <c r="AL2992" s="1">
        <v>44869.522777777776</v>
      </c>
      <c r="AM2992" t="s">
        <v>44</v>
      </c>
    </row>
    <row r="2993" spans="1:39" x14ac:dyDescent="0.2">
      <c r="A2993" t="s">
        <v>2868</v>
      </c>
      <c r="B2993" t="s">
        <v>40</v>
      </c>
      <c r="C2993" t="s">
        <v>2660</v>
      </c>
      <c r="D2993" t="s">
        <v>42</v>
      </c>
      <c r="E2993" t="s">
        <v>43</v>
      </c>
      <c r="F2993" t="s">
        <v>44</v>
      </c>
      <c r="G2993" t="s">
        <v>45</v>
      </c>
      <c r="AH2993" t="s">
        <v>42</v>
      </c>
      <c r="AI2993" t="str">
        <f>"66298900774980"</f>
        <v>66298900774980</v>
      </c>
      <c r="AJ2993" t="str">
        <f>"1ED-F5440-00-KIT"</f>
        <v>1ED-F5440-00-KIT</v>
      </c>
      <c r="AK2993" t="s">
        <v>46</v>
      </c>
      <c r="AL2993" s="1">
        <v>44816.557951388888</v>
      </c>
      <c r="AM2993" t="s">
        <v>44</v>
      </c>
    </row>
    <row r="2994" spans="1:39" x14ac:dyDescent="0.2">
      <c r="A2994" t="s">
        <v>2868</v>
      </c>
      <c r="B2994" t="s">
        <v>40</v>
      </c>
      <c r="C2994" t="s">
        <v>2660</v>
      </c>
      <c r="D2994" t="s">
        <v>42</v>
      </c>
      <c r="E2994" t="s">
        <v>43</v>
      </c>
      <c r="F2994" t="s">
        <v>44</v>
      </c>
      <c r="G2994" t="s">
        <v>45</v>
      </c>
      <c r="AH2994" t="s">
        <v>42</v>
      </c>
      <c r="AI2994" t="str">
        <f>"66298900781872"</f>
        <v>66298900781872</v>
      </c>
      <c r="AJ2994" t="str">
        <f>"4B4-F5446-20-KIT"</f>
        <v>4B4-F5446-20-KIT</v>
      </c>
      <c r="AK2994" t="s">
        <v>46</v>
      </c>
      <c r="AL2994" s="1">
        <v>44816.557951388888</v>
      </c>
      <c r="AM2994" t="s">
        <v>44</v>
      </c>
    </row>
    <row r="2995" spans="1:39" x14ac:dyDescent="0.2">
      <c r="A2995" t="s">
        <v>2869</v>
      </c>
      <c r="B2995" t="s">
        <v>40</v>
      </c>
      <c r="C2995" t="s">
        <v>2660</v>
      </c>
      <c r="D2995" t="s">
        <v>42</v>
      </c>
      <c r="E2995" t="s">
        <v>43</v>
      </c>
      <c r="F2995" t="s">
        <v>44</v>
      </c>
      <c r="G2995" t="s">
        <v>45</v>
      </c>
      <c r="AH2995" t="s">
        <v>42</v>
      </c>
      <c r="AI2995" t="str">
        <f>"66298900877522"</f>
        <v>66298900877522</v>
      </c>
      <c r="AJ2995" t="str">
        <f>"22P-F5445-00-KIT"</f>
        <v>22P-F5445-00-KIT</v>
      </c>
      <c r="AK2995" t="s">
        <v>46</v>
      </c>
      <c r="AL2995" s="1">
        <v>44816.557962962965</v>
      </c>
      <c r="AM2995" t="s">
        <v>44</v>
      </c>
    </row>
    <row r="2996" spans="1:39" x14ac:dyDescent="0.2">
      <c r="A2996" t="s">
        <v>2870</v>
      </c>
      <c r="B2996" t="s">
        <v>40</v>
      </c>
      <c r="C2996" t="s">
        <v>2660</v>
      </c>
      <c r="D2996" t="s">
        <v>42</v>
      </c>
      <c r="E2996" t="s">
        <v>43</v>
      </c>
      <c r="F2996" t="s">
        <v>44</v>
      </c>
      <c r="G2996" t="s">
        <v>45</v>
      </c>
      <c r="AH2996" t="s">
        <v>42</v>
      </c>
      <c r="AI2996" t="str">
        <f>"66298900834470"</f>
        <v>66298900834470</v>
      </c>
      <c r="AJ2996" t="str">
        <f>"5VL-F5445-00KIT"</f>
        <v>5VL-F5445-00KIT</v>
      </c>
      <c r="AK2996" t="s">
        <v>46</v>
      </c>
      <c r="AL2996" s="1">
        <v>44816.557962962965</v>
      </c>
      <c r="AM2996" t="s">
        <v>44</v>
      </c>
    </row>
    <row r="2997" spans="1:39" x14ac:dyDescent="0.2">
      <c r="A2997" t="s">
        <v>2871</v>
      </c>
      <c r="B2997" t="s">
        <v>40</v>
      </c>
      <c r="C2997" t="s">
        <v>2660</v>
      </c>
      <c r="D2997" t="s">
        <v>42</v>
      </c>
      <c r="E2997" t="s">
        <v>43</v>
      </c>
      <c r="F2997" t="s">
        <v>44</v>
      </c>
      <c r="G2997" t="s">
        <v>45</v>
      </c>
      <c r="AH2997" t="s">
        <v>42</v>
      </c>
      <c r="AI2997" t="str">
        <f>"10000071907"</f>
        <v>10000071907</v>
      </c>
      <c r="AJ2997" t="str">
        <f>"10000071907"</f>
        <v>10000071907</v>
      </c>
      <c r="AK2997" t="s">
        <v>46</v>
      </c>
      <c r="AL2997" s="1">
        <v>44909.805717592593</v>
      </c>
      <c r="AM2997" t="s">
        <v>44</v>
      </c>
    </row>
    <row r="2998" spans="1:39" x14ac:dyDescent="0.2">
      <c r="A2998" t="s">
        <v>2871</v>
      </c>
      <c r="B2998" t="s">
        <v>40</v>
      </c>
      <c r="C2998" t="s">
        <v>2660</v>
      </c>
      <c r="D2998" t="s">
        <v>42</v>
      </c>
      <c r="E2998" t="s">
        <v>43</v>
      </c>
      <c r="F2998" t="s">
        <v>44</v>
      </c>
      <c r="G2998" t="s">
        <v>45</v>
      </c>
      <c r="H2998" t="s">
        <v>2798</v>
      </c>
      <c r="AH2998" t="s">
        <v>42</v>
      </c>
      <c r="AI2998" t="str">
        <f>"5PC-F5443-00-KITH"</f>
        <v>5PC-F5443-00-KITH</v>
      </c>
      <c r="AJ2998" t="str">
        <f>"5PC-F5443-00-KITH"</f>
        <v>5PC-F5443-00-KITH</v>
      </c>
      <c r="AK2998" t="s">
        <v>46</v>
      </c>
      <c r="AL2998" s="1">
        <v>45005.568206018521</v>
      </c>
      <c r="AM2998" t="s">
        <v>44</v>
      </c>
    </row>
    <row r="2999" spans="1:39" x14ac:dyDescent="0.2">
      <c r="A2999" t="s">
        <v>2872</v>
      </c>
      <c r="B2999" t="s">
        <v>40</v>
      </c>
      <c r="C2999" t="s">
        <v>2660</v>
      </c>
      <c r="D2999" t="s">
        <v>42</v>
      </c>
      <c r="E2999" t="s">
        <v>43</v>
      </c>
      <c r="F2999" t="s">
        <v>44</v>
      </c>
      <c r="G2999" t="s">
        <v>45</v>
      </c>
      <c r="H2999" t="s">
        <v>2772</v>
      </c>
      <c r="AH2999" t="s">
        <v>42</v>
      </c>
      <c r="AI2999" t="str">
        <f>"5C9-F5444-00-KITH"</f>
        <v>5C9-F5444-00-KITH</v>
      </c>
      <c r="AJ2999" t="str">
        <f>"5C9-F5444-00-KITH"</f>
        <v>5C9-F5444-00-KITH</v>
      </c>
      <c r="AK2999" t="s">
        <v>46</v>
      </c>
      <c r="AL2999" s="1">
        <v>45005.641631944447</v>
      </c>
      <c r="AM2999" t="s">
        <v>44</v>
      </c>
    </row>
    <row r="3000" spans="1:39" x14ac:dyDescent="0.2">
      <c r="A3000" t="s">
        <v>2873</v>
      </c>
      <c r="B3000" t="s">
        <v>40</v>
      </c>
      <c r="C3000" t="s">
        <v>2660</v>
      </c>
      <c r="D3000" t="s">
        <v>42</v>
      </c>
      <c r="E3000" t="s">
        <v>43</v>
      </c>
      <c r="F3000" t="s">
        <v>44</v>
      </c>
      <c r="G3000" t="s">
        <v>45</v>
      </c>
      <c r="AH3000" t="s">
        <v>42</v>
      </c>
      <c r="AI3000" t="str">
        <f>"66298900922408"</f>
        <v>66298900922408</v>
      </c>
      <c r="AJ3000" t="str">
        <f>"12B-F5445-20KITH"</f>
        <v>12B-F5445-20KITH</v>
      </c>
      <c r="AK3000" t="s">
        <v>46</v>
      </c>
      <c r="AL3000" s="1">
        <v>44816.557974537034</v>
      </c>
      <c r="AM3000" t="s">
        <v>44</v>
      </c>
    </row>
    <row r="3001" spans="1:39" x14ac:dyDescent="0.2">
      <c r="A3001" t="s">
        <v>2874</v>
      </c>
      <c r="B3001" t="s">
        <v>40</v>
      </c>
      <c r="C3001" t="s">
        <v>2660</v>
      </c>
      <c r="D3001" t="s">
        <v>42</v>
      </c>
      <c r="E3001" t="s">
        <v>43</v>
      </c>
      <c r="F3001" t="s">
        <v>44</v>
      </c>
      <c r="G3001" t="s">
        <v>45</v>
      </c>
      <c r="AH3001" t="s">
        <v>42</v>
      </c>
      <c r="AI3001" t="str">
        <f>"10000091310"</f>
        <v>10000091310</v>
      </c>
      <c r="AJ3001" t="str">
        <f>"10000091310"</f>
        <v>10000091310</v>
      </c>
      <c r="AK3001" t="s">
        <v>46</v>
      </c>
      <c r="AL3001" s="1">
        <v>44951.788356481484</v>
      </c>
      <c r="AM3001" t="s">
        <v>44</v>
      </c>
    </row>
    <row r="3002" spans="1:39" x14ac:dyDescent="0.2">
      <c r="A3002" t="s">
        <v>2875</v>
      </c>
      <c r="B3002" t="s">
        <v>40</v>
      </c>
      <c r="C3002" t="s">
        <v>2660</v>
      </c>
      <c r="D3002" t="s">
        <v>42</v>
      </c>
      <c r="E3002" t="s">
        <v>43</v>
      </c>
      <c r="F3002" t="s">
        <v>44</v>
      </c>
      <c r="G3002" t="s">
        <v>45</v>
      </c>
      <c r="AH3002" t="s">
        <v>42</v>
      </c>
      <c r="AI3002" t="str">
        <f>"10000091188"</f>
        <v>10000091188</v>
      </c>
      <c r="AJ3002" t="str">
        <f>"10000091188"</f>
        <v>10000091188</v>
      </c>
      <c r="AK3002" t="s">
        <v>46</v>
      </c>
      <c r="AL3002" s="1">
        <v>45110.649988425925</v>
      </c>
      <c r="AM3002" t="s">
        <v>44</v>
      </c>
    </row>
    <row r="3003" spans="1:39" x14ac:dyDescent="0.2">
      <c r="A3003" t="s">
        <v>2876</v>
      </c>
      <c r="B3003" t="s">
        <v>40</v>
      </c>
      <c r="C3003" t="s">
        <v>2660</v>
      </c>
      <c r="D3003" t="s">
        <v>42</v>
      </c>
      <c r="E3003" t="s">
        <v>43</v>
      </c>
      <c r="F3003" t="s">
        <v>44</v>
      </c>
      <c r="G3003" t="s">
        <v>45</v>
      </c>
      <c r="AH3003" t="s">
        <v>42</v>
      </c>
      <c r="AI3003" t="str">
        <f>"66298900963743"</f>
        <v>66298900963743</v>
      </c>
      <c r="AJ3003" t="str">
        <f>"1WD-F5443-00KITH"</f>
        <v>1WD-F5443-00KITH</v>
      </c>
      <c r="AK3003" t="s">
        <v>46</v>
      </c>
      <c r="AL3003" s="1">
        <v>44816.557974537034</v>
      </c>
      <c r="AM3003" t="s">
        <v>44</v>
      </c>
    </row>
    <row r="3004" spans="1:39" x14ac:dyDescent="0.2">
      <c r="A3004" t="s">
        <v>2877</v>
      </c>
      <c r="B3004" t="s">
        <v>40</v>
      </c>
      <c r="C3004" t="s">
        <v>50</v>
      </c>
      <c r="D3004" t="s">
        <v>42</v>
      </c>
      <c r="E3004" t="s">
        <v>43</v>
      </c>
      <c r="F3004" t="s">
        <v>44</v>
      </c>
      <c r="G3004" t="s">
        <v>45</v>
      </c>
      <c r="AH3004" t="s">
        <v>42</v>
      </c>
      <c r="AI3004" t="str">
        <f>"100814"</f>
        <v>100814</v>
      </c>
      <c r="AJ3004" t="str">
        <f>"100814"</f>
        <v>100814</v>
      </c>
      <c r="AK3004" t="s">
        <v>46</v>
      </c>
      <c r="AL3004" s="1">
        <v>44995.595347222225</v>
      </c>
      <c r="AM3004" t="s">
        <v>44</v>
      </c>
    </row>
    <row r="3005" spans="1:39" x14ac:dyDescent="0.2">
      <c r="A3005" t="s">
        <v>2878</v>
      </c>
      <c r="B3005" t="s">
        <v>40</v>
      </c>
      <c r="C3005" t="s">
        <v>129</v>
      </c>
      <c r="D3005" t="s">
        <v>42</v>
      </c>
      <c r="E3005" t="s">
        <v>43</v>
      </c>
      <c r="F3005" t="s">
        <v>44</v>
      </c>
      <c r="G3005" t="s">
        <v>45</v>
      </c>
      <c r="AH3005" t="s">
        <v>42</v>
      </c>
      <c r="AI3005" t="str">
        <f>"66298901004784"</f>
        <v>66298901004784</v>
      </c>
      <c r="AJ3005" t="str">
        <f>"83726"</f>
        <v>83726</v>
      </c>
      <c r="AK3005" t="s">
        <v>46</v>
      </c>
      <c r="AL3005" s="1">
        <v>44816.557986111111</v>
      </c>
      <c r="AM3005" t="s">
        <v>44</v>
      </c>
    </row>
    <row r="3006" spans="1:39" x14ac:dyDescent="0.2">
      <c r="A3006" t="s">
        <v>2879</v>
      </c>
      <c r="B3006" t="s">
        <v>40</v>
      </c>
      <c r="C3006" t="s">
        <v>129</v>
      </c>
      <c r="D3006" t="s">
        <v>42</v>
      </c>
      <c r="E3006" t="s">
        <v>43</v>
      </c>
      <c r="F3006" t="s">
        <v>44</v>
      </c>
      <c r="G3006" t="s">
        <v>45</v>
      </c>
      <c r="AH3006" t="s">
        <v>42</v>
      </c>
      <c r="AI3006" t="str">
        <f>"66298901043372"</f>
        <v>66298901043372</v>
      </c>
      <c r="AJ3006" t="str">
        <f>"84894"</f>
        <v>84894</v>
      </c>
      <c r="AK3006" t="s">
        <v>46</v>
      </c>
      <c r="AL3006" s="1">
        <v>44816.557986111111</v>
      </c>
      <c r="AM3006" t="s">
        <v>44</v>
      </c>
    </row>
    <row r="3007" spans="1:39" x14ac:dyDescent="0.2">
      <c r="A3007" t="s">
        <v>2880</v>
      </c>
      <c r="B3007" t="s">
        <v>40</v>
      </c>
      <c r="C3007" t="s">
        <v>41</v>
      </c>
      <c r="D3007" t="s">
        <v>42</v>
      </c>
      <c r="E3007" t="s">
        <v>43</v>
      </c>
      <c r="F3007" t="s">
        <v>44</v>
      </c>
      <c r="G3007" t="s">
        <v>45</v>
      </c>
      <c r="AH3007" t="s">
        <v>42</v>
      </c>
      <c r="AI3007" t="str">
        <f>"99670"</f>
        <v>99670</v>
      </c>
      <c r="AJ3007" t="str">
        <f>"99670"</f>
        <v>99670</v>
      </c>
      <c r="AK3007" t="s">
        <v>46</v>
      </c>
      <c r="AL3007" s="1">
        <v>45093.612858796296</v>
      </c>
      <c r="AM3007" t="s">
        <v>44</v>
      </c>
    </row>
    <row r="3008" spans="1:39" x14ac:dyDescent="0.2">
      <c r="A3008" t="s">
        <v>2881</v>
      </c>
      <c r="B3008" t="s">
        <v>40</v>
      </c>
      <c r="C3008" t="s">
        <v>41</v>
      </c>
      <c r="D3008" t="s">
        <v>42</v>
      </c>
      <c r="E3008" t="s">
        <v>43</v>
      </c>
      <c r="F3008" t="s">
        <v>44</v>
      </c>
      <c r="G3008" t="s">
        <v>45</v>
      </c>
      <c r="AH3008" t="s">
        <v>42</v>
      </c>
      <c r="AI3008" t="str">
        <f>"66298901086136"</f>
        <v>66298901086136</v>
      </c>
      <c r="AJ3008" t="str">
        <f>"702001"</f>
        <v>702001</v>
      </c>
      <c r="AK3008" t="s">
        <v>46</v>
      </c>
      <c r="AL3008" s="1">
        <v>44816.557986111111</v>
      </c>
      <c r="AM3008" t="s">
        <v>44</v>
      </c>
    </row>
    <row r="3009" spans="1:39" x14ac:dyDescent="0.2">
      <c r="A3009" t="s">
        <v>2882</v>
      </c>
      <c r="B3009" t="s">
        <v>40</v>
      </c>
      <c r="C3009" t="s">
        <v>41</v>
      </c>
      <c r="D3009" t="s">
        <v>42</v>
      </c>
      <c r="E3009" t="s">
        <v>43</v>
      </c>
      <c r="F3009" t="s">
        <v>44</v>
      </c>
      <c r="G3009" t="s">
        <v>45</v>
      </c>
      <c r="AH3009" t="s">
        <v>42</v>
      </c>
      <c r="AI3009" t="str">
        <f>"LIMP-MEGA"</f>
        <v>LIMP-MEGA</v>
      </c>
      <c r="AJ3009" t="str">
        <f>"LIMP-MEGA"</f>
        <v>LIMP-MEGA</v>
      </c>
      <c r="AK3009" t="s">
        <v>46</v>
      </c>
      <c r="AL3009" s="1">
        <v>44999.689872685187</v>
      </c>
      <c r="AM3009" t="s">
        <v>44</v>
      </c>
    </row>
    <row r="3010" spans="1:39" x14ac:dyDescent="0.2">
      <c r="A3010" t="s">
        <v>2883</v>
      </c>
      <c r="B3010" t="s">
        <v>40</v>
      </c>
      <c r="C3010" t="s">
        <v>41</v>
      </c>
      <c r="D3010" t="s">
        <v>42</v>
      </c>
      <c r="E3010" t="s">
        <v>43</v>
      </c>
      <c r="F3010" t="s">
        <v>44</v>
      </c>
      <c r="G3010" t="s">
        <v>45</v>
      </c>
      <c r="AH3010" t="s">
        <v>42</v>
      </c>
      <c r="AI3010" t="str">
        <f>"11601"</f>
        <v>11601</v>
      </c>
      <c r="AJ3010" t="str">
        <f>"11601"</f>
        <v>11601</v>
      </c>
      <c r="AK3010" t="s">
        <v>46</v>
      </c>
      <c r="AL3010" s="1">
        <v>45054.750706018516</v>
      </c>
      <c r="AM3010" t="s">
        <v>44</v>
      </c>
    </row>
    <row r="3011" spans="1:39" x14ac:dyDescent="0.2">
      <c r="A3011" t="s">
        <v>2884</v>
      </c>
      <c r="B3011" t="s">
        <v>40</v>
      </c>
      <c r="C3011" t="s">
        <v>41</v>
      </c>
      <c r="D3011" t="s">
        <v>42</v>
      </c>
      <c r="E3011" t="s">
        <v>43</v>
      </c>
      <c r="F3011" t="s">
        <v>44</v>
      </c>
      <c r="G3011" t="s">
        <v>45</v>
      </c>
      <c r="AH3011" t="s">
        <v>42</v>
      </c>
      <c r="AI3011" t="str">
        <f>"CONT-MEGA"</f>
        <v>CONT-MEGA</v>
      </c>
      <c r="AJ3011" t="str">
        <f>"CONT-MEGA"</f>
        <v>CONT-MEGA</v>
      </c>
      <c r="AK3011" t="s">
        <v>46</v>
      </c>
      <c r="AL3011" s="1">
        <v>44999.737430555557</v>
      </c>
      <c r="AM3011" t="s">
        <v>44</v>
      </c>
    </row>
    <row r="3012" spans="1:39" x14ac:dyDescent="0.2">
      <c r="A3012" t="s">
        <v>2885</v>
      </c>
      <c r="B3012" t="s">
        <v>40</v>
      </c>
      <c r="C3012" t="s">
        <v>41</v>
      </c>
      <c r="D3012" t="s">
        <v>42</v>
      </c>
      <c r="E3012" t="s">
        <v>43</v>
      </c>
      <c r="F3012" t="s">
        <v>44</v>
      </c>
      <c r="G3012" t="s">
        <v>45</v>
      </c>
      <c r="AH3012" t="s">
        <v>43</v>
      </c>
      <c r="AI3012" t="str">
        <f>"REX-3906"</f>
        <v>REX-3906</v>
      </c>
      <c r="AJ3012" t="str">
        <f>"REX-3906"</f>
        <v>REX-3906</v>
      </c>
      <c r="AK3012" t="s">
        <v>46</v>
      </c>
      <c r="AL3012" s="1">
        <v>44996.677361111113</v>
      </c>
      <c r="AM3012" t="s">
        <v>44</v>
      </c>
    </row>
    <row r="3013" spans="1:39" x14ac:dyDescent="0.2">
      <c r="A3013" t="s">
        <v>2886</v>
      </c>
      <c r="B3013" t="s">
        <v>40</v>
      </c>
      <c r="C3013" t="s">
        <v>41</v>
      </c>
      <c r="D3013" t="s">
        <v>42</v>
      </c>
      <c r="E3013" t="s">
        <v>43</v>
      </c>
      <c r="F3013" t="s">
        <v>44</v>
      </c>
      <c r="G3013" t="s">
        <v>45</v>
      </c>
      <c r="AH3013" t="s">
        <v>42</v>
      </c>
      <c r="AI3013" t="str">
        <f>"11602"</f>
        <v>11602</v>
      </c>
      <c r="AJ3013" t="str">
        <f>"11602"</f>
        <v>11602</v>
      </c>
      <c r="AK3013" t="s">
        <v>46</v>
      </c>
      <c r="AL3013" s="1">
        <v>44950.668761574074</v>
      </c>
      <c r="AM3013" t="s">
        <v>44</v>
      </c>
    </row>
    <row r="3014" spans="1:39" x14ac:dyDescent="0.2">
      <c r="A3014" t="s">
        <v>2887</v>
      </c>
      <c r="B3014" t="s">
        <v>40</v>
      </c>
      <c r="C3014" t="s">
        <v>41</v>
      </c>
      <c r="D3014" t="s">
        <v>42</v>
      </c>
      <c r="E3014" t="s">
        <v>43</v>
      </c>
      <c r="F3014" t="s">
        <v>44</v>
      </c>
      <c r="G3014" t="s">
        <v>45</v>
      </c>
      <c r="AH3014" t="s">
        <v>42</v>
      </c>
      <c r="AI3014" t="str">
        <f>"66298901124242"</f>
        <v>66298901124242</v>
      </c>
      <c r="AJ3014" t="str">
        <f>"800658"</f>
        <v>800658</v>
      </c>
      <c r="AK3014" t="s">
        <v>46</v>
      </c>
      <c r="AL3014" s="1">
        <v>44816.557997685188</v>
      </c>
      <c r="AM3014" t="s">
        <v>44</v>
      </c>
    </row>
    <row r="3015" spans="1:39" x14ac:dyDescent="0.2">
      <c r="A3015" t="s">
        <v>2888</v>
      </c>
      <c r="B3015" t="s">
        <v>40</v>
      </c>
      <c r="C3015" t="s">
        <v>41</v>
      </c>
      <c r="D3015" t="s">
        <v>42</v>
      </c>
      <c r="E3015" t="s">
        <v>43</v>
      </c>
      <c r="F3015" t="s">
        <v>44</v>
      </c>
      <c r="G3015" t="s">
        <v>45</v>
      </c>
      <c r="AH3015" t="s">
        <v>42</v>
      </c>
      <c r="AI3015" t="str">
        <f>"66298901169434"</f>
        <v>66298901169434</v>
      </c>
      <c r="AJ3015" t="str">
        <f>"702046"</f>
        <v>702046</v>
      </c>
      <c r="AK3015" t="s">
        <v>46</v>
      </c>
      <c r="AL3015" s="1">
        <v>44816.557997685188</v>
      </c>
      <c r="AM3015" t="s">
        <v>44</v>
      </c>
    </row>
    <row r="3016" spans="1:39" x14ac:dyDescent="0.2">
      <c r="A3016" t="s">
        <v>2889</v>
      </c>
      <c r="B3016" t="s">
        <v>40</v>
      </c>
      <c r="C3016" t="s">
        <v>41</v>
      </c>
      <c r="D3016" t="s">
        <v>42</v>
      </c>
      <c r="E3016" t="s">
        <v>43</v>
      </c>
      <c r="F3016" t="s">
        <v>44</v>
      </c>
      <c r="G3016" t="s">
        <v>45</v>
      </c>
      <c r="AH3016" t="s">
        <v>42</v>
      </c>
      <c r="AI3016" t="str">
        <f>"11604"</f>
        <v>11604</v>
      </c>
      <c r="AJ3016" t="str">
        <f>"11604"</f>
        <v>11604</v>
      </c>
      <c r="AK3016" t="s">
        <v>46</v>
      </c>
      <c r="AL3016" s="1">
        <v>45054.755740740744</v>
      </c>
      <c r="AM3016" t="s">
        <v>44</v>
      </c>
    </row>
    <row r="3017" spans="1:39" x14ac:dyDescent="0.2">
      <c r="A3017" t="s">
        <v>2890</v>
      </c>
      <c r="B3017" t="s">
        <v>40</v>
      </c>
      <c r="C3017" t="s">
        <v>41</v>
      </c>
      <c r="D3017" t="s">
        <v>42</v>
      </c>
      <c r="E3017" t="s">
        <v>43</v>
      </c>
      <c r="F3017" t="s">
        <v>44</v>
      </c>
      <c r="G3017" t="s">
        <v>45</v>
      </c>
      <c r="AH3017" t="s">
        <v>42</v>
      </c>
      <c r="AI3017" t="str">
        <f>"66298901211340"</f>
        <v>66298901211340</v>
      </c>
      <c r="AJ3017" t="str">
        <f>"99683"</f>
        <v>99683</v>
      </c>
      <c r="AK3017" t="s">
        <v>46</v>
      </c>
      <c r="AL3017" s="1">
        <v>44816.558009259257</v>
      </c>
      <c r="AM3017" t="s">
        <v>44</v>
      </c>
    </row>
    <row r="3018" spans="1:39" x14ac:dyDescent="0.2">
      <c r="A3018" t="s">
        <v>2891</v>
      </c>
      <c r="B3018" t="s">
        <v>40</v>
      </c>
      <c r="C3018" t="s">
        <v>41</v>
      </c>
      <c r="D3018" t="s">
        <v>42</v>
      </c>
      <c r="E3018" t="s">
        <v>43</v>
      </c>
      <c r="F3018" t="s">
        <v>44</v>
      </c>
      <c r="G3018" t="s">
        <v>45</v>
      </c>
      <c r="AH3018" t="s">
        <v>42</v>
      </c>
      <c r="AI3018" t="str">
        <f>"11632"</f>
        <v>11632</v>
      </c>
      <c r="AJ3018" t="str">
        <f>"11632"</f>
        <v>11632</v>
      </c>
      <c r="AK3018" t="s">
        <v>46</v>
      </c>
      <c r="AL3018" s="1">
        <v>45054.754363425927</v>
      </c>
      <c r="AM3018" t="s">
        <v>44</v>
      </c>
    </row>
    <row r="3019" spans="1:39" x14ac:dyDescent="0.2">
      <c r="A3019" t="s">
        <v>2892</v>
      </c>
      <c r="B3019" t="s">
        <v>40</v>
      </c>
      <c r="C3019" t="s">
        <v>41</v>
      </c>
      <c r="D3019" t="s">
        <v>42</v>
      </c>
      <c r="E3019" t="s">
        <v>43</v>
      </c>
      <c r="F3019" t="s">
        <v>44</v>
      </c>
      <c r="G3019" t="s">
        <v>45</v>
      </c>
      <c r="AH3019" t="s">
        <v>42</v>
      </c>
      <c r="AI3019" t="str">
        <f>"11964"</f>
        <v>11964</v>
      </c>
      <c r="AJ3019" t="str">
        <f>"11964"</f>
        <v>11964</v>
      </c>
      <c r="AK3019" t="s">
        <v>46</v>
      </c>
      <c r="AL3019" s="1">
        <v>45054.74664351852</v>
      </c>
      <c r="AM3019" t="s">
        <v>44</v>
      </c>
    </row>
    <row r="3020" spans="1:39" x14ac:dyDescent="0.2">
      <c r="A3020" t="s">
        <v>2893</v>
      </c>
      <c r="B3020" t="s">
        <v>40</v>
      </c>
      <c r="C3020" t="s">
        <v>41</v>
      </c>
      <c r="D3020" t="s">
        <v>42</v>
      </c>
      <c r="E3020" t="s">
        <v>43</v>
      </c>
      <c r="F3020" t="s">
        <v>44</v>
      </c>
      <c r="G3020" t="s">
        <v>45</v>
      </c>
      <c r="AH3020" t="s">
        <v>42</v>
      </c>
      <c r="AI3020" t="str">
        <f>"11963"</f>
        <v>11963</v>
      </c>
      <c r="AJ3020" t="str">
        <f>"11963"</f>
        <v>11963</v>
      </c>
      <c r="AK3020" t="s">
        <v>46</v>
      </c>
      <c r="AL3020" s="1">
        <v>45054.737743055557</v>
      </c>
      <c r="AM3020" t="s">
        <v>44</v>
      </c>
    </row>
    <row r="3021" spans="1:39" x14ac:dyDescent="0.2">
      <c r="A3021" t="s">
        <v>2894</v>
      </c>
      <c r="B3021" t="s">
        <v>40</v>
      </c>
      <c r="C3021" t="s">
        <v>41</v>
      </c>
      <c r="D3021" t="s">
        <v>42</v>
      </c>
      <c r="E3021" t="s">
        <v>43</v>
      </c>
      <c r="F3021" t="s">
        <v>44</v>
      </c>
      <c r="G3021" t="s">
        <v>45</v>
      </c>
      <c r="AH3021" t="s">
        <v>42</v>
      </c>
      <c r="AI3021" t="str">
        <f>"66298901251588"</f>
        <v>66298901251588</v>
      </c>
      <c r="AJ3021" t="str">
        <f>"1571"</f>
        <v>1571</v>
      </c>
      <c r="AK3021" t="s">
        <v>46</v>
      </c>
      <c r="AL3021" s="1">
        <v>44816.558009259257</v>
      </c>
      <c r="AM3021" t="s">
        <v>44</v>
      </c>
    </row>
    <row r="3022" spans="1:39" x14ac:dyDescent="0.2">
      <c r="A3022" t="s">
        <v>2895</v>
      </c>
      <c r="B3022" t="s">
        <v>40</v>
      </c>
      <c r="C3022" t="s">
        <v>41</v>
      </c>
      <c r="D3022" t="s">
        <v>42</v>
      </c>
      <c r="E3022" t="s">
        <v>43</v>
      </c>
      <c r="F3022" t="s">
        <v>44</v>
      </c>
      <c r="G3022" t="s">
        <v>45</v>
      </c>
      <c r="AH3022" t="s">
        <v>42</v>
      </c>
      <c r="AI3022" t="str">
        <f>"66298901288717"</f>
        <v>66298901288717</v>
      </c>
      <c r="AJ3022" t="str">
        <f>"6010162"</f>
        <v>6010162</v>
      </c>
      <c r="AK3022" t="s">
        <v>46</v>
      </c>
      <c r="AL3022" s="1">
        <v>44816.558009259257</v>
      </c>
      <c r="AM3022" t="s">
        <v>44</v>
      </c>
    </row>
    <row r="3023" spans="1:39" x14ac:dyDescent="0.2">
      <c r="A3023" t="s">
        <v>2896</v>
      </c>
      <c r="B3023" t="s">
        <v>40</v>
      </c>
      <c r="C3023" t="s">
        <v>41</v>
      </c>
      <c r="D3023" t="s">
        <v>42</v>
      </c>
      <c r="E3023" t="s">
        <v>43</v>
      </c>
      <c r="F3023" t="s">
        <v>44</v>
      </c>
      <c r="G3023" t="s">
        <v>45</v>
      </c>
      <c r="AH3023" t="s">
        <v>42</v>
      </c>
      <c r="AI3023" t="str">
        <f>"66298901330636"</f>
        <v>66298901330636</v>
      </c>
      <c r="AJ3023" t="str">
        <f>"6010163"</f>
        <v>6010163</v>
      </c>
      <c r="AK3023" t="s">
        <v>46</v>
      </c>
      <c r="AL3023" s="1">
        <v>44816.558020833334</v>
      </c>
      <c r="AM3023" t="s">
        <v>44</v>
      </c>
    </row>
    <row r="3024" spans="1:39" x14ac:dyDescent="0.2">
      <c r="A3024" t="s">
        <v>2897</v>
      </c>
      <c r="B3024" t="s">
        <v>48</v>
      </c>
      <c r="C3024" t="s">
        <v>1067</v>
      </c>
      <c r="D3024" t="s">
        <v>42</v>
      </c>
      <c r="E3024" t="s">
        <v>42</v>
      </c>
      <c r="F3024" t="s">
        <v>44</v>
      </c>
      <c r="G3024" t="s">
        <v>45</v>
      </c>
      <c r="H3024" t="s">
        <v>1068</v>
      </c>
      <c r="AH3024" t="s">
        <v>42</v>
      </c>
      <c r="AI3024" t="str">
        <f>"LM-CB-0-150"</f>
        <v>LM-CB-0-150</v>
      </c>
      <c r="AJ3024" t="str">
        <f>"LM-CB-0-150"</f>
        <v>LM-CB-0-150</v>
      </c>
      <c r="AK3024" t="s">
        <v>46</v>
      </c>
      <c r="AL3024" s="1">
        <v>44851.749872685185</v>
      </c>
      <c r="AM3024" t="s">
        <v>44</v>
      </c>
    </row>
    <row r="3025" spans="1:39" x14ac:dyDescent="0.2">
      <c r="A3025" t="s">
        <v>2897</v>
      </c>
      <c r="B3025" t="s">
        <v>48</v>
      </c>
      <c r="C3025" t="s">
        <v>1067</v>
      </c>
      <c r="D3025" t="s">
        <v>42</v>
      </c>
      <c r="E3025" t="s">
        <v>42</v>
      </c>
      <c r="F3025" t="s">
        <v>44</v>
      </c>
      <c r="G3025" t="s">
        <v>45</v>
      </c>
      <c r="H3025" t="s">
        <v>1069</v>
      </c>
      <c r="AH3025" t="s">
        <v>42</v>
      </c>
      <c r="AI3025" t="str">
        <f>"LM-CB-160-400"</f>
        <v>LM-CB-160-400</v>
      </c>
      <c r="AJ3025" t="str">
        <f>"LM-CB-160-400"</f>
        <v>LM-CB-160-400</v>
      </c>
      <c r="AK3025" t="s">
        <v>46</v>
      </c>
      <c r="AL3025" s="1">
        <v>44851.750138888892</v>
      </c>
      <c r="AM3025" t="s">
        <v>44</v>
      </c>
    </row>
    <row r="3026" spans="1:39" x14ac:dyDescent="0.2">
      <c r="A3026" t="s">
        <v>2898</v>
      </c>
      <c r="B3026" t="s">
        <v>40</v>
      </c>
      <c r="C3026" t="s">
        <v>41</v>
      </c>
      <c r="D3026" t="s">
        <v>42</v>
      </c>
      <c r="E3026" t="s">
        <v>43</v>
      </c>
      <c r="F3026" t="s">
        <v>44</v>
      </c>
      <c r="G3026" t="s">
        <v>45</v>
      </c>
      <c r="AH3026" t="s">
        <v>42</v>
      </c>
      <c r="AI3026" t="str">
        <f>"3093"</f>
        <v>3093</v>
      </c>
      <c r="AJ3026" t="str">
        <f>"3093"</f>
        <v>3093</v>
      </c>
      <c r="AK3026" t="s">
        <v>46</v>
      </c>
      <c r="AL3026" s="1">
        <v>44935.645289351851</v>
      </c>
      <c r="AM3026" t="s">
        <v>44</v>
      </c>
    </row>
    <row r="3027" spans="1:39" x14ac:dyDescent="0.2">
      <c r="A3027" t="s">
        <v>2899</v>
      </c>
      <c r="B3027" t="s">
        <v>40</v>
      </c>
      <c r="C3027" t="s">
        <v>41</v>
      </c>
      <c r="D3027" t="s">
        <v>42</v>
      </c>
      <c r="E3027" t="s">
        <v>43</v>
      </c>
      <c r="F3027" t="s">
        <v>44</v>
      </c>
      <c r="G3027" t="s">
        <v>45</v>
      </c>
      <c r="AH3027" t="s">
        <v>42</v>
      </c>
      <c r="AI3027" t="str">
        <f>"3092"</f>
        <v>3092</v>
      </c>
      <c r="AJ3027" t="str">
        <f>"3092"</f>
        <v>3092</v>
      </c>
      <c r="AK3027" t="s">
        <v>46</v>
      </c>
      <c r="AL3027" s="1">
        <v>44935.645682870374</v>
      </c>
      <c r="AM3027" t="s">
        <v>44</v>
      </c>
    </row>
    <row r="3028" spans="1:39" x14ac:dyDescent="0.2">
      <c r="A3028" t="s">
        <v>2900</v>
      </c>
      <c r="B3028" t="s">
        <v>40</v>
      </c>
      <c r="C3028" t="s">
        <v>41</v>
      </c>
      <c r="D3028" t="s">
        <v>42</v>
      </c>
      <c r="E3028" t="s">
        <v>43</v>
      </c>
      <c r="F3028" t="s">
        <v>44</v>
      </c>
      <c r="G3028" t="s">
        <v>45</v>
      </c>
      <c r="AH3028" t="s">
        <v>42</v>
      </c>
      <c r="AI3028" t="str">
        <f>"66298901369193"</f>
        <v>66298901369193</v>
      </c>
      <c r="AJ3028" t="str">
        <f>"6010119"</f>
        <v>6010119</v>
      </c>
      <c r="AK3028" t="s">
        <v>46</v>
      </c>
      <c r="AL3028" s="1">
        <v>44816.558020833334</v>
      </c>
      <c r="AM3028" t="s">
        <v>44</v>
      </c>
    </row>
    <row r="3029" spans="1:39" x14ac:dyDescent="0.2">
      <c r="A3029" t="s">
        <v>2901</v>
      </c>
      <c r="B3029" t="s">
        <v>40</v>
      </c>
      <c r="C3029" t="s">
        <v>41</v>
      </c>
      <c r="D3029" t="s">
        <v>42</v>
      </c>
      <c r="E3029" t="s">
        <v>43</v>
      </c>
      <c r="F3029" t="s">
        <v>44</v>
      </c>
      <c r="G3029" t="s">
        <v>45</v>
      </c>
      <c r="AH3029" t="s">
        <v>42</v>
      </c>
      <c r="AI3029" t="str">
        <f>"6010120"</f>
        <v>6010120</v>
      </c>
      <c r="AJ3029" t="str">
        <f>"6010120"</f>
        <v>6010120</v>
      </c>
      <c r="AK3029" t="s">
        <v>46</v>
      </c>
      <c r="AL3029" s="1">
        <v>44816.558032407411</v>
      </c>
      <c r="AM3029" t="s">
        <v>44</v>
      </c>
    </row>
    <row r="3030" spans="1:39" x14ac:dyDescent="0.2">
      <c r="A3030" t="s">
        <v>2902</v>
      </c>
      <c r="B3030" t="s">
        <v>40</v>
      </c>
      <c r="C3030" t="s">
        <v>41</v>
      </c>
      <c r="D3030" t="s">
        <v>42</v>
      </c>
      <c r="E3030" t="s">
        <v>43</v>
      </c>
      <c r="F3030" t="s">
        <v>44</v>
      </c>
      <c r="G3030" t="s">
        <v>45</v>
      </c>
      <c r="AH3030" t="s">
        <v>42</v>
      </c>
      <c r="AI3030" t="str">
        <f>"66298901454643"</f>
        <v>66298901454643</v>
      </c>
      <c r="AJ3030" t="str">
        <f>"701A96"</f>
        <v>701A96</v>
      </c>
      <c r="AK3030" t="s">
        <v>46</v>
      </c>
      <c r="AL3030" s="1">
        <v>44816.558032407411</v>
      </c>
      <c r="AM3030" t="s">
        <v>44</v>
      </c>
    </row>
    <row r="3031" spans="1:39" x14ac:dyDescent="0.2">
      <c r="A3031" t="s">
        <v>2903</v>
      </c>
      <c r="B3031" t="s">
        <v>40</v>
      </c>
      <c r="C3031" t="s">
        <v>41</v>
      </c>
      <c r="D3031" t="s">
        <v>42</v>
      </c>
      <c r="E3031" t="s">
        <v>43</v>
      </c>
      <c r="F3031" t="s">
        <v>44</v>
      </c>
      <c r="G3031" t="s">
        <v>45</v>
      </c>
      <c r="AH3031" t="s">
        <v>42</v>
      </c>
      <c r="AI3031" t="str">
        <f>"11683"</f>
        <v>11683</v>
      </c>
      <c r="AJ3031" t="str">
        <f>"11683"</f>
        <v>11683</v>
      </c>
      <c r="AK3031" t="s">
        <v>46</v>
      </c>
      <c r="AL3031" s="1">
        <v>44950.659768518519</v>
      </c>
      <c r="AM3031" t="s">
        <v>44</v>
      </c>
    </row>
    <row r="3032" spans="1:39" x14ac:dyDescent="0.2">
      <c r="A3032" t="s">
        <v>2904</v>
      </c>
      <c r="B3032" t="s">
        <v>40</v>
      </c>
      <c r="C3032" t="s">
        <v>41</v>
      </c>
      <c r="D3032" t="s">
        <v>42</v>
      </c>
      <c r="E3032" t="s">
        <v>43</v>
      </c>
      <c r="F3032" t="s">
        <v>44</v>
      </c>
      <c r="G3032" t="s">
        <v>45</v>
      </c>
      <c r="AH3032" t="s">
        <v>42</v>
      </c>
      <c r="AI3032" t="str">
        <f>"11685"</f>
        <v>11685</v>
      </c>
      <c r="AJ3032" t="str">
        <f>"11685"</f>
        <v>11685</v>
      </c>
      <c r="AK3032" t="s">
        <v>46</v>
      </c>
      <c r="AL3032" s="1">
        <v>44950.662928240738</v>
      </c>
      <c r="AM3032" t="s">
        <v>44</v>
      </c>
    </row>
    <row r="3033" spans="1:39" x14ac:dyDescent="0.2">
      <c r="A3033" t="s">
        <v>2905</v>
      </c>
      <c r="B3033" t="s">
        <v>40</v>
      </c>
      <c r="C3033" t="s">
        <v>41</v>
      </c>
      <c r="D3033" t="s">
        <v>42</v>
      </c>
      <c r="E3033" t="s">
        <v>43</v>
      </c>
      <c r="F3033" t="s">
        <v>44</v>
      </c>
      <c r="G3033" t="s">
        <v>45</v>
      </c>
      <c r="AH3033" t="s">
        <v>42</v>
      </c>
      <c r="AI3033" t="str">
        <f>"66298901497357"</f>
        <v>66298901497357</v>
      </c>
      <c r="AJ3033" t="str">
        <f>"800312"</f>
        <v>800312</v>
      </c>
      <c r="AK3033" t="s">
        <v>46</v>
      </c>
      <c r="AL3033" s="1">
        <v>44816.558032407411</v>
      </c>
      <c r="AM3033" t="s">
        <v>44</v>
      </c>
    </row>
    <row r="3034" spans="1:39" x14ac:dyDescent="0.2">
      <c r="A3034" t="s">
        <v>2906</v>
      </c>
      <c r="B3034" t="s">
        <v>40</v>
      </c>
      <c r="C3034" t="s">
        <v>41</v>
      </c>
      <c r="D3034" t="s">
        <v>42</v>
      </c>
      <c r="E3034" t="s">
        <v>43</v>
      </c>
      <c r="F3034" t="s">
        <v>44</v>
      </c>
      <c r="G3034" t="s">
        <v>45</v>
      </c>
      <c r="AH3034" t="s">
        <v>42</v>
      </c>
      <c r="AI3034" t="str">
        <f>"66298901543799"</f>
        <v>66298901543799</v>
      </c>
      <c r="AJ3034" t="str">
        <f>"3091"</f>
        <v>3091</v>
      </c>
      <c r="AK3034" t="s">
        <v>46</v>
      </c>
      <c r="AL3034" s="1">
        <v>44816.55804398148</v>
      </c>
      <c r="AM3034" t="s">
        <v>44</v>
      </c>
    </row>
    <row r="3035" spans="1:39" x14ac:dyDescent="0.2">
      <c r="A3035" t="s">
        <v>2907</v>
      </c>
      <c r="B3035" t="s">
        <v>40</v>
      </c>
      <c r="C3035" t="s">
        <v>2908</v>
      </c>
      <c r="D3035" t="s">
        <v>42</v>
      </c>
      <c r="E3035" t="s">
        <v>43</v>
      </c>
      <c r="F3035" t="s">
        <v>44</v>
      </c>
      <c r="G3035" t="s">
        <v>45</v>
      </c>
      <c r="AH3035" t="s">
        <v>42</v>
      </c>
      <c r="AI3035" t="str">
        <f>"66298901585441"</f>
        <v>66298901585441</v>
      </c>
      <c r="AJ3035" t="str">
        <f>"82125"</f>
        <v>82125</v>
      </c>
      <c r="AK3035" t="s">
        <v>46</v>
      </c>
      <c r="AL3035" s="1">
        <v>44816.55804398148</v>
      </c>
      <c r="AM3035" t="s">
        <v>44</v>
      </c>
    </row>
    <row r="3036" spans="1:39" x14ac:dyDescent="0.2">
      <c r="A3036" t="s">
        <v>2909</v>
      </c>
      <c r="B3036" t="s">
        <v>40</v>
      </c>
      <c r="C3036" t="s">
        <v>2908</v>
      </c>
      <c r="D3036" t="s">
        <v>42</v>
      </c>
      <c r="E3036" t="s">
        <v>43</v>
      </c>
      <c r="F3036" t="s">
        <v>44</v>
      </c>
      <c r="G3036" t="s">
        <v>45</v>
      </c>
      <c r="AH3036" t="s">
        <v>42</v>
      </c>
      <c r="AI3036" t="str">
        <f>"66298901627128"</f>
        <v>66298901627128</v>
      </c>
      <c r="AJ3036" t="str">
        <f>"54111H2C001HA99"</f>
        <v>54111H2C001HA99</v>
      </c>
      <c r="AK3036" t="s">
        <v>46</v>
      </c>
      <c r="AL3036" s="1">
        <v>44816.558055555557</v>
      </c>
      <c r="AM3036" t="s">
        <v>44</v>
      </c>
    </row>
    <row r="3037" spans="1:39" x14ac:dyDescent="0.2">
      <c r="A3037" t="s">
        <v>2910</v>
      </c>
      <c r="B3037" t="s">
        <v>40</v>
      </c>
      <c r="C3037" t="s">
        <v>2908</v>
      </c>
      <c r="D3037" t="s">
        <v>42</v>
      </c>
      <c r="E3037" t="s">
        <v>43</v>
      </c>
      <c r="F3037" t="s">
        <v>44</v>
      </c>
      <c r="G3037" t="s">
        <v>45</v>
      </c>
      <c r="AH3037" t="s">
        <v>42</v>
      </c>
      <c r="AI3037" t="str">
        <f>"66298901665785"</f>
        <v>66298901665785</v>
      </c>
      <c r="AJ3037" t="str">
        <f>"82126"</f>
        <v>82126</v>
      </c>
      <c r="AK3037" t="s">
        <v>46</v>
      </c>
      <c r="AL3037" s="1">
        <v>44816.558055555557</v>
      </c>
      <c r="AM3037" t="s">
        <v>44</v>
      </c>
    </row>
    <row r="3038" spans="1:39" x14ac:dyDescent="0.2">
      <c r="A3038" t="s">
        <v>2911</v>
      </c>
      <c r="B3038" t="s">
        <v>40</v>
      </c>
      <c r="C3038" t="s">
        <v>2908</v>
      </c>
      <c r="D3038" t="s">
        <v>42</v>
      </c>
      <c r="E3038" t="s">
        <v>43</v>
      </c>
      <c r="F3038" t="s">
        <v>44</v>
      </c>
      <c r="G3038" t="s">
        <v>45</v>
      </c>
      <c r="AH3038" t="s">
        <v>42</v>
      </c>
      <c r="AI3038" t="str">
        <f>"66298901713336"</f>
        <v>66298901713336</v>
      </c>
      <c r="AJ3038" t="str">
        <f>"B15030148"</f>
        <v>B15030148</v>
      </c>
      <c r="AK3038" t="s">
        <v>46</v>
      </c>
      <c r="AL3038" s="1">
        <v>44816.558067129627</v>
      </c>
      <c r="AM3038" t="s">
        <v>44</v>
      </c>
    </row>
    <row r="3039" spans="1:39" x14ac:dyDescent="0.2">
      <c r="A3039" t="s">
        <v>2912</v>
      </c>
      <c r="B3039" t="s">
        <v>40</v>
      </c>
      <c r="C3039" t="s">
        <v>2913</v>
      </c>
      <c r="D3039" t="s">
        <v>42</v>
      </c>
      <c r="E3039" t="s">
        <v>43</v>
      </c>
      <c r="F3039" t="s">
        <v>44</v>
      </c>
      <c r="G3039" t="s">
        <v>45</v>
      </c>
      <c r="AH3039" t="s">
        <v>42</v>
      </c>
      <c r="AI3039" t="str">
        <f>"66298901760541"</f>
        <v>66298901760541</v>
      </c>
      <c r="AJ3039" t="str">
        <f>"H188"</f>
        <v>H188</v>
      </c>
      <c r="AK3039" t="s">
        <v>46</v>
      </c>
      <c r="AL3039" s="1">
        <v>44816.558067129627</v>
      </c>
      <c r="AM3039" t="s">
        <v>44</v>
      </c>
    </row>
    <row r="3040" spans="1:39" x14ac:dyDescent="0.2">
      <c r="A3040" t="s">
        <v>2914</v>
      </c>
      <c r="B3040" t="s">
        <v>40</v>
      </c>
      <c r="C3040" t="s">
        <v>2913</v>
      </c>
      <c r="D3040" t="s">
        <v>42</v>
      </c>
      <c r="E3040" t="s">
        <v>43</v>
      </c>
      <c r="F3040" t="s">
        <v>44</v>
      </c>
      <c r="G3040" t="s">
        <v>45</v>
      </c>
      <c r="AH3040" t="s">
        <v>42</v>
      </c>
      <c r="AI3040" t="str">
        <f>"49CC28"</f>
        <v>49CC28</v>
      </c>
      <c r="AJ3040" t="str">
        <f>"49CC28"</f>
        <v>49CC28</v>
      </c>
      <c r="AK3040" t="s">
        <v>46</v>
      </c>
      <c r="AL3040" s="1">
        <v>45093.613506944443</v>
      </c>
      <c r="AM3040" t="s">
        <v>44</v>
      </c>
    </row>
    <row r="3041" spans="1:39" x14ac:dyDescent="0.2">
      <c r="A3041" t="s">
        <v>2915</v>
      </c>
      <c r="B3041" t="s">
        <v>40</v>
      </c>
      <c r="C3041" t="s">
        <v>2913</v>
      </c>
      <c r="D3041" t="s">
        <v>42</v>
      </c>
      <c r="E3041" t="s">
        <v>43</v>
      </c>
      <c r="F3041" t="s">
        <v>44</v>
      </c>
      <c r="G3041" t="s">
        <v>45</v>
      </c>
      <c r="AH3041" t="s">
        <v>42</v>
      </c>
      <c r="AI3041" t="str">
        <f>"66298901805081"</f>
        <v>66298901805081</v>
      </c>
      <c r="AJ3041" t="str">
        <f>"B091"</f>
        <v>B091</v>
      </c>
      <c r="AK3041" t="s">
        <v>46</v>
      </c>
      <c r="AL3041" s="1">
        <v>44816.558078703703</v>
      </c>
      <c r="AM3041" t="s">
        <v>44</v>
      </c>
    </row>
    <row r="3042" spans="1:39" x14ac:dyDescent="0.2">
      <c r="A3042" t="s">
        <v>2916</v>
      </c>
      <c r="B3042" t="s">
        <v>40</v>
      </c>
      <c r="C3042" t="s">
        <v>2913</v>
      </c>
      <c r="D3042" t="s">
        <v>42</v>
      </c>
      <c r="E3042" t="s">
        <v>43</v>
      </c>
      <c r="F3042" t="s">
        <v>44</v>
      </c>
      <c r="G3042" t="s">
        <v>45</v>
      </c>
      <c r="AH3042" t="s">
        <v>42</v>
      </c>
      <c r="AI3042" t="str">
        <f>"66298901845498"</f>
        <v>66298901845498</v>
      </c>
      <c r="AJ3042" t="str">
        <f>"XB006"</f>
        <v>XB006</v>
      </c>
      <c r="AK3042" t="s">
        <v>46</v>
      </c>
      <c r="AL3042" s="1">
        <v>44816.558078703703</v>
      </c>
      <c r="AM3042" t="s">
        <v>44</v>
      </c>
    </row>
    <row r="3043" spans="1:39" x14ac:dyDescent="0.2">
      <c r="A3043" t="s">
        <v>2917</v>
      </c>
      <c r="B3043" t="s">
        <v>40</v>
      </c>
      <c r="C3043" t="s">
        <v>2913</v>
      </c>
      <c r="D3043" t="s">
        <v>42</v>
      </c>
      <c r="E3043" t="s">
        <v>43</v>
      </c>
      <c r="F3043" t="s">
        <v>44</v>
      </c>
      <c r="G3043" t="s">
        <v>45</v>
      </c>
      <c r="AH3043" t="s">
        <v>42</v>
      </c>
      <c r="AI3043" t="str">
        <f>"66298901930718"</f>
        <v>66298901930718</v>
      </c>
      <c r="AJ3043" t="str">
        <f>"400546"</f>
        <v>400546</v>
      </c>
      <c r="AK3043" t="s">
        <v>46</v>
      </c>
      <c r="AL3043" s="1">
        <v>44816.55809027778</v>
      </c>
      <c r="AM3043" t="s">
        <v>44</v>
      </c>
    </row>
    <row r="3044" spans="1:39" x14ac:dyDescent="0.2">
      <c r="A3044" t="s">
        <v>2918</v>
      </c>
      <c r="B3044" t="s">
        <v>40</v>
      </c>
      <c r="C3044" t="s">
        <v>2913</v>
      </c>
      <c r="D3044" t="s">
        <v>42</v>
      </c>
      <c r="E3044" t="s">
        <v>43</v>
      </c>
      <c r="F3044" t="s">
        <v>44</v>
      </c>
      <c r="G3044" t="s">
        <v>45</v>
      </c>
      <c r="AH3044" t="s">
        <v>42</v>
      </c>
      <c r="AI3044" t="str">
        <f>"66298901888788"</f>
        <v>66298901888788</v>
      </c>
      <c r="AJ3044" t="str">
        <f>"XB005"</f>
        <v>XB005</v>
      </c>
      <c r="AK3044" t="s">
        <v>46</v>
      </c>
      <c r="AL3044" s="1">
        <v>44816.558078703703</v>
      </c>
      <c r="AM3044" t="s">
        <v>44</v>
      </c>
    </row>
    <row r="3045" spans="1:39" x14ac:dyDescent="0.2">
      <c r="A3045" t="s">
        <v>2919</v>
      </c>
      <c r="B3045" t="s">
        <v>40</v>
      </c>
      <c r="C3045" t="s">
        <v>2913</v>
      </c>
      <c r="D3045" t="s">
        <v>42</v>
      </c>
      <c r="E3045" t="s">
        <v>43</v>
      </c>
      <c r="F3045" t="s">
        <v>44</v>
      </c>
      <c r="G3045" t="s">
        <v>45</v>
      </c>
      <c r="AH3045" t="s">
        <v>42</v>
      </c>
      <c r="AI3045" t="str">
        <f>"XB001"</f>
        <v>XB001</v>
      </c>
      <c r="AJ3045" t="str">
        <f>"XB001"</f>
        <v>XB001</v>
      </c>
      <c r="AK3045" t="s">
        <v>46</v>
      </c>
      <c r="AL3045" s="1">
        <v>45086.733819444446</v>
      </c>
      <c r="AM3045" t="s">
        <v>44</v>
      </c>
    </row>
    <row r="3046" spans="1:39" x14ac:dyDescent="0.2">
      <c r="A3046" t="s">
        <v>2920</v>
      </c>
      <c r="B3046" t="s">
        <v>40</v>
      </c>
      <c r="C3046" t="s">
        <v>2913</v>
      </c>
      <c r="D3046" t="s">
        <v>42</v>
      </c>
      <c r="E3046" t="s">
        <v>43</v>
      </c>
      <c r="F3046" t="s">
        <v>44</v>
      </c>
      <c r="G3046" t="s">
        <v>45</v>
      </c>
      <c r="AH3046" t="s">
        <v>42</v>
      </c>
      <c r="AI3046" t="str">
        <f>"XB009"</f>
        <v>XB009</v>
      </c>
      <c r="AJ3046" t="str">
        <f>"XB009"</f>
        <v>XB009</v>
      </c>
      <c r="AK3046" t="s">
        <v>46</v>
      </c>
      <c r="AL3046" s="1">
        <v>45086.734652777777</v>
      </c>
      <c r="AM3046" t="s">
        <v>44</v>
      </c>
    </row>
    <row r="3047" spans="1:39" x14ac:dyDescent="0.2">
      <c r="A3047" t="s">
        <v>2921</v>
      </c>
      <c r="B3047" t="s">
        <v>40</v>
      </c>
      <c r="C3047" t="s">
        <v>2913</v>
      </c>
      <c r="D3047" t="s">
        <v>42</v>
      </c>
      <c r="E3047" t="s">
        <v>43</v>
      </c>
      <c r="F3047" t="s">
        <v>44</v>
      </c>
      <c r="G3047" t="s">
        <v>45</v>
      </c>
      <c r="AH3047" t="s">
        <v>42</v>
      </c>
      <c r="AI3047" t="str">
        <f>"66298901969173"</f>
        <v>66298901969173</v>
      </c>
      <c r="AJ3047" t="str">
        <f>"XB003"</f>
        <v>XB003</v>
      </c>
      <c r="AK3047" t="s">
        <v>46</v>
      </c>
      <c r="AL3047" s="1">
        <v>44816.55809027778</v>
      </c>
      <c r="AM3047" t="s">
        <v>44</v>
      </c>
    </row>
    <row r="3048" spans="1:39" x14ac:dyDescent="0.2">
      <c r="A3048" t="s">
        <v>2922</v>
      </c>
      <c r="B3048" t="s">
        <v>40</v>
      </c>
      <c r="C3048" t="s">
        <v>2913</v>
      </c>
      <c r="D3048" t="s">
        <v>42</v>
      </c>
      <c r="E3048" t="s">
        <v>43</v>
      </c>
      <c r="F3048" t="s">
        <v>44</v>
      </c>
      <c r="G3048" t="s">
        <v>45</v>
      </c>
      <c r="AH3048" t="s">
        <v>42</v>
      </c>
      <c r="AI3048" t="str">
        <f>"66298902011913"</f>
        <v>66298902011913</v>
      </c>
      <c r="AJ3048" t="str">
        <f>"XB011"</f>
        <v>XB011</v>
      </c>
      <c r="AK3048" t="s">
        <v>46</v>
      </c>
      <c r="AL3048" s="1">
        <v>44816.55810185185</v>
      </c>
      <c r="AM3048" t="s">
        <v>44</v>
      </c>
    </row>
    <row r="3049" spans="1:39" x14ac:dyDescent="0.2">
      <c r="A3049" t="s">
        <v>2922</v>
      </c>
      <c r="B3049" t="s">
        <v>40</v>
      </c>
      <c r="C3049" t="s">
        <v>2913</v>
      </c>
      <c r="D3049" t="s">
        <v>42</v>
      </c>
      <c r="E3049" t="s">
        <v>43</v>
      </c>
      <c r="F3049" t="s">
        <v>44</v>
      </c>
      <c r="G3049" t="s">
        <v>45</v>
      </c>
      <c r="AH3049" t="s">
        <v>42</v>
      </c>
      <c r="AI3049" t="str">
        <f>"66298902019288"</f>
        <v>66298902019288</v>
      </c>
      <c r="AJ3049" t="str">
        <f>"XB010"</f>
        <v>XB010</v>
      </c>
      <c r="AK3049" t="s">
        <v>46</v>
      </c>
      <c r="AL3049" s="1">
        <v>44816.55810185185</v>
      </c>
      <c r="AM3049" t="s">
        <v>44</v>
      </c>
    </row>
    <row r="3050" spans="1:39" x14ac:dyDescent="0.2">
      <c r="A3050" t="s">
        <v>2922</v>
      </c>
      <c r="B3050" t="s">
        <v>40</v>
      </c>
      <c r="C3050" t="s">
        <v>2913</v>
      </c>
      <c r="D3050" t="s">
        <v>42</v>
      </c>
      <c r="E3050" t="s">
        <v>43</v>
      </c>
      <c r="F3050" t="s">
        <v>44</v>
      </c>
      <c r="G3050" t="s">
        <v>45</v>
      </c>
      <c r="AH3050" t="s">
        <v>42</v>
      </c>
      <c r="AI3050" t="str">
        <f>"XB007"</f>
        <v>XB007</v>
      </c>
      <c r="AJ3050" t="str">
        <f>"XB007"</f>
        <v>XB007</v>
      </c>
      <c r="AK3050" t="s">
        <v>46</v>
      </c>
      <c r="AL3050" s="1">
        <v>44893.567048611112</v>
      </c>
      <c r="AM3050" t="s">
        <v>44</v>
      </c>
    </row>
    <row r="3051" spans="1:39" x14ac:dyDescent="0.2">
      <c r="A3051" t="s">
        <v>2923</v>
      </c>
      <c r="B3051" t="s">
        <v>40</v>
      </c>
      <c r="C3051" t="s">
        <v>2913</v>
      </c>
      <c r="D3051" t="s">
        <v>42</v>
      </c>
      <c r="E3051" t="s">
        <v>43</v>
      </c>
      <c r="F3051" t="s">
        <v>44</v>
      </c>
      <c r="G3051" t="s">
        <v>45</v>
      </c>
      <c r="AH3051" t="s">
        <v>42</v>
      </c>
      <c r="AI3051" t="str">
        <f>"66298902074401"</f>
        <v>66298902074401</v>
      </c>
      <c r="AJ3051" t="str">
        <f>"B091A"</f>
        <v>B091A</v>
      </c>
      <c r="AK3051" t="s">
        <v>46</v>
      </c>
      <c r="AL3051" s="1">
        <v>44816.55810185185</v>
      </c>
      <c r="AM3051" t="s">
        <v>44</v>
      </c>
    </row>
    <row r="3052" spans="1:39" x14ac:dyDescent="0.2">
      <c r="A3052" t="s">
        <v>2924</v>
      </c>
      <c r="B3052" t="s">
        <v>40</v>
      </c>
      <c r="C3052" t="s">
        <v>2913</v>
      </c>
      <c r="D3052" t="s">
        <v>42</v>
      </c>
      <c r="E3052" t="s">
        <v>43</v>
      </c>
      <c r="F3052" t="s">
        <v>44</v>
      </c>
      <c r="G3052" t="s">
        <v>45</v>
      </c>
      <c r="AH3052" t="s">
        <v>42</v>
      </c>
      <c r="AI3052" t="str">
        <f>"66298902111577"</f>
        <v>66298902111577</v>
      </c>
      <c r="AJ3052" t="str">
        <f>"H021"</f>
        <v>H021</v>
      </c>
      <c r="AK3052" t="s">
        <v>46</v>
      </c>
      <c r="AL3052" s="1">
        <v>44816.558113425926</v>
      </c>
      <c r="AM3052" t="s">
        <v>44</v>
      </c>
    </row>
    <row r="3053" spans="1:39" x14ac:dyDescent="0.2">
      <c r="A3053" t="s">
        <v>2925</v>
      </c>
      <c r="B3053" t="s">
        <v>40</v>
      </c>
      <c r="C3053" t="s">
        <v>2913</v>
      </c>
      <c r="D3053" t="s">
        <v>42</v>
      </c>
      <c r="E3053" t="s">
        <v>43</v>
      </c>
      <c r="F3053" t="s">
        <v>44</v>
      </c>
      <c r="G3053" t="s">
        <v>45</v>
      </c>
      <c r="AH3053" t="s">
        <v>42</v>
      </c>
      <c r="AI3053" t="str">
        <f>"66298902173789"</f>
        <v>66298902173789</v>
      </c>
      <c r="AJ3053" t="str">
        <f>"H029"</f>
        <v>H029</v>
      </c>
      <c r="AK3053" t="s">
        <v>46</v>
      </c>
      <c r="AL3053" s="1">
        <v>44816.558113425926</v>
      </c>
      <c r="AM3053" t="s">
        <v>44</v>
      </c>
    </row>
    <row r="3054" spans="1:39" x14ac:dyDescent="0.2">
      <c r="A3054" t="s">
        <v>2925</v>
      </c>
      <c r="B3054" t="s">
        <v>40</v>
      </c>
      <c r="C3054" t="s">
        <v>2913</v>
      </c>
      <c r="D3054" t="s">
        <v>42</v>
      </c>
      <c r="E3054" t="s">
        <v>43</v>
      </c>
      <c r="F3054" t="s">
        <v>44</v>
      </c>
      <c r="G3054" t="s">
        <v>45</v>
      </c>
      <c r="AH3054" t="s">
        <v>42</v>
      </c>
      <c r="AI3054" t="str">
        <f>"66298902182002"</f>
        <v>66298902182002</v>
      </c>
      <c r="AJ3054" t="str">
        <f>"H027"</f>
        <v>H027</v>
      </c>
      <c r="AK3054" t="s">
        <v>46</v>
      </c>
      <c r="AL3054" s="1">
        <v>44816.558113425926</v>
      </c>
      <c r="AM3054" t="s">
        <v>44</v>
      </c>
    </row>
    <row r="3055" spans="1:39" x14ac:dyDescent="0.2">
      <c r="A3055" t="s">
        <v>2926</v>
      </c>
      <c r="B3055" t="s">
        <v>40</v>
      </c>
      <c r="C3055" t="s">
        <v>2913</v>
      </c>
      <c r="D3055" t="s">
        <v>42</v>
      </c>
      <c r="E3055" t="s">
        <v>43</v>
      </c>
      <c r="F3055" t="s">
        <v>44</v>
      </c>
      <c r="G3055" t="s">
        <v>45</v>
      </c>
      <c r="AH3055" t="s">
        <v>42</v>
      </c>
      <c r="AI3055" t="str">
        <f>"66298902240011"</f>
        <v>66298902240011</v>
      </c>
      <c r="AJ3055" t="str">
        <f>"H100"</f>
        <v>H100</v>
      </c>
      <c r="AK3055" t="s">
        <v>46</v>
      </c>
      <c r="AL3055" s="1">
        <v>44816.558125000003</v>
      </c>
      <c r="AM3055" t="s">
        <v>44</v>
      </c>
    </row>
    <row r="3056" spans="1:39" x14ac:dyDescent="0.2">
      <c r="A3056" t="s">
        <v>2926</v>
      </c>
      <c r="B3056" t="s">
        <v>40</v>
      </c>
      <c r="C3056" t="s">
        <v>2913</v>
      </c>
      <c r="D3056" t="s">
        <v>42</v>
      </c>
      <c r="E3056" t="s">
        <v>43</v>
      </c>
      <c r="F3056" t="s">
        <v>44</v>
      </c>
      <c r="G3056" t="s">
        <v>45</v>
      </c>
      <c r="AH3056" t="s">
        <v>42</v>
      </c>
      <c r="AI3056" t="str">
        <f>"66298902247503"</f>
        <v>66298902247503</v>
      </c>
      <c r="AJ3056" t="str">
        <f>"H099"</f>
        <v>H099</v>
      </c>
      <c r="AK3056" t="s">
        <v>46</v>
      </c>
      <c r="AL3056" s="1">
        <v>44816.558125000003</v>
      </c>
      <c r="AM3056" t="s">
        <v>44</v>
      </c>
    </row>
    <row r="3057" spans="1:39" x14ac:dyDescent="0.2">
      <c r="A3057" t="s">
        <v>2927</v>
      </c>
      <c r="B3057" t="s">
        <v>40</v>
      </c>
      <c r="C3057" t="s">
        <v>2913</v>
      </c>
      <c r="D3057" t="s">
        <v>42</v>
      </c>
      <c r="E3057" t="s">
        <v>43</v>
      </c>
      <c r="F3057" t="s">
        <v>44</v>
      </c>
      <c r="G3057" t="s">
        <v>45</v>
      </c>
      <c r="AH3057" t="s">
        <v>42</v>
      </c>
      <c r="AI3057" t="str">
        <f>"66298902307888"</f>
        <v>66298902307888</v>
      </c>
      <c r="AJ3057" t="str">
        <f>"H056"</f>
        <v>H056</v>
      </c>
      <c r="AK3057" t="s">
        <v>46</v>
      </c>
      <c r="AL3057" s="1">
        <v>44816.558136574073</v>
      </c>
      <c r="AM3057" t="s">
        <v>44</v>
      </c>
    </row>
    <row r="3058" spans="1:39" x14ac:dyDescent="0.2">
      <c r="A3058" t="s">
        <v>2928</v>
      </c>
      <c r="B3058" t="s">
        <v>40</v>
      </c>
      <c r="C3058" t="s">
        <v>2913</v>
      </c>
      <c r="D3058" t="s">
        <v>42</v>
      </c>
      <c r="E3058" t="s">
        <v>43</v>
      </c>
      <c r="F3058" t="s">
        <v>44</v>
      </c>
      <c r="G3058" t="s">
        <v>45</v>
      </c>
      <c r="AH3058" t="s">
        <v>42</v>
      </c>
      <c r="AI3058" t="str">
        <f>"66298902353997"</f>
        <v>66298902353997</v>
      </c>
      <c r="AJ3058" t="str">
        <f>"H161"</f>
        <v>H161</v>
      </c>
      <c r="AK3058" t="s">
        <v>46</v>
      </c>
      <c r="AL3058" s="1">
        <v>44816.558136574073</v>
      </c>
      <c r="AM3058" t="s">
        <v>44</v>
      </c>
    </row>
    <row r="3059" spans="1:39" x14ac:dyDescent="0.2">
      <c r="A3059" t="s">
        <v>2929</v>
      </c>
      <c r="B3059" t="s">
        <v>40</v>
      </c>
      <c r="C3059" t="s">
        <v>2913</v>
      </c>
      <c r="D3059" t="s">
        <v>42</v>
      </c>
      <c r="E3059" t="s">
        <v>43</v>
      </c>
      <c r="F3059" t="s">
        <v>44</v>
      </c>
      <c r="G3059" t="s">
        <v>45</v>
      </c>
      <c r="AH3059" t="s">
        <v>42</v>
      </c>
      <c r="AI3059" t="str">
        <f>"66298902394138"</f>
        <v>66298902394138</v>
      </c>
      <c r="AJ3059" t="str">
        <f>"H083"</f>
        <v>H083</v>
      </c>
      <c r="AK3059" t="s">
        <v>46</v>
      </c>
      <c r="AL3059" s="1">
        <v>44816.558136574073</v>
      </c>
      <c r="AM3059" t="s">
        <v>44</v>
      </c>
    </row>
    <row r="3060" spans="1:39" x14ac:dyDescent="0.2">
      <c r="A3060" t="s">
        <v>2930</v>
      </c>
      <c r="B3060" t="s">
        <v>40</v>
      </c>
      <c r="C3060" t="s">
        <v>2913</v>
      </c>
      <c r="D3060" t="s">
        <v>42</v>
      </c>
      <c r="E3060" t="s">
        <v>43</v>
      </c>
      <c r="F3060" t="s">
        <v>44</v>
      </c>
      <c r="G3060" t="s">
        <v>45</v>
      </c>
      <c r="AH3060" t="s">
        <v>42</v>
      </c>
      <c r="AI3060" t="str">
        <f>"66298902431574"</f>
        <v>66298902431574</v>
      </c>
      <c r="AJ3060" t="str">
        <f>"H084"</f>
        <v>H084</v>
      </c>
      <c r="AK3060" t="s">
        <v>46</v>
      </c>
      <c r="AL3060" s="1">
        <v>44816.558148148149</v>
      </c>
      <c r="AM3060" t="s">
        <v>44</v>
      </c>
    </row>
    <row r="3061" spans="1:39" x14ac:dyDescent="0.2">
      <c r="A3061" t="s">
        <v>2931</v>
      </c>
      <c r="B3061" t="s">
        <v>40</v>
      </c>
      <c r="C3061" t="s">
        <v>2913</v>
      </c>
      <c r="D3061" t="s">
        <v>42</v>
      </c>
      <c r="E3061" t="s">
        <v>43</v>
      </c>
      <c r="F3061" t="s">
        <v>44</v>
      </c>
      <c r="G3061" t="s">
        <v>45</v>
      </c>
      <c r="AH3061" t="s">
        <v>42</v>
      </c>
      <c r="AI3061" t="str">
        <f>"66298902473846"</f>
        <v>66298902473846</v>
      </c>
      <c r="AJ3061" t="str">
        <f>"H086"</f>
        <v>H086</v>
      </c>
      <c r="AK3061" t="s">
        <v>46</v>
      </c>
      <c r="AL3061" s="1">
        <v>44816.558148148149</v>
      </c>
      <c r="AM3061" t="s">
        <v>44</v>
      </c>
    </row>
    <row r="3062" spans="1:39" x14ac:dyDescent="0.2">
      <c r="A3062" t="s">
        <v>2932</v>
      </c>
      <c r="B3062" t="s">
        <v>40</v>
      </c>
      <c r="C3062" t="s">
        <v>2913</v>
      </c>
      <c r="D3062" t="s">
        <v>42</v>
      </c>
      <c r="E3062" t="s">
        <v>43</v>
      </c>
      <c r="F3062" t="s">
        <v>44</v>
      </c>
      <c r="G3062" t="s">
        <v>45</v>
      </c>
      <c r="AH3062" t="s">
        <v>42</v>
      </c>
      <c r="AI3062" t="str">
        <f>"66298902515957"</f>
        <v>66298902515957</v>
      </c>
      <c r="AJ3062" t="str">
        <f>"H087"</f>
        <v>H087</v>
      </c>
      <c r="AK3062" t="s">
        <v>46</v>
      </c>
      <c r="AL3062" s="1">
        <v>44816.558159722219</v>
      </c>
      <c r="AM3062" t="s">
        <v>44</v>
      </c>
    </row>
    <row r="3063" spans="1:39" x14ac:dyDescent="0.2">
      <c r="A3063" t="s">
        <v>2933</v>
      </c>
      <c r="B3063" t="s">
        <v>40</v>
      </c>
      <c r="C3063" t="s">
        <v>2913</v>
      </c>
      <c r="D3063" t="s">
        <v>42</v>
      </c>
      <c r="E3063" t="s">
        <v>43</v>
      </c>
      <c r="F3063" t="s">
        <v>44</v>
      </c>
      <c r="G3063" t="s">
        <v>45</v>
      </c>
      <c r="AH3063" t="s">
        <v>42</v>
      </c>
      <c r="AI3063" t="str">
        <f>"66298902555881"</f>
        <v>66298902555881</v>
      </c>
      <c r="AJ3063" t="str">
        <f>"H082"</f>
        <v>H082</v>
      </c>
      <c r="AK3063" t="s">
        <v>46</v>
      </c>
      <c r="AL3063" s="1">
        <v>44816.558159722219</v>
      </c>
      <c r="AM3063" t="s">
        <v>44</v>
      </c>
    </row>
    <row r="3064" spans="1:39" x14ac:dyDescent="0.2">
      <c r="A3064" t="s">
        <v>2934</v>
      </c>
      <c r="B3064" t="s">
        <v>40</v>
      </c>
      <c r="C3064" t="s">
        <v>2913</v>
      </c>
      <c r="D3064" t="s">
        <v>42</v>
      </c>
      <c r="E3064" t="s">
        <v>43</v>
      </c>
      <c r="F3064" t="s">
        <v>44</v>
      </c>
      <c r="G3064" t="s">
        <v>45</v>
      </c>
      <c r="AH3064" t="s">
        <v>42</v>
      </c>
      <c r="AI3064" t="str">
        <f>"66298902599911"</f>
        <v>66298902599911</v>
      </c>
      <c r="AJ3064" t="str">
        <f>"H076"</f>
        <v>H076</v>
      </c>
      <c r="AK3064" t="s">
        <v>46</v>
      </c>
      <c r="AL3064" s="1">
        <v>44816.558171296296</v>
      </c>
      <c r="AM3064" t="s">
        <v>44</v>
      </c>
    </row>
    <row r="3065" spans="1:39" x14ac:dyDescent="0.2">
      <c r="A3065" t="s">
        <v>2935</v>
      </c>
      <c r="B3065" t="s">
        <v>40</v>
      </c>
      <c r="C3065" t="s">
        <v>50</v>
      </c>
      <c r="D3065" t="s">
        <v>42</v>
      </c>
      <c r="E3065" t="s">
        <v>43</v>
      </c>
      <c r="F3065" t="s">
        <v>44</v>
      </c>
      <c r="G3065" t="s">
        <v>45</v>
      </c>
      <c r="AH3065" t="s">
        <v>42</v>
      </c>
      <c r="AI3065" t="str">
        <f>"66298902647192"</f>
        <v>66298902647192</v>
      </c>
      <c r="AJ3065" t="str">
        <f>"R058"</f>
        <v>R058</v>
      </c>
      <c r="AK3065" t="s">
        <v>46</v>
      </c>
      <c r="AL3065" s="1">
        <v>44816.558171296296</v>
      </c>
      <c r="AM3065" t="s">
        <v>44</v>
      </c>
    </row>
    <row r="3066" spans="1:39" x14ac:dyDescent="0.2">
      <c r="A3066" t="s">
        <v>2936</v>
      </c>
      <c r="B3066" t="s">
        <v>40</v>
      </c>
      <c r="C3066" t="s">
        <v>41</v>
      </c>
      <c r="D3066" t="s">
        <v>42</v>
      </c>
      <c r="E3066" t="s">
        <v>43</v>
      </c>
      <c r="F3066" t="s">
        <v>44</v>
      </c>
      <c r="G3066" t="s">
        <v>45</v>
      </c>
      <c r="AH3066" t="s">
        <v>42</v>
      </c>
      <c r="AI3066" t="str">
        <f>"15AFE5"</f>
        <v>15AFE5</v>
      </c>
      <c r="AJ3066" t="str">
        <f>"15AFE5"</f>
        <v>15AFE5</v>
      </c>
      <c r="AK3066" t="s">
        <v>46</v>
      </c>
      <c r="AL3066" s="1">
        <v>44816.558171296296</v>
      </c>
      <c r="AM3066" t="s">
        <v>44</v>
      </c>
    </row>
    <row r="3067" spans="1:39" x14ac:dyDescent="0.2">
      <c r="A3067" t="s">
        <v>2937</v>
      </c>
      <c r="B3067" t="s">
        <v>40</v>
      </c>
      <c r="C3067" t="s">
        <v>41</v>
      </c>
      <c r="D3067" t="s">
        <v>42</v>
      </c>
      <c r="E3067" t="s">
        <v>43</v>
      </c>
      <c r="F3067" t="s">
        <v>44</v>
      </c>
      <c r="G3067" t="s">
        <v>45</v>
      </c>
      <c r="H3067" t="s">
        <v>1114</v>
      </c>
      <c r="AH3067" t="s">
        <v>42</v>
      </c>
      <c r="AI3067" t="str">
        <f>"800644"</f>
        <v>800644</v>
      </c>
      <c r="AJ3067" t="str">
        <f>"800644"</f>
        <v>800644</v>
      </c>
      <c r="AK3067" t="s">
        <v>46</v>
      </c>
      <c r="AL3067" s="1">
        <v>45093.615057870367</v>
      </c>
      <c r="AM3067" t="s">
        <v>44</v>
      </c>
    </row>
    <row r="3068" spans="1:39" x14ac:dyDescent="0.2">
      <c r="A3068" t="s">
        <v>2937</v>
      </c>
      <c r="B3068" t="s">
        <v>40</v>
      </c>
      <c r="C3068" t="s">
        <v>41</v>
      </c>
      <c r="D3068" t="s">
        <v>42</v>
      </c>
      <c r="E3068" t="s">
        <v>43</v>
      </c>
      <c r="F3068" t="s">
        <v>44</v>
      </c>
      <c r="G3068" t="s">
        <v>45</v>
      </c>
      <c r="H3068" t="s">
        <v>2370</v>
      </c>
      <c r="AH3068" t="s">
        <v>42</v>
      </c>
      <c r="AI3068" t="str">
        <f>"800645"</f>
        <v>800645</v>
      </c>
      <c r="AJ3068" t="str">
        <f>"800645"</f>
        <v>800645</v>
      </c>
      <c r="AK3068" t="s">
        <v>46</v>
      </c>
      <c r="AL3068" s="1">
        <v>45093.615289351852</v>
      </c>
      <c r="AM3068" t="s">
        <v>44</v>
      </c>
    </row>
    <row r="3069" spans="1:39" x14ac:dyDescent="0.2">
      <c r="A3069" t="s">
        <v>2937</v>
      </c>
      <c r="B3069" t="s">
        <v>40</v>
      </c>
      <c r="C3069" t="s">
        <v>41</v>
      </c>
      <c r="D3069" t="s">
        <v>42</v>
      </c>
      <c r="E3069" t="s">
        <v>43</v>
      </c>
      <c r="F3069" t="s">
        <v>44</v>
      </c>
      <c r="G3069" t="s">
        <v>45</v>
      </c>
      <c r="H3069" t="s">
        <v>1123</v>
      </c>
      <c r="AH3069" t="s">
        <v>42</v>
      </c>
      <c r="AI3069" t="str">
        <f>"800643"</f>
        <v>800643</v>
      </c>
      <c r="AJ3069" t="str">
        <f>"800643"</f>
        <v>800643</v>
      </c>
      <c r="AK3069" t="s">
        <v>46</v>
      </c>
      <c r="AL3069" s="1">
        <v>45093.61550925926</v>
      </c>
      <c r="AM3069" t="s">
        <v>44</v>
      </c>
    </row>
    <row r="3070" spans="1:39" x14ac:dyDescent="0.2">
      <c r="A3070" t="s">
        <v>2938</v>
      </c>
      <c r="B3070" t="s">
        <v>40</v>
      </c>
      <c r="C3070" t="s">
        <v>41</v>
      </c>
      <c r="D3070" t="s">
        <v>42</v>
      </c>
      <c r="E3070" t="s">
        <v>43</v>
      </c>
      <c r="F3070" t="s">
        <v>44</v>
      </c>
      <c r="G3070" t="s">
        <v>45</v>
      </c>
      <c r="AH3070" t="s">
        <v>42</v>
      </c>
      <c r="AI3070" t="str">
        <f>"66298902734887"</f>
        <v>66298902734887</v>
      </c>
      <c r="AJ3070" t="str">
        <f>"1591"</f>
        <v>1591</v>
      </c>
      <c r="AK3070" t="s">
        <v>46</v>
      </c>
      <c r="AL3070" s="1">
        <v>44816.558182870373</v>
      </c>
      <c r="AM3070" t="s">
        <v>44</v>
      </c>
    </row>
    <row r="3071" spans="1:39" x14ac:dyDescent="0.2">
      <c r="A3071" t="s">
        <v>2939</v>
      </c>
      <c r="B3071" t="s">
        <v>40</v>
      </c>
      <c r="C3071" t="s">
        <v>41</v>
      </c>
      <c r="D3071" t="s">
        <v>42</v>
      </c>
      <c r="E3071" t="s">
        <v>43</v>
      </c>
      <c r="F3071" t="s">
        <v>44</v>
      </c>
      <c r="G3071" t="s">
        <v>45</v>
      </c>
      <c r="AH3071" t="s">
        <v>42</v>
      </c>
      <c r="AI3071" t="str">
        <f>"66298902771948"</f>
        <v>66298902771948</v>
      </c>
      <c r="AJ3071" t="str">
        <f>"1592"</f>
        <v>1592</v>
      </c>
      <c r="AK3071" t="s">
        <v>46</v>
      </c>
      <c r="AL3071" s="1">
        <v>44816.558182870373</v>
      </c>
      <c r="AM3071" t="s">
        <v>44</v>
      </c>
    </row>
    <row r="3072" spans="1:39" x14ac:dyDescent="0.2">
      <c r="A3072" t="s">
        <v>2940</v>
      </c>
      <c r="B3072" t="s">
        <v>40</v>
      </c>
      <c r="C3072" t="s">
        <v>41</v>
      </c>
      <c r="D3072" t="s">
        <v>42</v>
      </c>
      <c r="E3072" t="s">
        <v>43</v>
      </c>
      <c r="F3072" t="s">
        <v>44</v>
      </c>
      <c r="G3072" t="s">
        <v>45</v>
      </c>
      <c r="AH3072" t="s">
        <v>42</v>
      </c>
      <c r="AI3072" t="str">
        <f>"RPP9004BPB"</f>
        <v>RPP9004BPB</v>
      </c>
      <c r="AJ3072" t="str">
        <f>"RPP9004BPB"</f>
        <v>RPP9004BPB</v>
      </c>
      <c r="AK3072" t="s">
        <v>46</v>
      </c>
      <c r="AL3072" s="1">
        <v>44929.778483796297</v>
      </c>
      <c r="AM3072" t="s">
        <v>44</v>
      </c>
    </row>
    <row r="3073" spans="1:39" x14ac:dyDescent="0.2">
      <c r="A3073" t="s">
        <v>2941</v>
      </c>
      <c r="B3073" t="s">
        <v>40</v>
      </c>
      <c r="C3073" t="s">
        <v>41</v>
      </c>
      <c r="D3073" t="s">
        <v>42</v>
      </c>
      <c r="E3073" t="s">
        <v>43</v>
      </c>
      <c r="F3073" t="s">
        <v>44</v>
      </c>
      <c r="G3073" t="s">
        <v>45</v>
      </c>
      <c r="AH3073" t="s">
        <v>42</v>
      </c>
      <c r="AI3073" t="str">
        <f>"66298902852569"</f>
        <v>66298902852569</v>
      </c>
      <c r="AJ3073" t="str">
        <f>"715W98"</f>
        <v>715W98</v>
      </c>
      <c r="AK3073" t="s">
        <v>46</v>
      </c>
      <c r="AL3073" s="1">
        <v>44816.558194444442</v>
      </c>
      <c r="AM3073" t="s">
        <v>44</v>
      </c>
    </row>
    <row r="3074" spans="1:39" x14ac:dyDescent="0.2">
      <c r="A3074" t="s">
        <v>2942</v>
      </c>
      <c r="B3074" t="s">
        <v>40</v>
      </c>
      <c r="C3074" t="s">
        <v>41</v>
      </c>
      <c r="D3074" t="s">
        <v>42</v>
      </c>
      <c r="E3074" t="s">
        <v>43</v>
      </c>
      <c r="F3074" t="s">
        <v>44</v>
      </c>
      <c r="G3074" t="s">
        <v>45</v>
      </c>
      <c r="AH3074" t="s">
        <v>42</v>
      </c>
      <c r="AI3074" t="str">
        <f>"10949"</f>
        <v>10949</v>
      </c>
      <c r="AJ3074" t="str">
        <f>"10949"</f>
        <v>10949</v>
      </c>
      <c r="AK3074" t="s">
        <v>46</v>
      </c>
      <c r="AL3074" s="1">
        <v>44816.558194444442</v>
      </c>
      <c r="AM3074" t="s">
        <v>44</v>
      </c>
    </row>
    <row r="3075" spans="1:39" x14ac:dyDescent="0.2">
      <c r="A3075" t="s">
        <v>2943</v>
      </c>
      <c r="B3075" t="s">
        <v>40</v>
      </c>
      <c r="C3075" t="s">
        <v>41</v>
      </c>
      <c r="D3075" t="s">
        <v>42</v>
      </c>
      <c r="E3075" t="s">
        <v>43</v>
      </c>
      <c r="F3075" t="s">
        <v>44</v>
      </c>
      <c r="G3075" t="s">
        <v>45</v>
      </c>
      <c r="AH3075" t="s">
        <v>42</v>
      </c>
      <c r="AI3075" t="str">
        <f>"12139"</f>
        <v>12139</v>
      </c>
      <c r="AJ3075" t="str">
        <f>"12139"</f>
        <v>12139</v>
      </c>
      <c r="AK3075" t="s">
        <v>46</v>
      </c>
      <c r="AL3075" s="1">
        <v>45054.787662037037</v>
      </c>
      <c r="AM3075" t="s">
        <v>44</v>
      </c>
    </row>
    <row r="3076" spans="1:39" x14ac:dyDescent="0.2">
      <c r="A3076" t="s">
        <v>2944</v>
      </c>
      <c r="B3076" t="s">
        <v>40</v>
      </c>
      <c r="C3076" t="s">
        <v>41</v>
      </c>
      <c r="D3076" t="s">
        <v>42</v>
      </c>
      <c r="E3076" t="s">
        <v>43</v>
      </c>
      <c r="F3076" t="s">
        <v>44</v>
      </c>
      <c r="G3076" t="s">
        <v>45</v>
      </c>
      <c r="AH3076" t="s">
        <v>42</v>
      </c>
      <c r="AI3076" t="str">
        <f>"11631"</f>
        <v>11631</v>
      </c>
      <c r="AJ3076" t="str">
        <f>"11631"</f>
        <v>11631</v>
      </c>
      <c r="AK3076" t="s">
        <v>46</v>
      </c>
      <c r="AL3076" s="1">
        <v>44950.671493055554</v>
      </c>
      <c r="AM3076" t="s">
        <v>44</v>
      </c>
    </row>
    <row r="3077" spans="1:39" x14ac:dyDescent="0.2">
      <c r="A3077" t="s">
        <v>2945</v>
      </c>
      <c r="B3077" t="s">
        <v>40</v>
      </c>
      <c r="C3077" t="s">
        <v>41</v>
      </c>
      <c r="D3077" t="s">
        <v>42</v>
      </c>
      <c r="E3077" t="s">
        <v>43</v>
      </c>
      <c r="F3077" t="s">
        <v>44</v>
      </c>
      <c r="G3077" t="s">
        <v>45</v>
      </c>
      <c r="AH3077" t="s">
        <v>42</v>
      </c>
      <c r="AI3077" t="str">
        <f>"6010229"</f>
        <v>6010229</v>
      </c>
      <c r="AJ3077" t="str">
        <f>"6010229"</f>
        <v>6010229</v>
      </c>
      <c r="AK3077" t="s">
        <v>46</v>
      </c>
      <c r="AL3077" s="1">
        <v>45140.735555555555</v>
      </c>
      <c r="AM3077" t="s">
        <v>44</v>
      </c>
    </row>
    <row r="3078" spans="1:39" x14ac:dyDescent="0.2">
      <c r="A3078" t="s">
        <v>2946</v>
      </c>
      <c r="B3078" t="s">
        <v>40</v>
      </c>
      <c r="C3078" t="s">
        <v>41</v>
      </c>
      <c r="D3078" t="s">
        <v>42</v>
      </c>
      <c r="E3078" t="s">
        <v>43</v>
      </c>
      <c r="F3078" t="s">
        <v>44</v>
      </c>
      <c r="G3078" t="s">
        <v>45</v>
      </c>
      <c r="AH3078" t="s">
        <v>42</v>
      </c>
      <c r="AI3078" t="str">
        <f>"66298902946003"</f>
        <v>66298902946003</v>
      </c>
      <c r="AJ3078" t="str">
        <f>"102982"</f>
        <v>102982</v>
      </c>
      <c r="AK3078" t="s">
        <v>46</v>
      </c>
      <c r="AL3078" s="1">
        <v>44816.558206018519</v>
      </c>
      <c r="AM3078" t="s">
        <v>44</v>
      </c>
    </row>
    <row r="3079" spans="1:39" x14ac:dyDescent="0.2">
      <c r="A3079" t="s">
        <v>2946</v>
      </c>
      <c r="B3079" t="s">
        <v>40</v>
      </c>
      <c r="C3079" t="s">
        <v>41</v>
      </c>
      <c r="D3079" t="s">
        <v>42</v>
      </c>
      <c r="E3079" t="s">
        <v>43</v>
      </c>
      <c r="F3079" t="s">
        <v>44</v>
      </c>
      <c r="G3079" t="s">
        <v>45</v>
      </c>
      <c r="AH3079" t="s">
        <v>42</v>
      </c>
      <c r="AI3079" t="str">
        <f>"66298902963002"</f>
        <v>66298902963002</v>
      </c>
      <c r="AJ3079" t="str">
        <f>"6010148"</f>
        <v>6010148</v>
      </c>
      <c r="AK3079" t="s">
        <v>46</v>
      </c>
      <c r="AL3079" s="1">
        <v>44816.558206018519</v>
      </c>
      <c r="AM3079" t="s">
        <v>44</v>
      </c>
    </row>
    <row r="3080" spans="1:39" x14ac:dyDescent="0.2">
      <c r="A3080" t="s">
        <v>2947</v>
      </c>
      <c r="B3080" t="s">
        <v>40</v>
      </c>
      <c r="C3080" t="s">
        <v>41</v>
      </c>
      <c r="D3080" t="s">
        <v>42</v>
      </c>
      <c r="E3080" t="s">
        <v>43</v>
      </c>
      <c r="F3080" t="s">
        <v>44</v>
      </c>
      <c r="G3080" t="s">
        <v>45</v>
      </c>
      <c r="AH3080" t="s">
        <v>42</v>
      </c>
      <c r="AI3080" t="str">
        <f>"6010149"</f>
        <v>6010149</v>
      </c>
      <c r="AJ3080" t="str">
        <f>"6010149"</f>
        <v>6010149</v>
      </c>
      <c r="AK3080" t="s">
        <v>46</v>
      </c>
      <c r="AL3080" s="1">
        <v>44816.558217592596</v>
      </c>
      <c r="AM3080" t="s">
        <v>44</v>
      </c>
    </row>
    <row r="3081" spans="1:39" x14ac:dyDescent="0.2">
      <c r="A3081" t="s">
        <v>2948</v>
      </c>
      <c r="B3081" t="s">
        <v>40</v>
      </c>
      <c r="C3081" t="s">
        <v>129</v>
      </c>
      <c r="D3081" t="s">
        <v>42</v>
      </c>
      <c r="E3081" t="s">
        <v>43</v>
      </c>
      <c r="F3081" t="s">
        <v>44</v>
      </c>
      <c r="G3081" t="s">
        <v>45</v>
      </c>
      <c r="AH3081" t="s">
        <v>42</v>
      </c>
      <c r="AI3081" t="str">
        <f>"123617"</f>
        <v>123617</v>
      </c>
      <c r="AJ3081" t="str">
        <f>"123617"</f>
        <v>123617</v>
      </c>
      <c r="AK3081" t="s">
        <v>46</v>
      </c>
      <c r="AL3081" s="1">
        <v>44995.595011574071</v>
      </c>
      <c r="AM3081" t="s">
        <v>44</v>
      </c>
    </row>
    <row r="3082" spans="1:39" x14ac:dyDescent="0.2">
      <c r="A3082" t="s">
        <v>2949</v>
      </c>
      <c r="B3082" t="s">
        <v>40</v>
      </c>
      <c r="C3082" t="s">
        <v>1677</v>
      </c>
      <c r="D3082" t="s">
        <v>42</v>
      </c>
      <c r="E3082" t="s">
        <v>43</v>
      </c>
      <c r="F3082" t="s">
        <v>44</v>
      </c>
      <c r="G3082" t="s">
        <v>45</v>
      </c>
      <c r="H3082" t="s">
        <v>2950</v>
      </c>
      <c r="AH3082" t="s">
        <v>42</v>
      </c>
      <c r="AI3082" t="str">
        <f>"IM-352981"</f>
        <v>IM-352981</v>
      </c>
      <c r="AJ3082" t="str">
        <f>"IM-352981"</f>
        <v>IM-352981</v>
      </c>
      <c r="AK3082" t="s">
        <v>46</v>
      </c>
      <c r="AL3082" s="1">
        <v>45152.653240740743</v>
      </c>
      <c r="AM3082" t="s">
        <v>44</v>
      </c>
    </row>
    <row r="3083" spans="1:39" x14ac:dyDescent="0.2">
      <c r="A3083" t="s">
        <v>2951</v>
      </c>
      <c r="B3083" t="s">
        <v>40</v>
      </c>
      <c r="C3083" t="s">
        <v>41</v>
      </c>
      <c r="D3083" t="s">
        <v>42</v>
      </c>
      <c r="E3083" t="s">
        <v>43</v>
      </c>
      <c r="F3083" t="s">
        <v>235</v>
      </c>
      <c r="G3083" t="s">
        <v>45</v>
      </c>
      <c r="AH3083" t="s">
        <v>42</v>
      </c>
      <c r="AI3083" t="str">
        <f>"66298902808899"</f>
        <v>66298902808899</v>
      </c>
      <c r="AJ3083" t="str">
        <f>"74920"</f>
        <v>74920</v>
      </c>
      <c r="AK3083" t="s">
        <v>46</v>
      </c>
      <c r="AL3083" s="1">
        <v>44816.558194444442</v>
      </c>
      <c r="AM3083" t="s">
        <v>235</v>
      </c>
    </row>
    <row r="3084" spans="1:39" x14ac:dyDescent="0.2">
      <c r="A3084" t="s">
        <v>2952</v>
      </c>
      <c r="B3084" t="s">
        <v>40</v>
      </c>
      <c r="C3084" t="s">
        <v>50</v>
      </c>
      <c r="D3084" t="s">
        <v>42</v>
      </c>
      <c r="E3084" t="s">
        <v>43</v>
      </c>
      <c r="F3084" t="s">
        <v>44</v>
      </c>
      <c r="G3084" t="s">
        <v>45</v>
      </c>
      <c r="AH3084" t="s">
        <v>42</v>
      </c>
      <c r="AI3084" t="str">
        <f>"66298903060104"</f>
        <v>66298903060104</v>
      </c>
      <c r="AJ3084" t="str">
        <f>"Y298"</f>
        <v>Y298</v>
      </c>
      <c r="AK3084" t="s">
        <v>46</v>
      </c>
      <c r="AL3084" s="1">
        <v>44816.558217592596</v>
      </c>
      <c r="AM3084" t="s">
        <v>44</v>
      </c>
    </row>
    <row r="3085" spans="1:39" x14ac:dyDescent="0.2">
      <c r="A3085" t="s">
        <v>2953</v>
      </c>
      <c r="B3085" t="s">
        <v>40</v>
      </c>
      <c r="C3085" t="s">
        <v>50</v>
      </c>
      <c r="D3085" t="s">
        <v>42</v>
      </c>
      <c r="E3085" t="s">
        <v>43</v>
      </c>
      <c r="F3085" t="s">
        <v>44</v>
      </c>
      <c r="G3085" t="s">
        <v>45</v>
      </c>
      <c r="AH3085" t="s">
        <v>42</v>
      </c>
      <c r="AI3085" t="str">
        <f>"MALE-UNIV"</f>
        <v>MALE-UNIV</v>
      </c>
      <c r="AJ3085" t="str">
        <f>"MALE-UNIV"</f>
        <v>MALE-UNIV</v>
      </c>
      <c r="AK3085" t="s">
        <v>46</v>
      </c>
      <c r="AL3085" s="1">
        <v>45000.83425925926</v>
      </c>
      <c r="AM3085" t="s">
        <v>44</v>
      </c>
    </row>
    <row r="3086" spans="1:39" x14ac:dyDescent="0.2">
      <c r="A3086" t="s">
        <v>2954</v>
      </c>
      <c r="B3086" t="s">
        <v>40</v>
      </c>
      <c r="C3086" t="s">
        <v>50</v>
      </c>
      <c r="D3086" t="s">
        <v>42</v>
      </c>
      <c r="E3086" t="s">
        <v>43</v>
      </c>
      <c r="F3086" t="s">
        <v>44</v>
      </c>
      <c r="G3086" t="s">
        <v>45</v>
      </c>
      <c r="AH3086" t="s">
        <v>42</v>
      </c>
      <c r="AI3086" t="str">
        <f>"66298903101694"</f>
        <v>66298903101694</v>
      </c>
      <c r="AJ3086" t="str">
        <f>"1351XL"</f>
        <v>1351XL</v>
      </c>
      <c r="AK3086" t="s">
        <v>46</v>
      </c>
      <c r="AL3086" s="1">
        <v>44816.558229166665</v>
      </c>
      <c r="AM3086" t="s">
        <v>44</v>
      </c>
    </row>
    <row r="3087" spans="1:39" x14ac:dyDescent="0.2">
      <c r="A3087" t="s">
        <v>2954</v>
      </c>
      <c r="B3087" t="s">
        <v>40</v>
      </c>
      <c r="C3087" t="s">
        <v>50</v>
      </c>
      <c r="D3087" t="s">
        <v>42</v>
      </c>
      <c r="E3087" t="s">
        <v>43</v>
      </c>
      <c r="F3087" t="s">
        <v>44</v>
      </c>
      <c r="G3087" t="s">
        <v>45</v>
      </c>
      <c r="AH3087" t="s">
        <v>42</v>
      </c>
      <c r="AI3087" t="str">
        <f>"66298903109622"</f>
        <v>66298903109622</v>
      </c>
      <c r="AJ3087" t="str">
        <f>"75XL"</f>
        <v>75XL</v>
      </c>
      <c r="AK3087" t="s">
        <v>46</v>
      </c>
      <c r="AL3087" s="1">
        <v>44816.558229166665</v>
      </c>
      <c r="AM3087" t="s">
        <v>44</v>
      </c>
    </row>
    <row r="3088" spans="1:39" x14ac:dyDescent="0.2">
      <c r="A3088" t="s">
        <v>2954</v>
      </c>
      <c r="B3088" t="s">
        <v>40</v>
      </c>
      <c r="C3088" t="s">
        <v>50</v>
      </c>
      <c r="D3088" t="s">
        <v>42</v>
      </c>
      <c r="E3088" t="s">
        <v>43</v>
      </c>
      <c r="F3088" t="s">
        <v>44</v>
      </c>
      <c r="G3088" t="s">
        <v>45</v>
      </c>
      <c r="AH3088" t="s">
        <v>42</v>
      </c>
      <c r="AI3088" t="str">
        <f>"0184"</f>
        <v>0184</v>
      </c>
      <c r="AJ3088" t="str">
        <f>"0184"</f>
        <v>0184</v>
      </c>
      <c r="AK3088" t="s">
        <v>46</v>
      </c>
      <c r="AL3088" s="1">
        <v>45070.887476851851</v>
      </c>
      <c r="AM3088" t="s">
        <v>44</v>
      </c>
    </row>
    <row r="3089" spans="1:39" x14ac:dyDescent="0.2">
      <c r="A3089" t="s">
        <v>2955</v>
      </c>
      <c r="B3089" t="s">
        <v>40</v>
      </c>
      <c r="C3089" t="s">
        <v>50</v>
      </c>
      <c r="D3089" t="s">
        <v>42</v>
      </c>
      <c r="E3089" t="s">
        <v>43</v>
      </c>
      <c r="F3089" t="s">
        <v>44</v>
      </c>
      <c r="G3089" t="s">
        <v>45</v>
      </c>
      <c r="AH3089" t="s">
        <v>43</v>
      </c>
      <c r="AI3089" t="str">
        <f>"66298903162996"</f>
        <v>66298903162996</v>
      </c>
      <c r="AJ3089" t="str">
        <f>"1351-2XL"</f>
        <v>1351-2XL</v>
      </c>
      <c r="AK3089" t="s">
        <v>46</v>
      </c>
      <c r="AL3089" s="1">
        <v>44816.558229166665</v>
      </c>
      <c r="AM3089" t="s">
        <v>44</v>
      </c>
    </row>
    <row r="3090" spans="1:39" x14ac:dyDescent="0.2">
      <c r="A3090" t="s">
        <v>2956</v>
      </c>
      <c r="B3090" t="s">
        <v>40</v>
      </c>
      <c r="C3090" t="s">
        <v>2957</v>
      </c>
      <c r="D3090" t="s">
        <v>42</v>
      </c>
      <c r="E3090" t="s">
        <v>43</v>
      </c>
      <c r="F3090" t="s">
        <v>44</v>
      </c>
      <c r="G3090" t="s">
        <v>45</v>
      </c>
      <c r="AH3090" t="s">
        <v>42</v>
      </c>
      <c r="AI3090" t="str">
        <f>"MG-5.0-SL"</f>
        <v>MG-5.0-SL</v>
      </c>
      <c r="AJ3090" t="str">
        <f>"MG-5.0-SL"</f>
        <v>MG-5.0-SL</v>
      </c>
      <c r="AK3090" t="s">
        <v>46</v>
      </c>
      <c r="AL3090" s="1">
        <v>45093.61645833333</v>
      </c>
      <c r="AM3090" t="s">
        <v>44</v>
      </c>
    </row>
    <row r="3091" spans="1:39" x14ac:dyDescent="0.2">
      <c r="A3091" t="s">
        <v>2956</v>
      </c>
      <c r="B3091" t="s">
        <v>40</v>
      </c>
      <c r="C3091" t="s">
        <v>2957</v>
      </c>
      <c r="D3091" t="s">
        <v>42</v>
      </c>
      <c r="E3091" t="s">
        <v>43</v>
      </c>
      <c r="F3091" t="s">
        <v>44</v>
      </c>
      <c r="G3091" t="s">
        <v>45</v>
      </c>
      <c r="AH3091" t="s">
        <v>42</v>
      </c>
      <c r="AI3091" t="str">
        <f>"BF005-1M"</f>
        <v>BF005-1M</v>
      </c>
      <c r="AJ3091" t="str">
        <f>"BF005-1M"</f>
        <v>BF005-1M</v>
      </c>
      <c r="AK3091" t="s">
        <v>46</v>
      </c>
      <c r="AL3091" s="1">
        <v>45171.698842592596</v>
      </c>
      <c r="AM3091" t="s">
        <v>44</v>
      </c>
    </row>
    <row r="3092" spans="1:39" x14ac:dyDescent="0.2">
      <c r="A3092" t="s">
        <v>2958</v>
      </c>
      <c r="B3092" t="s">
        <v>40</v>
      </c>
      <c r="C3092" t="s">
        <v>2959</v>
      </c>
      <c r="D3092" t="s">
        <v>42</v>
      </c>
      <c r="E3092" t="s">
        <v>43</v>
      </c>
      <c r="F3092" t="s">
        <v>44</v>
      </c>
      <c r="G3092" t="s">
        <v>45</v>
      </c>
      <c r="AH3092" t="s">
        <v>42</v>
      </c>
      <c r="AI3092" t="str">
        <f>"BF005"</f>
        <v>BF005</v>
      </c>
      <c r="AJ3092" t="str">
        <f>"BF005"</f>
        <v>BF005</v>
      </c>
      <c r="AK3092" t="s">
        <v>46</v>
      </c>
      <c r="AL3092" s="1">
        <v>44858.707962962966</v>
      </c>
      <c r="AM3092" t="s">
        <v>44</v>
      </c>
    </row>
    <row r="3093" spans="1:39" x14ac:dyDescent="0.2">
      <c r="A3093" t="s">
        <v>2960</v>
      </c>
      <c r="B3093" t="s">
        <v>40</v>
      </c>
      <c r="C3093" t="s">
        <v>2957</v>
      </c>
      <c r="D3093" t="s">
        <v>42</v>
      </c>
      <c r="E3093" t="s">
        <v>43</v>
      </c>
      <c r="F3093" t="s">
        <v>44</v>
      </c>
      <c r="G3093" t="s">
        <v>45</v>
      </c>
      <c r="AH3093" t="s">
        <v>42</v>
      </c>
      <c r="AI3093" t="str">
        <f>"BF005-50CM"</f>
        <v>BF005-50CM</v>
      </c>
      <c r="AJ3093" t="str">
        <f>"BF005-50CM"</f>
        <v>BF005-50CM</v>
      </c>
      <c r="AK3093" t="s">
        <v>46</v>
      </c>
      <c r="AL3093" s="1">
        <v>45171.699641203704</v>
      </c>
      <c r="AM3093" t="s">
        <v>44</v>
      </c>
    </row>
    <row r="3094" spans="1:39" x14ac:dyDescent="0.2">
      <c r="A3094" t="s">
        <v>2961</v>
      </c>
      <c r="B3094" t="s">
        <v>40</v>
      </c>
      <c r="C3094" t="s">
        <v>129</v>
      </c>
      <c r="D3094" t="s">
        <v>42</v>
      </c>
      <c r="E3094" t="s">
        <v>43</v>
      </c>
      <c r="F3094" t="s">
        <v>44</v>
      </c>
      <c r="G3094" t="s">
        <v>45</v>
      </c>
      <c r="AH3094" t="s">
        <v>42</v>
      </c>
      <c r="AI3094" t="str">
        <f>"66298903207899"</f>
        <v>66298903207899</v>
      </c>
      <c r="AJ3094" t="str">
        <f>"83956"</f>
        <v>83956</v>
      </c>
      <c r="AK3094" t="s">
        <v>46</v>
      </c>
      <c r="AL3094" s="1">
        <v>44816.558240740742</v>
      </c>
      <c r="AM3094" t="s">
        <v>44</v>
      </c>
    </row>
    <row r="3095" spans="1:39" x14ac:dyDescent="0.2">
      <c r="A3095" t="s">
        <v>2962</v>
      </c>
      <c r="B3095" t="s">
        <v>40</v>
      </c>
      <c r="C3095" t="s">
        <v>129</v>
      </c>
      <c r="D3095" t="s">
        <v>42</v>
      </c>
      <c r="E3095" t="s">
        <v>43</v>
      </c>
      <c r="F3095" t="s">
        <v>44</v>
      </c>
      <c r="G3095" t="s">
        <v>45</v>
      </c>
      <c r="AH3095" t="s">
        <v>42</v>
      </c>
      <c r="AI3095" t="str">
        <f>"66298903256130"</f>
        <v>66298903256130</v>
      </c>
      <c r="AJ3095" t="str">
        <f>"83824"</f>
        <v>83824</v>
      </c>
      <c r="AK3095" t="s">
        <v>46</v>
      </c>
      <c r="AL3095" s="1">
        <v>44816.558240740742</v>
      </c>
      <c r="AM3095" t="s">
        <v>44</v>
      </c>
    </row>
    <row r="3096" spans="1:39" x14ac:dyDescent="0.2">
      <c r="A3096" t="s">
        <v>2963</v>
      </c>
      <c r="B3096" t="s">
        <v>40</v>
      </c>
      <c r="C3096" t="s">
        <v>2964</v>
      </c>
      <c r="D3096" t="s">
        <v>42</v>
      </c>
      <c r="E3096" t="s">
        <v>43</v>
      </c>
      <c r="F3096" t="s">
        <v>44</v>
      </c>
      <c r="G3096" t="s">
        <v>45</v>
      </c>
      <c r="AH3096" t="s">
        <v>42</v>
      </c>
      <c r="AI3096" t="str">
        <f>"66298903301687"</f>
        <v>66298903301687</v>
      </c>
      <c r="AJ3096" t="str">
        <f>"401033"</f>
        <v>401033</v>
      </c>
      <c r="AK3096" t="s">
        <v>46</v>
      </c>
      <c r="AL3096" s="1">
        <v>44816.558252314811</v>
      </c>
      <c r="AM3096" t="s">
        <v>44</v>
      </c>
    </row>
    <row r="3097" spans="1:39" x14ac:dyDescent="0.2">
      <c r="A3097" t="s">
        <v>2965</v>
      </c>
      <c r="B3097" t="s">
        <v>40</v>
      </c>
      <c r="C3097" t="s">
        <v>2964</v>
      </c>
      <c r="D3097" t="s">
        <v>42</v>
      </c>
      <c r="E3097" t="s">
        <v>43</v>
      </c>
      <c r="F3097" t="s">
        <v>44</v>
      </c>
      <c r="G3097" t="s">
        <v>45</v>
      </c>
      <c r="AH3097" t="s">
        <v>42</v>
      </c>
      <c r="AI3097" t="str">
        <f>"66298903343009"</f>
        <v>66298903343009</v>
      </c>
      <c r="AJ3097" t="str">
        <f>"QC025"</f>
        <v>QC025</v>
      </c>
      <c r="AK3097" t="s">
        <v>46</v>
      </c>
      <c r="AL3097" s="1">
        <v>44816.558252314811</v>
      </c>
      <c r="AM3097" t="s">
        <v>44</v>
      </c>
    </row>
    <row r="3098" spans="1:39" x14ac:dyDescent="0.2">
      <c r="A3098" t="s">
        <v>2966</v>
      </c>
      <c r="B3098" t="s">
        <v>40</v>
      </c>
      <c r="C3098" t="s">
        <v>2964</v>
      </c>
      <c r="D3098" t="s">
        <v>42</v>
      </c>
      <c r="E3098" t="s">
        <v>43</v>
      </c>
      <c r="F3098" t="s">
        <v>44</v>
      </c>
      <c r="G3098" t="s">
        <v>45</v>
      </c>
      <c r="AH3098" t="s">
        <v>42</v>
      </c>
      <c r="AI3098" t="str">
        <f>"QC041"</f>
        <v>QC041</v>
      </c>
      <c r="AJ3098" t="str">
        <f>"QC041"</f>
        <v>QC041</v>
      </c>
      <c r="AK3098" t="s">
        <v>46</v>
      </c>
      <c r="AL3098" s="1">
        <v>45058.914849537039</v>
      </c>
      <c r="AM3098" t="s">
        <v>44</v>
      </c>
    </row>
    <row r="3099" spans="1:39" x14ac:dyDescent="0.2">
      <c r="A3099" t="s">
        <v>2967</v>
      </c>
      <c r="B3099" t="s">
        <v>40</v>
      </c>
      <c r="C3099" t="s">
        <v>2964</v>
      </c>
      <c r="D3099" t="s">
        <v>42</v>
      </c>
      <c r="E3099" t="s">
        <v>43</v>
      </c>
      <c r="F3099" t="s">
        <v>44</v>
      </c>
      <c r="G3099" t="s">
        <v>45</v>
      </c>
      <c r="AH3099" t="s">
        <v>42</v>
      </c>
      <c r="AI3099" t="str">
        <f>"66298903394200"</f>
        <v>66298903394200</v>
      </c>
      <c r="AJ3099" t="str">
        <f>"708-EMB-DOMINAR"</f>
        <v>708-EMB-DOMINAR</v>
      </c>
      <c r="AK3099" t="s">
        <v>46</v>
      </c>
      <c r="AL3099" s="1">
        <v>44816.558252314811</v>
      </c>
      <c r="AM3099" t="s">
        <v>44</v>
      </c>
    </row>
    <row r="3100" spans="1:39" x14ac:dyDescent="0.2">
      <c r="A3100" t="s">
        <v>2968</v>
      </c>
      <c r="B3100" t="s">
        <v>40</v>
      </c>
      <c r="C3100" t="s">
        <v>2964</v>
      </c>
      <c r="D3100" t="s">
        <v>42</v>
      </c>
      <c r="E3100" t="s">
        <v>43</v>
      </c>
      <c r="F3100" t="s">
        <v>44</v>
      </c>
      <c r="G3100" t="s">
        <v>45</v>
      </c>
      <c r="AH3100" t="s">
        <v>42</v>
      </c>
      <c r="AI3100" t="str">
        <f>"66298903438511"</f>
        <v>66298903438511</v>
      </c>
      <c r="AJ3100" t="str">
        <f>"LCS120SILVE"</f>
        <v>LCS120SILVE</v>
      </c>
      <c r="AK3100" t="s">
        <v>46</v>
      </c>
      <c r="AL3100" s="1">
        <v>44816.558263888888</v>
      </c>
      <c r="AM3100" t="s">
        <v>44</v>
      </c>
    </row>
    <row r="3101" spans="1:39" x14ac:dyDescent="0.2">
      <c r="A3101" t="s">
        <v>2969</v>
      </c>
      <c r="B3101" t="s">
        <v>40</v>
      </c>
      <c r="C3101" t="s">
        <v>2964</v>
      </c>
      <c r="D3101" t="s">
        <v>42</v>
      </c>
      <c r="E3101" t="s">
        <v>43</v>
      </c>
      <c r="F3101" t="s">
        <v>44</v>
      </c>
      <c r="G3101" t="s">
        <v>45</v>
      </c>
      <c r="AH3101" t="s">
        <v>42</v>
      </c>
      <c r="AI3101" t="str">
        <f>"66298903483697"</f>
        <v>66298903483697</v>
      </c>
      <c r="AJ3101" t="str">
        <f>"400458"</f>
        <v>400458</v>
      </c>
      <c r="AK3101" t="s">
        <v>46</v>
      </c>
      <c r="AL3101" s="1">
        <v>44816.558263888888</v>
      </c>
      <c r="AM3101" t="s">
        <v>44</v>
      </c>
    </row>
    <row r="3102" spans="1:39" x14ac:dyDescent="0.2">
      <c r="A3102" t="s">
        <v>2970</v>
      </c>
      <c r="B3102" t="s">
        <v>40</v>
      </c>
      <c r="C3102" t="s">
        <v>2964</v>
      </c>
      <c r="D3102" t="s">
        <v>42</v>
      </c>
      <c r="E3102" t="s">
        <v>43</v>
      </c>
      <c r="F3102" t="s">
        <v>44</v>
      </c>
      <c r="G3102" t="s">
        <v>45</v>
      </c>
      <c r="AH3102" t="s">
        <v>42</v>
      </c>
      <c r="AI3102" t="str">
        <f>"12344-EMBRAGUE"</f>
        <v>12344-EMBRAGUE</v>
      </c>
      <c r="AJ3102" t="str">
        <f>"12344-EMBRAGUE"</f>
        <v>12344-EMBRAGUE</v>
      </c>
      <c r="AK3102" t="s">
        <v>46</v>
      </c>
      <c r="AL3102" s="1">
        <v>45020.603495370371</v>
      </c>
      <c r="AM3102" t="s">
        <v>44</v>
      </c>
    </row>
    <row r="3103" spans="1:39" x14ac:dyDescent="0.2">
      <c r="A3103" t="s">
        <v>2971</v>
      </c>
      <c r="B3103" t="s">
        <v>40</v>
      </c>
      <c r="C3103" t="s">
        <v>2964</v>
      </c>
      <c r="D3103" t="s">
        <v>42</v>
      </c>
      <c r="E3103" t="s">
        <v>43</v>
      </c>
      <c r="F3103" t="s">
        <v>44</v>
      </c>
      <c r="G3103" t="s">
        <v>45</v>
      </c>
      <c r="AH3103" t="s">
        <v>42</v>
      </c>
      <c r="AI3103" t="str">
        <f>"66298903525941"</f>
        <v>66298903525941</v>
      </c>
      <c r="AJ3103" t="str">
        <f>"3HE839120000T"</f>
        <v>3HE839120000T</v>
      </c>
      <c r="AK3103" t="s">
        <v>46</v>
      </c>
      <c r="AL3103" s="1">
        <v>44816.558275462965</v>
      </c>
      <c r="AM3103" t="s">
        <v>44</v>
      </c>
    </row>
    <row r="3104" spans="1:39" x14ac:dyDescent="0.2">
      <c r="A3104" t="s">
        <v>2972</v>
      </c>
      <c r="B3104" t="s">
        <v>40</v>
      </c>
      <c r="C3104" t="s">
        <v>2964</v>
      </c>
      <c r="D3104" t="s">
        <v>42</v>
      </c>
      <c r="E3104" t="s">
        <v>43</v>
      </c>
      <c r="F3104" t="s">
        <v>44</v>
      </c>
      <c r="G3104" t="s">
        <v>45</v>
      </c>
      <c r="AH3104" t="s">
        <v>42</v>
      </c>
      <c r="AI3104" t="str">
        <f>"QC047"</f>
        <v>QC047</v>
      </c>
      <c r="AJ3104" t="str">
        <f>"QC047"</f>
        <v>QC047</v>
      </c>
      <c r="AK3104" t="s">
        <v>46</v>
      </c>
      <c r="AL3104" s="1">
        <v>45058.91547453704</v>
      </c>
      <c r="AM3104" t="s">
        <v>44</v>
      </c>
    </row>
    <row r="3105" spans="1:39" x14ac:dyDescent="0.2">
      <c r="A3105" t="s">
        <v>2973</v>
      </c>
      <c r="B3105" t="s">
        <v>40</v>
      </c>
      <c r="C3105" t="s">
        <v>2964</v>
      </c>
      <c r="D3105" t="s">
        <v>42</v>
      </c>
      <c r="E3105" t="s">
        <v>43</v>
      </c>
      <c r="F3105" t="s">
        <v>44</v>
      </c>
      <c r="G3105" t="s">
        <v>45</v>
      </c>
      <c r="AH3105" t="s">
        <v>42</v>
      </c>
      <c r="AI3105" t="str">
        <f>"66298903569126"</f>
        <v>66298903569126</v>
      </c>
      <c r="AJ3105" t="str">
        <f>"400459"</f>
        <v>400459</v>
      </c>
      <c r="AK3105" t="s">
        <v>46</v>
      </c>
      <c r="AL3105" s="1">
        <v>44816.558275462965</v>
      </c>
      <c r="AM3105" t="s">
        <v>44</v>
      </c>
    </row>
    <row r="3106" spans="1:39" x14ac:dyDescent="0.2">
      <c r="A3106" t="s">
        <v>2974</v>
      </c>
      <c r="B3106" t="s">
        <v>40</v>
      </c>
      <c r="C3106" t="s">
        <v>2964</v>
      </c>
      <c r="D3106" t="s">
        <v>42</v>
      </c>
      <c r="E3106" t="s">
        <v>43</v>
      </c>
      <c r="F3106" t="s">
        <v>44</v>
      </c>
      <c r="G3106" t="s">
        <v>45</v>
      </c>
      <c r="AH3106" t="s">
        <v>42</v>
      </c>
      <c r="AI3106" t="str">
        <f>"66298903606889"</f>
        <v>66298903606889</v>
      </c>
      <c r="AJ3106" t="str">
        <f>"LCK007BLK"</f>
        <v>LCK007BLK</v>
      </c>
      <c r="AK3106" t="s">
        <v>46</v>
      </c>
      <c r="AL3106" s="1">
        <v>44816.558287037034</v>
      </c>
      <c r="AM3106" t="s">
        <v>44</v>
      </c>
    </row>
    <row r="3107" spans="1:39" x14ac:dyDescent="0.2">
      <c r="A3107" t="s">
        <v>2975</v>
      </c>
      <c r="B3107" t="s">
        <v>40</v>
      </c>
      <c r="C3107" t="s">
        <v>2964</v>
      </c>
      <c r="D3107" t="s">
        <v>42</v>
      </c>
      <c r="E3107" t="s">
        <v>43</v>
      </c>
      <c r="F3107" t="s">
        <v>44</v>
      </c>
      <c r="G3107" t="s">
        <v>45</v>
      </c>
      <c r="AH3107" t="s">
        <v>42</v>
      </c>
      <c r="AI3107" t="str">
        <f>"66298903644718"</f>
        <v>66298903644718</v>
      </c>
      <c r="AJ3107" t="str">
        <f>"LCS011BLK"</f>
        <v>LCS011BLK</v>
      </c>
      <c r="AK3107" t="s">
        <v>46</v>
      </c>
      <c r="AL3107" s="1">
        <v>44816.558287037034</v>
      </c>
      <c r="AM3107" t="s">
        <v>44</v>
      </c>
    </row>
    <row r="3108" spans="1:39" x14ac:dyDescent="0.2">
      <c r="A3108" t="s">
        <v>2976</v>
      </c>
      <c r="B3108" t="s">
        <v>40</v>
      </c>
      <c r="C3108" t="s">
        <v>2964</v>
      </c>
      <c r="D3108" t="s">
        <v>42</v>
      </c>
      <c r="E3108" t="s">
        <v>43</v>
      </c>
      <c r="F3108" t="s">
        <v>44</v>
      </c>
      <c r="G3108" t="s">
        <v>45</v>
      </c>
      <c r="AH3108" t="s">
        <v>42</v>
      </c>
      <c r="AI3108" t="str">
        <f>"66298903685437"</f>
        <v>66298903685437</v>
      </c>
      <c r="AJ3108" t="str">
        <f>"LCS043SILVE"</f>
        <v>LCS043SILVE</v>
      </c>
      <c r="AK3108" t="s">
        <v>46</v>
      </c>
      <c r="AL3108" s="1">
        <v>44816.558287037034</v>
      </c>
      <c r="AM3108" t="s">
        <v>44</v>
      </c>
    </row>
    <row r="3109" spans="1:39" x14ac:dyDescent="0.2">
      <c r="A3109" t="s">
        <v>2977</v>
      </c>
      <c r="B3109" t="s">
        <v>40</v>
      </c>
      <c r="C3109" t="s">
        <v>2964</v>
      </c>
      <c r="D3109" t="s">
        <v>42</v>
      </c>
      <c r="E3109" t="s">
        <v>43</v>
      </c>
      <c r="F3109" t="s">
        <v>44</v>
      </c>
      <c r="G3109" t="s">
        <v>45</v>
      </c>
      <c r="AH3109" t="s">
        <v>42</v>
      </c>
      <c r="AI3109" t="str">
        <f>"57621H2A200H000"</f>
        <v>57621H2A200H000</v>
      </c>
      <c r="AJ3109" t="str">
        <f>"57621H2A200H000"</f>
        <v>57621H2A200H000</v>
      </c>
      <c r="AK3109" t="s">
        <v>46</v>
      </c>
      <c r="AL3109" s="1">
        <v>44875.763449074075</v>
      </c>
      <c r="AM3109" t="s">
        <v>44</v>
      </c>
    </row>
    <row r="3110" spans="1:39" x14ac:dyDescent="0.2">
      <c r="A3110" t="s">
        <v>2978</v>
      </c>
      <c r="B3110" t="s">
        <v>40</v>
      </c>
      <c r="C3110" t="s">
        <v>2964</v>
      </c>
      <c r="D3110" t="s">
        <v>42</v>
      </c>
      <c r="E3110" t="s">
        <v>43</v>
      </c>
      <c r="F3110" t="s">
        <v>44</v>
      </c>
      <c r="G3110" t="s">
        <v>45</v>
      </c>
      <c r="AH3110" t="s">
        <v>42</v>
      </c>
      <c r="AI3110" t="str">
        <f>"66298903725700"</f>
        <v>66298903725700</v>
      </c>
      <c r="AJ3110" t="str">
        <f>"46092-0007"</f>
        <v>46092-0007</v>
      </c>
      <c r="AK3110" t="s">
        <v>46</v>
      </c>
      <c r="AL3110" s="1">
        <v>44816.558298611111</v>
      </c>
      <c r="AM3110" t="s">
        <v>44</v>
      </c>
    </row>
    <row r="3111" spans="1:39" x14ac:dyDescent="0.2">
      <c r="A3111" t="s">
        <v>2979</v>
      </c>
      <c r="B3111" t="s">
        <v>40</v>
      </c>
      <c r="C3111" t="s">
        <v>2964</v>
      </c>
      <c r="D3111" t="s">
        <v>42</v>
      </c>
      <c r="E3111" t="s">
        <v>43</v>
      </c>
      <c r="F3111" t="s">
        <v>44</v>
      </c>
      <c r="G3111" t="s">
        <v>45</v>
      </c>
      <c r="AH3111" t="s">
        <v>42</v>
      </c>
      <c r="AI3111" t="str">
        <f>"57621H2J000H000"</f>
        <v>57621H2J000H000</v>
      </c>
      <c r="AJ3111" t="str">
        <f>"57621H2J000H000"</f>
        <v>57621H2J000H000</v>
      </c>
      <c r="AK3111" t="s">
        <v>46</v>
      </c>
      <c r="AL3111" s="1">
        <v>44875.886759259258</v>
      </c>
      <c r="AM3111" t="s">
        <v>44</v>
      </c>
    </row>
    <row r="3112" spans="1:39" x14ac:dyDescent="0.2">
      <c r="A3112" t="s">
        <v>2980</v>
      </c>
      <c r="B3112" t="s">
        <v>40</v>
      </c>
      <c r="C3112" t="s">
        <v>2964</v>
      </c>
      <c r="D3112" t="s">
        <v>42</v>
      </c>
      <c r="E3112" t="s">
        <v>43</v>
      </c>
      <c r="F3112" t="s">
        <v>44</v>
      </c>
      <c r="G3112" t="s">
        <v>45</v>
      </c>
      <c r="AH3112" t="s">
        <v>42</v>
      </c>
      <c r="AI3112" t="str">
        <f>"DJ191083"</f>
        <v>DJ191083</v>
      </c>
      <c r="AJ3112" t="str">
        <f>"DJ191083"</f>
        <v>DJ191083</v>
      </c>
      <c r="AK3112" t="s">
        <v>46</v>
      </c>
      <c r="AL3112" s="1">
        <v>45114.807673611111</v>
      </c>
      <c r="AM3112" t="s">
        <v>44</v>
      </c>
    </row>
    <row r="3113" spans="1:39" x14ac:dyDescent="0.2">
      <c r="A3113" t="s">
        <v>2981</v>
      </c>
      <c r="B3113" t="s">
        <v>40</v>
      </c>
      <c r="C3113" t="s">
        <v>2964</v>
      </c>
      <c r="D3113" t="s">
        <v>42</v>
      </c>
      <c r="E3113" t="s">
        <v>43</v>
      </c>
      <c r="F3113" t="s">
        <v>44</v>
      </c>
      <c r="G3113" t="s">
        <v>45</v>
      </c>
      <c r="AH3113" t="s">
        <v>42</v>
      </c>
      <c r="AI3113" t="str">
        <f>"66298903764968"</f>
        <v>66298903764968</v>
      </c>
      <c r="AJ3113" t="str">
        <f>"82612"</f>
        <v>82612</v>
      </c>
      <c r="AK3113" t="s">
        <v>46</v>
      </c>
      <c r="AL3113" s="1">
        <v>44816.558298611111</v>
      </c>
      <c r="AM3113" t="s">
        <v>44</v>
      </c>
    </row>
    <row r="3114" spans="1:39" x14ac:dyDescent="0.2">
      <c r="A3114" t="s">
        <v>2982</v>
      </c>
      <c r="B3114" t="s">
        <v>40</v>
      </c>
      <c r="C3114" t="s">
        <v>2964</v>
      </c>
      <c r="D3114" t="s">
        <v>42</v>
      </c>
      <c r="E3114" t="s">
        <v>43</v>
      </c>
      <c r="F3114" t="s">
        <v>44</v>
      </c>
      <c r="G3114" t="s">
        <v>45</v>
      </c>
      <c r="AH3114" t="s">
        <v>42</v>
      </c>
      <c r="AI3114" t="str">
        <f>"66298903806013"</f>
        <v>66298903806013</v>
      </c>
      <c r="AJ3114" t="str">
        <f>"214-83912-00"</f>
        <v>214-83912-00</v>
      </c>
      <c r="AK3114" t="s">
        <v>46</v>
      </c>
      <c r="AL3114" s="1">
        <v>44816.558310185188</v>
      </c>
      <c r="AM3114" t="s">
        <v>44</v>
      </c>
    </row>
    <row r="3115" spans="1:39" x14ac:dyDescent="0.2">
      <c r="A3115" t="s">
        <v>2983</v>
      </c>
      <c r="B3115" t="s">
        <v>40</v>
      </c>
      <c r="C3115" t="s">
        <v>2964</v>
      </c>
      <c r="D3115" t="s">
        <v>42</v>
      </c>
      <c r="E3115" t="s">
        <v>43</v>
      </c>
      <c r="F3115" t="s">
        <v>44</v>
      </c>
      <c r="G3115" t="s">
        <v>45</v>
      </c>
      <c r="AH3115" t="s">
        <v>42</v>
      </c>
      <c r="AI3115" t="str">
        <f>"66298903851359"</f>
        <v>66298903851359</v>
      </c>
      <c r="AJ3115" t="str">
        <f>"400460"</f>
        <v>400460</v>
      </c>
      <c r="AK3115" t="s">
        <v>46</v>
      </c>
      <c r="AL3115" s="1">
        <v>44816.558310185188</v>
      </c>
      <c r="AM3115" t="s">
        <v>44</v>
      </c>
    </row>
    <row r="3116" spans="1:39" x14ac:dyDescent="0.2">
      <c r="A3116" t="s">
        <v>2984</v>
      </c>
      <c r="B3116" t="s">
        <v>40</v>
      </c>
      <c r="C3116" t="s">
        <v>2964</v>
      </c>
      <c r="D3116" t="s">
        <v>42</v>
      </c>
      <c r="E3116" t="s">
        <v>43</v>
      </c>
      <c r="F3116" t="s">
        <v>44</v>
      </c>
      <c r="G3116" t="s">
        <v>45</v>
      </c>
      <c r="AH3116" t="s">
        <v>42</v>
      </c>
      <c r="AI3116" t="str">
        <f>"66298903891696"</f>
        <v>66298903891696</v>
      </c>
      <c r="AJ3116" t="str">
        <f>"LCH040BLK"</f>
        <v>LCH040BLK</v>
      </c>
      <c r="AK3116" t="s">
        <v>46</v>
      </c>
      <c r="AL3116" s="1">
        <v>44816.558310185188</v>
      </c>
      <c r="AM3116" t="s">
        <v>44</v>
      </c>
    </row>
    <row r="3117" spans="1:39" x14ac:dyDescent="0.2">
      <c r="A3117" t="s">
        <v>2985</v>
      </c>
      <c r="B3117" t="s">
        <v>40</v>
      </c>
      <c r="C3117" t="s">
        <v>2964</v>
      </c>
      <c r="D3117" t="s">
        <v>42</v>
      </c>
      <c r="E3117" t="s">
        <v>43</v>
      </c>
      <c r="F3117" t="s">
        <v>44</v>
      </c>
      <c r="G3117" t="s">
        <v>45</v>
      </c>
      <c r="AH3117" t="s">
        <v>42</v>
      </c>
      <c r="AI3117" t="str">
        <f>"66298903932040"</f>
        <v>66298903932040</v>
      </c>
      <c r="AJ3117" t="str">
        <f>"53178-KE8-006"</f>
        <v>53178-KE8-006</v>
      </c>
      <c r="AK3117" t="s">
        <v>46</v>
      </c>
      <c r="AL3117" s="1">
        <v>44816.558321759258</v>
      </c>
      <c r="AM3117" t="s">
        <v>44</v>
      </c>
    </row>
    <row r="3118" spans="1:39" x14ac:dyDescent="0.2">
      <c r="A3118" t="s">
        <v>2986</v>
      </c>
      <c r="B3118" t="s">
        <v>40</v>
      </c>
      <c r="C3118" t="s">
        <v>2964</v>
      </c>
      <c r="D3118" t="s">
        <v>42</v>
      </c>
      <c r="E3118" t="s">
        <v>43</v>
      </c>
      <c r="F3118" t="s">
        <v>44</v>
      </c>
      <c r="G3118" t="s">
        <v>45</v>
      </c>
      <c r="AH3118" t="s">
        <v>42</v>
      </c>
      <c r="AI3118" t="str">
        <f>"66298903968112"</f>
        <v>66298903968112</v>
      </c>
      <c r="AJ3118" t="str">
        <f>"5TJ-83912-80"</f>
        <v>5TJ-83912-80</v>
      </c>
      <c r="AK3118" t="s">
        <v>46</v>
      </c>
      <c r="AL3118" s="1">
        <v>44816.558321759258</v>
      </c>
      <c r="AM3118" t="s">
        <v>44</v>
      </c>
    </row>
    <row r="3119" spans="1:39" x14ac:dyDescent="0.2">
      <c r="A3119" t="s">
        <v>2987</v>
      </c>
      <c r="B3119" t="s">
        <v>40</v>
      </c>
      <c r="C3119" t="s">
        <v>2964</v>
      </c>
      <c r="D3119" t="s">
        <v>42</v>
      </c>
      <c r="E3119" t="s">
        <v>43</v>
      </c>
      <c r="F3119" t="s">
        <v>44</v>
      </c>
      <c r="G3119" t="s">
        <v>45</v>
      </c>
      <c r="AH3119" t="s">
        <v>42</v>
      </c>
      <c r="AI3119" t="str">
        <f>"66298904014132"</f>
        <v>66298904014132</v>
      </c>
      <c r="AJ3119" t="str">
        <f>"53178-KBR-000"</f>
        <v>53178-KBR-000</v>
      </c>
      <c r="AK3119" t="s">
        <v>46</v>
      </c>
      <c r="AL3119" s="1">
        <v>44816.558333333334</v>
      </c>
      <c r="AM3119" t="s">
        <v>44</v>
      </c>
    </row>
    <row r="3120" spans="1:39" x14ac:dyDescent="0.2">
      <c r="A3120" t="s">
        <v>2988</v>
      </c>
      <c r="B3120" t="s">
        <v>40</v>
      </c>
      <c r="C3120" t="s">
        <v>2964</v>
      </c>
      <c r="D3120" t="s">
        <v>42</v>
      </c>
      <c r="E3120" t="s">
        <v>43</v>
      </c>
      <c r="F3120" t="s">
        <v>44</v>
      </c>
      <c r="G3120" t="s">
        <v>45</v>
      </c>
      <c r="AH3120" t="s">
        <v>42</v>
      </c>
      <c r="AI3120" t="str">
        <f>"66298904057732"</f>
        <v>66298904057732</v>
      </c>
      <c r="AJ3120" t="str">
        <f>"QC011"</f>
        <v>QC011</v>
      </c>
      <c r="AK3120" t="s">
        <v>46</v>
      </c>
      <c r="AL3120" s="1">
        <v>44816.558333333334</v>
      </c>
      <c r="AM3120" t="s">
        <v>44</v>
      </c>
    </row>
    <row r="3121" spans="1:39" x14ac:dyDescent="0.2">
      <c r="A3121" t="s">
        <v>2989</v>
      </c>
      <c r="B3121" t="s">
        <v>40</v>
      </c>
      <c r="C3121" t="s">
        <v>2964</v>
      </c>
      <c r="D3121" t="s">
        <v>42</v>
      </c>
      <c r="E3121" t="s">
        <v>43</v>
      </c>
      <c r="F3121" t="s">
        <v>44</v>
      </c>
      <c r="G3121" t="s">
        <v>45</v>
      </c>
      <c r="AH3121" t="s">
        <v>42</v>
      </c>
      <c r="AI3121" t="str">
        <f>"BR3083"</f>
        <v>BR3083</v>
      </c>
      <c r="AJ3121" t="str">
        <f>"BR3083"</f>
        <v>BR3083</v>
      </c>
      <c r="AK3121" t="s">
        <v>46</v>
      </c>
      <c r="AL3121" s="1">
        <v>45079.827881944446</v>
      </c>
      <c r="AM3121" t="s">
        <v>44</v>
      </c>
    </row>
    <row r="3122" spans="1:39" x14ac:dyDescent="0.2">
      <c r="A3122" t="s">
        <v>2990</v>
      </c>
      <c r="B3122" t="s">
        <v>40</v>
      </c>
      <c r="C3122" t="s">
        <v>2964</v>
      </c>
      <c r="D3122" t="s">
        <v>42</v>
      </c>
      <c r="E3122" t="s">
        <v>43</v>
      </c>
      <c r="F3122" t="s">
        <v>44</v>
      </c>
      <c r="G3122" t="s">
        <v>45</v>
      </c>
      <c r="AH3122" t="s">
        <v>42</v>
      </c>
      <c r="AI3122" t="str">
        <f>"66298904154567"</f>
        <v>66298904154567</v>
      </c>
      <c r="AJ3122" t="str">
        <f>"LCH117SILVE"</f>
        <v>LCH117SILVE</v>
      </c>
      <c r="AK3122" t="s">
        <v>46</v>
      </c>
      <c r="AL3122" s="1">
        <v>44816.558344907404</v>
      </c>
      <c r="AM3122" t="s">
        <v>44</v>
      </c>
    </row>
    <row r="3123" spans="1:39" x14ac:dyDescent="0.2">
      <c r="A3123" t="s">
        <v>2991</v>
      </c>
      <c r="B3123" t="s">
        <v>40</v>
      </c>
      <c r="C3123" t="s">
        <v>2964</v>
      </c>
      <c r="D3123" t="s">
        <v>42</v>
      </c>
      <c r="E3123" t="s">
        <v>43</v>
      </c>
      <c r="F3123" t="s">
        <v>44</v>
      </c>
      <c r="G3123" t="s">
        <v>45</v>
      </c>
      <c r="AH3123" t="s">
        <v>42</v>
      </c>
      <c r="AI3123" t="str">
        <f>"66298904222832"</f>
        <v>66298904222832</v>
      </c>
      <c r="AJ3123" t="str">
        <f>"400462"</f>
        <v>400462</v>
      </c>
      <c r="AK3123" t="s">
        <v>46</v>
      </c>
      <c r="AL3123" s="1">
        <v>44816.558356481481</v>
      </c>
      <c r="AM3123" t="s">
        <v>44</v>
      </c>
    </row>
    <row r="3124" spans="1:39" x14ac:dyDescent="0.2">
      <c r="A3124" t="s">
        <v>2992</v>
      </c>
      <c r="B3124" t="s">
        <v>40</v>
      </c>
      <c r="C3124" t="s">
        <v>2964</v>
      </c>
      <c r="D3124" t="s">
        <v>42</v>
      </c>
      <c r="E3124" t="s">
        <v>43</v>
      </c>
      <c r="F3124" t="s">
        <v>44</v>
      </c>
      <c r="G3124" t="s">
        <v>45</v>
      </c>
      <c r="AH3124" t="s">
        <v>42</v>
      </c>
      <c r="AI3124" t="str">
        <f>"66298904102005"</f>
        <v>66298904102005</v>
      </c>
      <c r="AJ3124" t="str">
        <f>"400461"</f>
        <v>400461</v>
      </c>
      <c r="AK3124" t="s">
        <v>46</v>
      </c>
      <c r="AL3124" s="1">
        <v>44816.558344907404</v>
      </c>
      <c r="AM3124" t="s">
        <v>44</v>
      </c>
    </row>
    <row r="3125" spans="1:39" x14ac:dyDescent="0.2">
      <c r="A3125" t="s">
        <v>2993</v>
      </c>
      <c r="B3125" t="s">
        <v>40</v>
      </c>
      <c r="C3125" t="s">
        <v>2964</v>
      </c>
      <c r="D3125" t="s">
        <v>42</v>
      </c>
      <c r="E3125" t="s">
        <v>43</v>
      </c>
      <c r="F3125" t="s">
        <v>44</v>
      </c>
      <c r="G3125" t="s">
        <v>45</v>
      </c>
      <c r="AH3125" t="s">
        <v>42</v>
      </c>
      <c r="AI3125" t="str">
        <f>"66298904263137"</f>
        <v>66298904263137</v>
      </c>
      <c r="AJ3125" t="str">
        <f>"LCY136SILVE"</f>
        <v>LCY136SILVE</v>
      </c>
      <c r="AK3125" t="s">
        <v>46</v>
      </c>
      <c r="AL3125" s="1">
        <v>44816.558356481481</v>
      </c>
      <c r="AM3125" t="s">
        <v>44</v>
      </c>
    </row>
    <row r="3126" spans="1:39" x14ac:dyDescent="0.2">
      <c r="A3126" t="s">
        <v>2994</v>
      </c>
      <c r="B3126" t="s">
        <v>40</v>
      </c>
      <c r="C3126" t="s">
        <v>2964</v>
      </c>
      <c r="D3126" t="s">
        <v>42</v>
      </c>
      <c r="E3126" t="s">
        <v>43</v>
      </c>
      <c r="F3126" t="s">
        <v>44</v>
      </c>
      <c r="G3126" t="s">
        <v>45</v>
      </c>
      <c r="AH3126" t="s">
        <v>42</v>
      </c>
      <c r="AI3126" t="str">
        <f>"49CC15"</f>
        <v>49CC15</v>
      </c>
      <c r="AJ3126" t="str">
        <f>"49CC15"</f>
        <v>49CC15</v>
      </c>
      <c r="AK3126" t="s">
        <v>46</v>
      </c>
      <c r="AL3126" s="1">
        <v>45093.618263888886</v>
      </c>
      <c r="AM3126" t="s">
        <v>44</v>
      </c>
    </row>
    <row r="3127" spans="1:39" x14ac:dyDescent="0.2">
      <c r="A3127" t="s">
        <v>2995</v>
      </c>
      <c r="B3127" t="s">
        <v>40</v>
      </c>
      <c r="C3127" t="s">
        <v>2964</v>
      </c>
      <c r="D3127" t="s">
        <v>42</v>
      </c>
      <c r="E3127" t="s">
        <v>43</v>
      </c>
      <c r="F3127" t="s">
        <v>44</v>
      </c>
      <c r="G3127" t="s">
        <v>45</v>
      </c>
      <c r="AH3127" t="s">
        <v>42</v>
      </c>
      <c r="AI3127" t="str">
        <f>"QC042"</f>
        <v>QC042</v>
      </c>
      <c r="AJ3127" t="str">
        <f>"QC042"</f>
        <v>QC042</v>
      </c>
      <c r="AK3127" t="s">
        <v>46</v>
      </c>
      <c r="AL3127" s="1">
        <v>45000.756319444445</v>
      </c>
      <c r="AM3127" t="s">
        <v>44</v>
      </c>
    </row>
    <row r="3128" spans="1:39" x14ac:dyDescent="0.2">
      <c r="A3128" t="s">
        <v>2996</v>
      </c>
      <c r="B3128" t="s">
        <v>40</v>
      </c>
      <c r="C3128" t="s">
        <v>2964</v>
      </c>
      <c r="D3128" t="s">
        <v>42</v>
      </c>
      <c r="E3128" t="s">
        <v>43</v>
      </c>
      <c r="F3128" t="s">
        <v>44</v>
      </c>
      <c r="G3128" t="s">
        <v>45</v>
      </c>
      <c r="AH3128" t="s">
        <v>42</v>
      </c>
      <c r="AI3128" t="str">
        <f>"66298904304453"</f>
        <v>66298904304453</v>
      </c>
      <c r="AJ3128" t="str">
        <f>"53175-198-900GH"</f>
        <v>53175-198-900GH</v>
      </c>
      <c r="AK3128" t="s">
        <v>46</v>
      </c>
      <c r="AL3128" s="1">
        <v>44816.558368055557</v>
      </c>
      <c r="AM3128" t="s">
        <v>44</v>
      </c>
    </row>
    <row r="3129" spans="1:39" x14ac:dyDescent="0.2">
      <c r="A3129" t="s">
        <v>2997</v>
      </c>
      <c r="B3129" t="s">
        <v>40</v>
      </c>
      <c r="C3129" t="s">
        <v>2964</v>
      </c>
      <c r="D3129" t="s">
        <v>42</v>
      </c>
      <c r="E3129" t="s">
        <v>43</v>
      </c>
      <c r="F3129" t="s">
        <v>44</v>
      </c>
      <c r="G3129" t="s">
        <v>45</v>
      </c>
      <c r="AH3129" t="s">
        <v>42</v>
      </c>
      <c r="AI3129" t="str">
        <f>"66298904351574"</f>
        <v>66298904351574</v>
      </c>
      <c r="AJ3129" t="str">
        <f>"0553"</f>
        <v>0553</v>
      </c>
      <c r="AK3129" t="s">
        <v>46</v>
      </c>
      <c r="AL3129" s="1">
        <v>44816.558368055557</v>
      </c>
      <c r="AM3129" t="s">
        <v>44</v>
      </c>
    </row>
    <row r="3130" spans="1:39" x14ac:dyDescent="0.2">
      <c r="A3130" t="s">
        <v>2998</v>
      </c>
      <c r="B3130" t="s">
        <v>40</v>
      </c>
      <c r="C3130" t="s">
        <v>2964</v>
      </c>
      <c r="D3130" t="s">
        <v>42</v>
      </c>
      <c r="E3130" t="s">
        <v>43</v>
      </c>
      <c r="F3130" t="s">
        <v>44</v>
      </c>
      <c r="G3130" t="s">
        <v>45</v>
      </c>
      <c r="AH3130" t="s">
        <v>42</v>
      </c>
      <c r="AI3130" t="str">
        <f>"66298904393088"</f>
        <v>66298904393088</v>
      </c>
      <c r="AJ3130" t="str">
        <f>"53175-ML3-790"</f>
        <v>53175-ML3-790</v>
      </c>
      <c r="AK3130" t="s">
        <v>46</v>
      </c>
      <c r="AL3130" s="1">
        <v>44816.558368055557</v>
      </c>
      <c r="AM3130" t="s">
        <v>44</v>
      </c>
    </row>
    <row r="3131" spans="1:39" x14ac:dyDescent="0.2">
      <c r="A3131" t="s">
        <v>2999</v>
      </c>
      <c r="B3131" t="s">
        <v>40</v>
      </c>
      <c r="C3131" t="s">
        <v>2964</v>
      </c>
      <c r="D3131" t="s">
        <v>42</v>
      </c>
      <c r="E3131" t="s">
        <v>43</v>
      </c>
      <c r="F3131" t="s">
        <v>44</v>
      </c>
      <c r="G3131" t="s">
        <v>45</v>
      </c>
      <c r="AH3131" t="s">
        <v>42</v>
      </c>
      <c r="AI3131" t="str">
        <f>"66298904434248"</f>
        <v>66298904434248</v>
      </c>
      <c r="AJ3131" t="str">
        <f>"LBH102SILVE"</f>
        <v>LBH102SILVE</v>
      </c>
      <c r="AK3131" t="s">
        <v>46</v>
      </c>
      <c r="AL3131" s="1">
        <v>44816.558379629627</v>
      </c>
      <c r="AM3131" t="s">
        <v>44</v>
      </c>
    </row>
    <row r="3132" spans="1:39" x14ac:dyDescent="0.2">
      <c r="A3132" t="s">
        <v>3000</v>
      </c>
      <c r="B3132" t="s">
        <v>40</v>
      </c>
      <c r="C3132" t="s">
        <v>2964</v>
      </c>
      <c r="D3132" t="s">
        <v>42</v>
      </c>
      <c r="E3132" t="s">
        <v>43</v>
      </c>
      <c r="F3132" t="s">
        <v>44</v>
      </c>
      <c r="G3132" t="s">
        <v>45</v>
      </c>
      <c r="AH3132" t="s">
        <v>42</v>
      </c>
      <c r="AI3132" t="str">
        <f>"66298904474239"</f>
        <v>66298904474239</v>
      </c>
      <c r="AJ3132" t="str">
        <f>"LBH117SILVE"</f>
        <v>LBH117SILVE</v>
      </c>
      <c r="AK3132" t="s">
        <v>46</v>
      </c>
      <c r="AL3132" s="1">
        <v>44816.558379629627</v>
      </c>
      <c r="AM3132" t="s">
        <v>44</v>
      </c>
    </row>
    <row r="3133" spans="1:39" x14ac:dyDescent="0.2">
      <c r="A3133" t="s">
        <v>3001</v>
      </c>
      <c r="B3133" t="s">
        <v>40</v>
      </c>
      <c r="C3133" t="s">
        <v>2964</v>
      </c>
      <c r="D3133" t="s">
        <v>42</v>
      </c>
      <c r="E3133" t="s">
        <v>43</v>
      </c>
      <c r="F3133" t="s">
        <v>44</v>
      </c>
      <c r="G3133" t="s">
        <v>45</v>
      </c>
      <c r="AH3133" t="s">
        <v>42</v>
      </c>
      <c r="AI3133" t="str">
        <f>"66298904514027"</f>
        <v>66298904514027</v>
      </c>
      <c r="AJ3133" t="str">
        <f>"MAN-ATV-DEL"</f>
        <v>MAN-ATV-DEL</v>
      </c>
      <c r="AK3133" t="s">
        <v>46</v>
      </c>
      <c r="AL3133" s="1">
        <v>44816.558391203704</v>
      </c>
      <c r="AM3133" t="s">
        <v>44</v>
      </c>
    </row>
    <row r="3134" spans="1:39" x14ac:dyDescent="0.2">
      <c r="A3134" t="s">
        <v>3002</v>
      </c>
      <c r="B3134" t="s">
        <v>40</v>
      </c>
      <c r="C3134" t="s">
        <v>2964</v>
      </c>
      <c r="D3134" t="s">
        <v>42</v>
      </c>
      <c r="E3134" t="s">
        <v>43</v>
      </c>
      <c r="F3134" t="s">
        <v>44</v>
      </c>
      <c r="G3134" t="s">
        <v>45</v>
      </c>
      <c r="AH3134" t="s">
        <v>42</v>
      </c>
      <c r="AI3134" t="str">
        <f>"66298904553788"</f>
        <v>66298904553788</v>
      </c>
      <c r="AJ3134" t="str">
        <f>"57421-29C00-000"</f>
        <v>57421-29C00-000</v>
      </c>
      <c r="AK3134" t="s">
        <v>46</v>
      </c>
      <c r="AL3134" s="1">
        <v>44816.558391203704</v>
      </c>
      <c r="AM3134" t="s">
        <v>44</v>
      </c>
    </row>
    <row r="3135" spans="1:39" x14ac:dyDescent="0.2">
      <c r="A3135" t="s">
        <v>3003</v>
      </c>
      <c r="B3135" t="s">
        <v>40</v>
      </c>
      <c r="C3135" t="s">
        <v>2964</v>
      </c>
      <c r="D3135" t="s">
        <v>42</v>
      </c>
      <c r="E3135" t="s">
        <v>43</v>
      </c>
      <c r="F3135" t="s">
        <v>44</v>
      </c>
      <c r="G3135" t="s">
        <v>45</v>
      </c>
      <c r="AH3135" t="s">
        <v>42</v>
      </c>
      <c r="AI3135" t="str">
        <f>"66298904596279"</f>
        <v>66298904596279</v>
      </c>
      <c r="AJ3135" t="str">
        <f>"708"</f>
        <v>708</v>
      </c>
      <c r="AK3135" t="s">
        <v>46</v>
      </c>
      <c r="AL3135" s="1">
        <v>44816.558391203704</v>
      </c>
      <c r="AM3135" t="s">
        <v>44</v>
      </c>
    </row>
    <row r="3136" spans="1:39" x14ac:dyDescent="0.2">
      <c r="A3136" t="s">
        <v>3004</v>
      </c>
      <c r="B3136" t="s">
        <v>40</v>
      </c>
      <c r="C3136" t="s">
        <v>2964</v>
      </c>
      <c r="D3136" t="s">
        <v>42</v>
      </c>
      <c r="E3136" t="s">
        <v>43</v>
      </c>
      <c r="F3136" t="s">
        <v>44</v>
      </c>
      <c r="G3136" t="s">
        <v>45</v>
      </c>
      <c r="AH3136" t="s">
        <v>42</v>
      </c>
      <c r="AI3136" t="str">
        <f>"66298904635853"</f>
        <v>66298904635853</v>
      </c>
      <c r="AJ3136" t="str">
        <f>"400475"</f>
        <v>400475</v>
      </c>
      <c r="AK3136" t="s">
        <v>46</v>
      </c>
      <c r="AL3136" s="1">
        <v>44816.55840277778</v>
      </c>
      <c r="AM3136" t="s">
        <v>44</v>
      </c>
    </row>
    <row r="3137" spans="1:39" x14ac:dyDescent="0.2">
      <c r="A3137" t="s">
        <v>3005</v>
      </c>
      <c r="B3137" t="s">
        <v>40</v>
      </c>
      <c r="C3137" t="s">
        <v>2964</v>
      </c>
      <c r="D3137" t="s">
        <v>42</v>
      </c>
      <c r="E3137" t="s">
        <v>43</v>
      </c>
      <c r="F3137" t="s">
        <v>44</v>
      </c>
      <c r="G3137" t="s">
        <v>45</v>
      </c>
      <c r="AH3137" t="s">
        <v>42</v>
      </c>
      <c r="AI3137" t="str">
        <f>"12344-FRENO"</f>
        <v>12344-FRENO</v>
      </c>
      <c r="AJ3137" t="str">
        <f>"12344-FRENO"</f>
        <v>12344-FRENO</v>
      </c>
      <c r="AK3137" t="s">
        <v>46</v>
      </c>
      <c r="AL3137" s="1">
        <v>45020.601435185185</v>
      </c>
      <c r="AM3137" t="s">
        <v>44</v>
      </c>
    </row>
    <row r="3138" spans="1:39" x14ac:dyDescent="0.2">
      <c r="A3138" t="s">
        <v>3006</v>
      </c>
      <c r="B3138" t="s">
        <v>40</v>
      </c>
      <c r="C3138" t="s">
        <v>2964</v>
      </c>
      <c r="D3138" t="s">
        <v>42</v>
      </c>
      <c r="E3138" t="s">
        <v>43</v>
      </c>
      <c r="F3138" t="s">
        <v>44</v>
      </c>
      <c r="G3138" t="s">
        <v>45</v>
      </c>
      <c r="AH3138" t="s">
        <v>42</v>
      </c>
      <c r="AI3138" t="str">
        <f>"66298904673979"</f>
        <v>66298904673979</v>
      </c>
      <c r="AJ3138" t="str">
        <f>"LBY020BLK"</f>
        <v>LBY020BLK</v>
      </c>
      <c r="AK3138" t="s">
        <v>46</v>
      </c>
      <c r="AL3138" s="1">
        <v>44816.55840277778</v>
      </c>
      <c r="AM3138" t="s">
        <v>44</v>
      </c>
    </row>
    <row r="3139" spans="1:39" x14ac:dyDescent="0.2">
      <c r="A3139" t="s">
        <v>3007</v>
      </c>
      <c r="B3139" t="s">
        <v>40</v>
      </c>
      <c r="C3139" t="s">
        <v>2964</v>
      </c>
      <c r="D3139" t="s">
        <v>42</v>
      </c>
      <c r="E3139" t="s">
        <v>43</v>
      </c>
      <c r="F3139" t="s">
        <v>44</v>
      </c>
      <c r="G3139" t="s">
        <v>45</v>
      </c>
      <c r="AH3139" t="s">
        <v>42</v>
      </c>
      <c r="AI3139" t="str">
        <f>"66298904717004"</f>
        <v>66298904717004</v>
      </c>
      <c r="AJ3139" t="str">
        <f>"400476"</f>
        <v>400476</v>
      </c>
      <c r="AK3139" t="s">
        <v>46</v>
      </c>
      <c r="AL3139" s="1">
        <v>44816.55841435185</v>
      </c>
      <c r="AM3139" t="s">
        <v>44</v>
      </c>
    </row>
    <row r="3140" spans="1:39" x14ac:dyDescent="0.2">
      <c r="A3140" t="s">
        <v>3008</v>
      </c>
      <c r="B3140" t="s">
        <v>40</v>
      </c>
      <c r="C3140" t="s">
        <v>2964</v>
      </c>
      <c r="D3140" t="s">
        <v>42</v>
      </c>
      <c r="E3140" t="s">
        <v>43</v>
      </c>
      <c r="F3140" t="s">
        <v>44</v>
      </c>
      <c r="G3140" t="s">
        <v>45</v>
      </c>
      <c r="AH3140" t="s">
        <v>42</v>
      </c>
      <c r="AI3140" t="str">
        <f>"66298904756600"</f>
        <v>66298904756600</v>
      </c>
      <c r="AJ3140" t="str">
        <f>"400014"</f>
        <v>400014</v>
      </c>
      <c r="AK3140" t="s">
        <v>46</v>
      </c>
      <c r="AL3140" s="1">
        <v>44816.55841435185</v>
      </c>
      <c r="AM3140" t="s">
        <v>44</v>
      </c>
    </row>
    <row r="3141" spans="1:39" x14ac:dyDescent="0.2">
      <c r="A3141" t="s">
        <v>3009</v>
      </c>
      <c r="B3141" t="s">
        <v>40</v>
      </c>
      <c r="C3141" t="s">
        <v>2964</v>
      </c>
      <c r="D3141" t="s">
        <v>42</v>
      </c>
      <c r="E3141" t="s">
        <v>43</v>
      </c>
      <c r="F3141" t="s">
        <v>44</v>
      </c>
      <c r="G3141" t="s">
        <v>45</v>
      </c>
      <c r="AH3141" t="s">
        <v>42</v>
      </c>
      <c r="AI3141" t="str">
        <f>"66298904794243"</f>
        <v>66298904794243</v>
      </c>
      <c r="AJ3141" t="str">
        <f>"LBS008BLK"</f>
        <v>LBS008BLK</v>
      </c>
      <c r="AK3141" t="s">
        <v>46</v>
      </c>
      <c r="AL3141" s="1">
        <v>44816.55841435185</v>
      </c>
      <c r="AM3141" t="s">
        <v>44</v>
      </c>
    </row>
    <row r="3142" spans="1:39" x14ac:dyDescent="0.2">
      <c r="A3142" t="s">
        <v>3010</v>
      </c>
      <c r="B3142" t="s">
        <v>40</v>
      </c>
      <c r="C3142" t="s">
        <v>2964</v>
      </c>
      <c r="D3142" t="s">
        <v>42</v>
      </c>
      <c r="E3142" t="s">
        <v>43</v>
      </c>
      <c r="F3142" t="s">
        <v>44</v>
      </c>
      <c r="G3142" t="s">
        <v>45</v>
      </c>
      <c r="AH3142" t="s">
        <v>42</v>
      </c>
      <c r="AI3142" t="str">
        <f>"57621-42G11-000"</f>
        <v>57621-42G11-000</v>
      </c>
      <c r="AJ3142" t="str">
        <f>"57621-42G11-000"</f>
        <v>57621-42G11-000</v>
      </c>
      <c r="AK3142" t="s">
        <v>46</v>
      </c>
      <c r="AL3142" s="1">
        <v>44875.575138888889</v>
      </c>
      <c r="AM3142" t="s">
        <v>44</v>
      </c>
    </row>
    <row r="3143" spans="1:39" x14ac:dyDescent="0.2">
      <c r="A3143" t="s">
        <v>3011</v>
      </c>
      <c r="B3143" t="s">
        <v>40</v>
      </c>
      <c r="C3143" t="s">
        <v>2964</v>
      </c>
      <c r="D3143" t="s">
        <v>42</v>
      </c>
      <c r="E3143" t="s">
        <v>43</v>
      </c>
      <c r="F3143" t="s">
        <v>44</v>
      </c>
      <c r="G3143" t="s">
        <v>45</v>
      </c>
      <c r="AH3143" t="s">
        <v>42</v>
      </c>
      <c r="AI3143" t="str">
        <f>"57421H45F10H000"</f>
        <v>57421H45F10H000</v>
      </c>
      <c r="AJ3143" t="str">
        <f>"57421H45F10H000"</f>
        <v>57421H45F10H000</v>
      </c>
      <c r="AK3143" t="s">
        <v>46</v>
      </c>
      <c r="AL3143" s="1">
        <v>44875.765057870369</v>
      </c>
      <c r="AM3143" t="s">
        <v>44</v>
      </c>
    </row>
    <row r="3144" spans="1:39" x14ac:dyDescent="0.2">
      <c r="A3144" t="s">
        <v>3012</v>
      </c>
      <c r="B3144" t="s">
        <v>40</v>
      </c>
      <c r="C3144" t="s">
        <v>2964</v>
      </c>
      <c r="D3144" t="s">
        <v>42</v>
      </c>
      <c r="E3144" t="s">
        <v>43</v>
      </c>
      <c r="F3144" t="s">
        <v>44</v>
      </c>
      <c r="G3144" t="s">
        <v>45</v>
      </c>
      <c r="AH3144" t="s">
        <v>42</v>
      </c>
      <c r="AI3144" t="str">
        <f>"EMJM20275"</f>
        <v>EMJM20275</v>
      </c>
      <c r="AJ3144" t="str">
        <f>"EMJM20275"</f>
        <v>EMJM20275</v>
      </c>
      <c r="AK3144" t="s">
        <v>46</v>
      </c>
      <c r="AL3144" s="1">
        <v>45022.667847222219</v>
      </c>
      <c r="AM3144" t="s">
        <v>44</v>
      </c>
    </row>
    <row r="3145" spans="1:39" x14ac:dyDescent="0.2">
      <c r="A3145" t="s">
        <v>3013</v>
      </c>
      <c r="B3145" t="s">
        <v>40</v>
      </c>
      <c r="C3145" t="s">
        <v>2964</v>
      </c>
      <c r="D3145" t="s">
        <v>42</v>
      </c>
      <c r="E3145" t="s">
        <v>43</v>
      </c>
      <c r="F3145" t="s">
        <v>44</v>
      </c>
      <c r="G3145" t="s">
        <v>45</v>
      </c>
      <c r="AH3145" t="s">
        <v>42</v>
      </c>
      <c r="AI3145" t="str">
        <f>"66298904837925"</f>
        <v>66298904837925</v>
      </c>
      <c r="AJ3145" t="str">
        <f>"46092-1155"</f>
        <v>46092-1155</v>
      </c>
      <c r="AK3145" t="s">
        <v>46</v>
      </c>
      <c r="AL3145" s="1">
        <v>44816.558425925927</v>
      </c>
      <c r="AM3145" t="s">
        <v>44</v>
      </c>
    </row>
    <row r="3146" spans="1:39" x14ac:dyDescent="0.2">
      <c r="A3146" t="s">
        <v>3014</v>
      </c>
      <c r="B3146" t="s">
        <v>40</v>
      </c>
      <c r="C3146" t="s">
        <v>2964</v>
      </c>
      <c r="D3146" t="s">
        <v>42</v>
      </c>
      <c r="E3146" t="s">
        <v>43</v>
      </c>
      <c r="F3146" t="s">
        <v>44</v>
      </c>
      <c r="G3146" t="s">
        <v>45</v>
      </c>
      <c r="AH3146" t="s">
        <v>42</v>
      </c>
      <c r="AI3146" t="str">
        <f>"66298904874799"</f>
        <v>66298904874799</v>
      </c>
      <c r="AJ3146" t="str">
        <f>"LBK006BLK"</f>
        <v>LBK006BLK</v>
      </c>
      <c r="AK3146" t="s">
        <v>46</v>
      </c>
      <c r="AL3146" s="1">
        <v>44816.558425925927</v>
      </c>
      <c r="AM3146" t="s">
        <v>44</v>
      </c>
    </row>
    <row r="3147" spans="1:39" x14ac:dyDescent="0.2">
      <c r="A3147" t="s">
        <v>3015</v>
      </c>
      <c r="B3147" t="s">
        <v>40</v>
      </c>
      <c r="C3147" t="s">
        <v>2964</v>
      </c>
      <c r="D3147" t="s">
        <v>42</v>
      </c>
      <c r="E3147" t="s">
        <v>43</v>
      </c>
      <c r="F3147" t="s">
        <v>44</v>
      </c>
      <c r="G3147" t="s">
        <v>45</v>
      </c>
      <c r="AH3147" t="s">
        <v>42</v>
      </c>
      <c r="AI3147" t="str">
        <f>"66298904916008"</f>
        <v>66298904916008</v>
      </c>
      <c r="AJ3147" t="str">
        <f>"LCE088SILVE"</f>
        <v>LCE088SILVE</v>
      </c>
      <c r="AK3147" t="s">
        <v>46</v>
      </c>
      <c r="AL3147" s="1">
        <v>44816.558437500003</v>
      </c>
      <c r="AM3147" t="s">
        <v>44</v>
      </c>
    </row>
    <row r="3148" spans="1:39" x14ac:dyDescent="0.2">
      <c r="A3148" t="s">
        <v>3016</v>
      </c>
      <c r="B3148" t="s">
        <v>40</v>
      </c>
      <c r="C3148" t="s">
        <v>2964</v>
      </c>
      <c r="D3148" t="s">
        <v>42</v>
      </c>
      <c r="E3148" t="s">
        <v>43</v>
      </c>
      <c r="F3148" t="s">
        <v>44</v>
      </c>
      <c r="G3148" t="s">
        <v>45</v>
      </c>
      <c r="AH3148" t="s">
        <v>42</v>
      </c>
      <c r="AI3148" t="str">
        <f>"66298904954877"</f>
        <v>66298904954877</v>
      </c>
      <c r="AJ3148" t="str">
        <f>"SHORTLBK054SILV"</f>
        <v>SHORTLBK054SILV</v>
      </c>
      <c r="AK3148" t="s">
        <v>46</v>
      </c>
      <c r="AL3148" s="1">
        <v>44816.558437500003</v>
      </c>
      <c r="AM3148" t="s">
        <v>44</v>
      </c>
    </row>
    <row r="3149" spans="1:39" x14ac:dyDescent="0.2">
      <c r="A3149" t="s">
        <v>3017</v>
      </c>
      <c r="B3149" t="s">
        <v>40</v>
      </c>
      <c r="C3149" t="s">
        <v>2964</v>
      </c>
      <c r="D3149" t="s">
        <v>42</v>
      </c>
      <c r="E3149" t="s">
        <v>43</v>
      </c>
      <c r="F3149" t="s">
        <v>44</v>
      </c>
      <c r="G3149" t="s">
        <v>45</v>
      </c>
      <c r="AH3149" t="s">
        <v>42</v>
      </c>
      <c r="AI3149" t="str">
        <f>"57421H40100H000"</f>
        <v>57421H40100H000</v>
      </c>
      <c r="AJ3149" t="str">
        <f>"57421H40100H000"</f>
        <v>57421H40100H000</v>
      </c>
      <c r="AK3149" t="s">
        <v>46</v>
      </c>
      <c r="AL3149" s="1">
        <v>44875.885208333333</v>
      </c>
      <c r="AM3149" t="s">
        <v>44</v>
      </c>
    </row>
    <row r="3150" spans="1:39" x14ac:dyDescent="0.2">
      <c r="A3150" t="s">
        <v>3018</v>
      </c>
      <c r="B3150" t="s">
        <v>40</v>
      </c>
      <c r="C3150" t="s">
        <v>2964</v>
      </c>
      <c r="D3150" t="s">
        <v>42</v>
      </c>
      <c r="E3150" t="s">
        <v>43</v>
      </c>
      <c r="F3150" t="s">
        <v>44</v>
      </c>
      <c r="G3150" t="s">
        <v>45</v>
      </c>
      <c r="AH3150" t="s">
        <v>42</v>
      </c>
      <c r="AI3150" t="str">
        <f>"66298904998757"</f>
        <v>66298904998757</v>
      </c>
      <c r="AJ3150" t="str">
        <f>"83173"</f>
        <v>83173</v>
      </c>
      <c r="AK3150" t="s">
        <v>46</v>
      </c>
      <c r="AL3150" s="1">
        <v>44816.558437500003</v>
      </c>
      <c r="AM3150" t="s">
        <v>44</v>
      </c>
    </row>
    <row r="3151" spans="1:39" x14ac:dyDescent="0.2">
      <c r="A3151" t="s">
        <v>3019</v>
      </c>
      <c r="B3151" t="s">
        <v>40</v>
      </c>
      <c r="C3151" t="s">
        <v>2964</v>
      </c>
      <c r="D3151" t="s">
        <v>42</v>
      </c>
      <c r="E3151" t="s">
        <v>43</v>
      </c>
      <c r="F3151" t="s">
        <v>44</v>
      </c>
      <c r="G3151" t="s">
        <v>45</v>
      </c>
      <c r="AH3151" t="s">
        <v>42</v>
      </c>
      <c r="AI3151" t="str">
        <f>"EMKD00225"</f>
        <v>EMKD00225</v>
      </c>
      <c r="AJ3151" t="str">
        <f>"EMKD00225"</f>
        <v>EMKD00225</v>
      </c>
      <c r="AK3151" t="s">
        <v>46</v>
      </c>
      <c r="AL3151" s="1">
        <v>45021.895960648151</v>
      </c>
      <c r="AM3151" t="s">
        <v>44</v>
      </c>
    </row>
    <row r="3152" spans="1:39" x14ac:dyDescent="0.2">
      <c r="A3152" t="s">
        <v>3020</v>
      </c>
      <c r="B3152" t="s">
        <v>40</v>
      </c>
      <c r="C3152" t="s">
        <v>2964</v>
      </c>
      <c r="D3152" t="s">
        <v>42</v>
      </c>
      <c r="E3152" t="s">
        <v>43</v>
      </c>
      <c r="F3152" t="s">
        <v>44</v>
      </c>
      <c r="G3152" t="s">
        <v>45</v>
      </c>
      <c r="AH3152" t="s">
        <v>42</v>
      </c>
      <c r="AI3152" t="str">
        <f>"57310-37F00"</f>
        <v>57310-37F00</v>
      </c>
      <c r="AJ3152" t="str">
        <f>"57310-37F00"</f>
        <v>57310-37F00</v>
      </c>
      <c r="AK3152" t="s">
        <v>46</v>
      </c>
      <c r="AL3152" s="1">
        <v>45034.723819444444</v>
      </c>
      <c r="AM3152" t="s">
        <v>44</v>
      </c>
    </row>
    <row r="3153" spans="1:39" x14ac:dyDescent="0.2">
      <c r="A3153" t="s">
        <v>3021</v>
      </c>
      <c r="B3153" t="s">
        <v>40</v>
      </c>
      <c r="C3153" t="s">
        <v>2964</v>
      </c>
      <c r="D3153" t="s">
        <v>42</v>
      </c>
      <c r="E3153" t="s">
        <v>43</v>
      </c>
      <c r="F3153" t="s">
        <v>44</v>
      </c>
      <c r="G3153" t="s">
        <v>45</v>
      </c>
      <c r="AH3153" t="s">
        <v>42</v>
      </c>
      <c r="AI3153" t="str">
        <f>"66298905035685"</f>
        <v>66298905035685</v>
      </c>
      <c r="AJ3153" t="str">
        <f>"80972"</f>
        <v>80972</v>
      </c>
      <c r="AK3153" t="s">
        <v>46</v>
      </c>
      <c r="AL3153" s="1">
        <v>44816.558449074073</v>
      </c>
      <c r="AM3153" t="s">
        <v>44</v>
      </c>
    </row>
    <row r="3154" spans="1:39" x14ac:dyDescent="0.2">
      <c r="A3154" t="s">
        <v>3022</v>
      </c>
      <c r="B3154" t="s">
        <v>40</v>
      </c>
      <c r="C3154" t="s">
        <v>2964</v>
      </c>
      <c r="D3154" t="s">
        <v>42</v>
      </c>
      <c r="E3154" t="s">
        <v>43</v>
      </c>
      <c r="F3154" t="s">
        <v>44</v>
      </c>
      <c r="G3154" t="s">
        <v>45</v>
      </c>
      <c r="AH3154" t="s">
        <v>42</v>
      </c>
      <c r="AI3154" t="str">
        <f>"66298905077240"</f>
        <v>66298905077240</v>
      </c>
      <c r="AJ3154" t="str">
        <f>"QC005"</f>
        <v>QC005</v>
      </c>
      <c r="AK3154" t="s">
        <v>46</v>
      </c>
      <c r="AL3154" s="1">
        <v>44816.558449074073</v>
      </c>
      <c r="AM3154" t="s">
        <v>44</v>
      </c>
    </row>
    <row r="3155" spans="1:39" x14ac:dyDescent="0.2">
      <c r="A3155" t="s">
        <v>3023</v>
      </c>
      <c r="B3155" t="s">
        <v>40</v>
      </c>
      <c r="C3155" t="s">
        <v>2964</v>
      </c>
      <c r="D3155" t="s">
        <v>42</v>
      </c>
      <c r="E3155" t="s">
        <v>43</v>
      </c>
      <c r="F3155" t="s">
        <v>44</v>
      </c>
      <c r="G3155" t="s">
        <v>45</v>
      </c>
      <c r="AH3155" t="s">
        <v>42</v>
      </c>
      <c r="AI3155" t="str">
        <f>"66298905119733"</f>
        <v>66298905119733</v>
      </c>
      <c r="AJ3155" t="str">
        <f>"MAN-ATV-TRA"</f>
        <v>MAN-ATV-TRA</v>
      </c>
      <c r="AK3155" t="s">
        <v>46</v>
      </c>
      <c r="AL3155" s="1">
        <v>44816.55846064815</v>
      </c>
      <c r="AM3155" t="s">
        <v>44</v>
      </c>
    </row>
    <row r="3156" spans="1:39" x14ac:dyDescent="0.2">
      <c r="A3156" t="s">
        <v>3024</v>
      </c>
      <c r="B3156" t="s">
        <v>40</v>
      </c>
      <c r="C3156" t="s">
        <v>2964</v>
      </c>
      <c r="D3156" t="s">
        <v>42</v>
      </c>
      <c r="E3156" t="s">
        <v>43</v>
      </c>
      <c r="F3156" t="s">
        <v>44</v>
      </c>
      <c r="G3156" t="s">
        <v>45</v>
      </c>
      <c r="AH3156" t="s">
        <v>42</v>
      </c>
      <c r="AI3156" t="str">
        <f>"66298905162711"</f>
        <v>66298905162711</v>
      </c>
      <c r="AJ3156" t="str">
        <f>"MAN-CG-TRA"</f>
        <v>MAN-CG-TRA</v>
      </c>
      <c r="AK3156" t="s">
        <v>46</v>
      </c>
      <c r="AL3156" s="1">
        <v>44816.55846064815</v>
      </c>
      <c r="AM3156" t="s">
        <v>44</v>
      </c>
    </row>
    <row r="3157" spans="1:39" x14ac:dyDescent="0.2">
      <c r="A3157" t="s">
        <v>3025</v>
      </c>
      <c r="B3157" t="s">
        <v>40</v>
      </c>
      <c r="C3157" t="s">
        <v>2964</v>
      </c>
      <c r="D3157" t="s">
        <v>42</v>
      </c>
      <c r="E3157" t="s">
        <v>43</v>
      </c>
      <c r="F3157" t="s">
        <v>44</v>
      </c>
      <c r="G3157" t="s">
        <v>45</v>
      </c>
      <c r="AH3157" t="s">
        <v>42</v>
      </c>
      <c r="AI3157" t="str">
        <f>"66298905200482"</f>
        <v>66298905200482</v>
      </c>
      <c r="AJ3157" t="str">
        <f>"53175-KB7-000"</f>
        <v>53175-KB7-000</v>
      </c>
      <c r="AK3157" t="s">
        <v>46</v>
      </c>
      <c r="AL3157" s="1">
        <v>44816.558472222219</v>
      </c>
      <c r="AM3157" t="s">
        <v>44</v>
      </c>
    </row>
    <row r="3158" spans="1:39" x14ac:dyDescent="0.2">
      <c r="A3158" t="s">
        <v>3026</v>
      </c>
      <c r="B3158" t="s">
        <v>40</v>
      </c>
      <c r="C3158" t="s">
        <v>2964</v>
      </c>
      <c r="D3158" t="s">
        <v>42</v>
      </c>
      <c r="E3158" t="s">
        <v>43</v>
      </c>
      <c r="F3158" t="s">
        <v>44</v>
      </c>
      <c r="G3158" t="s">
        <v>45</v>
      </c>
      <c r="AH3158" t="s">
        <v>42</v>
      </c>
      <c r="AI3158" t="str">
        <f>"66298905243160"</f>
        <v>66298905243160</v>
      </c>
      <c r="AJ3158" t="str">
        <f>"LBH029BLK"</f>
        <v>LBH029BLK</v>
      </c>
      <c r="AK3158" t="s">
        <v>46</v>
      </c>
      <c r="AL3158" s="1">
        <v>44816.558472222219</v>
      </c>
      <c r="AM3158" t="s">
        <v>44</v>
      </c>
    </row>
    <row r="3159" spans="1:39" x14ac:dyDescent="0.2">
      <c r="A3159" t="s">
        <v>3027</v>
      </c>
      <c r="B3159" t="s">
        <v>40</v>
      </c>
      <c r="C3159" t="s">
        <v>2964</v>
      </c>
      <c r="D3159" t="s">
        <v>42</v>
      </c>
      <c r="E3159" t="s">
        <v>43</v>
      </c>
      <c r="F3159" t="s">
        <v>44</v>
      </c>
      <c r="G3159" t="s">
        <v>45</v>
      </c>
      <c r="AH3159" t="s">
        <v>42</v>
      </c>
      <c r="AI3159" t="str">
        <f>"53175-KJ1-730"</f>
        <v>53175-KJ1-730</v>
      </c>
      <c r="AJ3159" t="str">
        <f>"53175-KJ1-730"</f>
        <v>53175-KJ1-730</v>
      </c>
      <c r="AK3159" t="s">
        <v>46</v>
      </c>
      <c r="AL3159" s="1">
        <v>44893.639328703706</v>
      </c>
      <c r="AM3159" t="s">
        <v>44</v>
      </c>
    </row>
    <row r="3160" spans="1:39" x14ac:dyDescent="0.2">
      <c r="A3160" t="s">
        <v>3028</v>
      </c>
      <c r="B3160" t="s">
        <v>40</v>
      </c>
      <c r="C3160" t="s">
        <v>2964</v>
      </c>
      <c r="D3160" t="s">
        <v>42</v>
      </c>
      <c r="E3160" t="s">
        <v>43</v>
      </c>
      <c r="F3160" t="s">
        <v>44</v>
      </c>
      <c r="G3160" t="s">
        <v>45</v>
      </c>
      <c r="AH3160" t="s">
        <v>42</v>
      </c>
      <c r="AI3160" t="str">
        <f>"66298905325258"</f>
        <v>66298905325258</v>
      </c>
      <c r="AJ3160" t="str">
        <f>"401035"</f>
        <v>401035</v>
      </c>
      <c r="AK3160" t="s">
        <v>46</v>
      </c>
      <c r="AL3160" s="1">
        <v>44816.558483796296</v>
      </c>
      <c r="AM3160" t="s">
        <v>44</v>
      </c>
    </row>
    <row r="3161" spans="1:39" x14ac:dyDescent="0.2">
      <c r="A3161" t="s">
        <v>3029</v>
      </c>
      <c r="B3161" t="s">
        <v>40</v>
      </c>
      <c r="C3161" t="s">
        <v>2964</v>
      </c>
      <c r="D3161" t="s">
        <v>42</v>
      </c>
      <c r="E3161" t="s">
        <v>43</v>
      </c>
      <c r="F3161" t="s">
        <v>44</v>
      </c>
      <c r="G3161" t="s">
        <v>45</v>
      </c>
      <c r="AH3161" t="s">
        <v>42</v>
      </c>
      <c r="AI3161" t="str">
        <f>"66298905286991"</f>
        <v>66298905286991</v>
      </c>
      <c r="AJ3161" t="str">
        <f>"400477"</f>
        <v>400477</v>
      </c>
      <c r="AK3161" t="s">
        <v>46</v>
      </c>
      <c r="AL3161" s="1">
        <v>44816.558472222219</v>
      </c>
      <c r="AM3161" t="s">
        <v>44</v>
      </c>
    </row>
    <row r="3162" spans="1:39" x14ac:dyDescent="0.2">
      <c r="A3162" t="s">
        <v>3030</v>
      </c>
      <c r="B3162" t="s">
        <v>40</v>
      </c>
      <c r="C3162" t="s">
        <v>2964</v>
      </c>
      <c r="D3162" t="s">
        <v>42</v>
      </c>
      <c r="E3162" t="s">
        <v>43</v>
      </c>
      <c r="F3162" t="s">
        <v>44</v>
      </c>
      <c r="G3162" t="s">
        <v>45</v>
      </c>
      <c r="AH3162" t="s">
        <v>42</v>
      </c>
      <c r="AI3162" t="str">
        <f>"66298905366381"</f>
        <v>66298905366381</v>
      </c>
      <c r="AJ3162" t="str">
        <f>"2W1-83922-00"</f>
        <v>2W1-83922-00</v>
      </c>
      <c r="AK3162" t="s">
        <v>46</v>
      </c>
      <c r="AL3162" s="1">
        <v>44816.558483796296</v>
      </c>
      <c r="AM3162" t="s">
        <v>44</v>
      </c>
    </row>
    <row r="3163" spans="1:39" x14ac:dyDescent="0.2">
      <c r="A3163" t="s">
        <v>3031</v>
      </c>
      <c r="B3163" t="s">
        <v>40</v>
      </c>
      <c r="C3163" t="s">
        <v>2964</v>
      </c>
      <c r="D3163" t="s">
        <v>42</v>
      </c>
      <c r="E3163" t="s">
        <v>43</v>
      </c>
      <c r="F3163" t="s">
        <v>44</v>
      </c>
      <c r="G3163" t="s">
        <v>45</v>
      </c>
      <c r="AH3163" t="s">
        <v>42</v>
      </c>
      <c r="AI3163" t="str">
        <f>"66298905408796"</f>
        <v>66298905408796</v>
      </c>
      <c r="AJ3163" t="str">
        <f>"400478"</f>
        <v>400478</v>
      </c>
      <c r="AK3163" t="s">
        <v>46</v>
      </c>
      <c r="AL3163" s="1">
        <v>44816.558495370373</v>
      </c>
      <c r="AM3163" t="s">
        <v>44</v>
      </c>
    </row>
    <row r="3164" spans="1:39" x14ac:dyDescent="0.2">
      <c r="A3164" t="s">
        <v>3032</v>
      </c>
      <c r="B3164" t="s">
        <v>40</v>
      </c>
      <c r="C3164" t="s">
        <v>2964</v>
      </c>
      <c r="D3164" t="s">
        <v>42</v>
      </c>
      <c r="E3164" t="s">
        <v>43</v>
      </c>
      <c r="F3164" t="s">
        <v>44</v>
      </c>
      <c r="G3164" t="s">
        <v>45</v>
      </c>
      <c r="AH3164" t="s">
        <v>42</v>
      </c>
      <c r="AI3164" t="str">
        <f>"66298905450519"</f>
        <v>66298905450519</v>
      </c>
      <c r="AJ3164" t="str">
        <f>"84880"</f>
        <v>84880</v>
      </c>
      <c r="AK3164" t="s">
        <v>46</v>
      </c>
      <c r="AL3164" s="1">
        <v>44816.558495370373</v>
      </c>
      <c r="AM3164" t="s">
        <v>44</v>
      </c>
    </row>
    <row r="3165" spans="1:39" x14ac:dyDescent="0.2">
      <c r="A3165" t="s">
        <v>3033</v>
      </c>
      <c r="B3165" t="s">
        <v>40</v>
      </c>
      <c r="C3165" t="s">
        <v>2964</v>
      </c>
      <c r="D3165" t="s">
        <v>42</v>
      </c>
      <c r="E3165" t="s">
        <v>43</v>
      </c>
      <c r="F3165" t="s">
        <v>44</v>
      </c>
      <c r="G3165" t="s">
        <v>45</v>
      </c>
      <c r="AH3165" t="s">
        <v>42</v>
      </c>
      <c r="AI3165" t="str">
        <f>"66298905501603"</f>
        <v>66298905501603</v>
      </c>
      <c r="AJ3165" t="str">
        <f>"11967"</f>
        <v>11967</v>
      </c>
      <c r="AK3165" t="s">
        <v>46</v>
      </c>
      <c r="AL3165" s="1">
        <v>44816.558506944442</v>
      </c>
      <c r="AM3165" t="s">
        <v>44</v>
      </c>
    </row>
    <row r="3166" spans="1:39" x14ac:dyDescent="0.2">
      <c r="A3166" t="s">
        <v>3034</v>
      </c>
      <c r="B3166" t="s">
        <v>40</v>
      </c>
      <c r="C3166" t="s">
        <v>2964</v>
      </c>
      <c r="D3166" t="s">
        <v>42</v>
      </c>
      <c r="E3166" t="s">
        <v>43</v>
      </c>
      <c r="F3166" t="s">
        <v>44</v>
      </c>
      <c r="G3166" t="s">
        <v>45</v>
      </c>
      <c r="AH3166" t="s">
        <v>42</v>
      </c>
      <c r="AI3166" t="str">
        <f>"66298905542038"</f>
        <v>66298905542038</v>
      </c>
      <c r="AJ3166" t="str">
        <f>"MAN-FRE-YZF"</f>
        <v>MAN-FRE-YZF</v>
      </c>
      <c r="AK3166" t="s">
        <v>46</v>
      </c>
      <c r="AL3166" s="1">
        <v>44816.558506944442</v>
      </c>
      <c r="AM3166" t="s">
        <v>44</v>
      </c>
    </row>
    <row r="3167" spans="1:39" x14ac:dyDescent="0.2">
      <c r="A3167" t="s">
        <v>3035</v>
      </c>
      <c r="B3167" t="s">
        <v>40</v>
      </c>
      <c r="C3167" t="s">
        <v>3036</v>
      </c>
      <c r="D3167" t="s">
        <v>42</v>
      </c>
      <c r="E3167" t="s">
        <v>43</v>
      </c>
      <c r="F3167" t="s">
        <v>44</v>
      </c>
      <c r="G3167" t="s">
        <v>45</v>
      </c>
      <c r="AH3167" t="s">
        <v>42</v>
      </c>
      <c r="AI3167" t="str">
        <f>"Q020"</f>
        <v>Q020</v>
      </c>
      <c r="AJ3167" t="str">
        <f>"Q020"</f>
        <v>Q020</v>
      </c>
      <c r="AK3167" t="s">
        <v>46</v>
      </c>
      <c r="AL3167" s="1">
        <v>45093.618831018517</v>
      </c>
      <c r="AM3167" t="s">
        <v>44</v>
      </c>
    </row>
    <row r="3168" spans="1:39" x14ac:dyDescent="0.2">
      <c r="A3168" t="s">
        <v>3037</v>
      </c>
      <c r="B3168" t="s">
        <v>40</v>
      </c>
      <c r="C3168" t="s">
        <v>3036</v>
      </c>
      <c r="D3168" t="s">
        <v>42</v>
      </c>
      <c r="E3168" t="s">
        <v>43</v>
      </c>
      <c r="F3168" t="s">
        <v>44</v>
      </c>
      <c r="G3168" t="s">
        <v>45</v>
      </c>
      <c r="AH3168" t="s">
        <v>42</v>
      </c>
      <c r="AI3168" t="str">
        <f>"66298905581331"</f>
        <v>66298905581331</v>
      </c>
      <c r="AJ3168" t="str">
        <f>"400011"</f>
        <v>400011</v>
      </c>
      <c r="AK3168" t="s">
        <v>46</v>
      </c>
      <c r="AL3168" s="1">
        <v>44816.558506944442</v>
      </c>
      <c r="AM3168" t="s">
        <v>44</v>
      </c>
    </row>
    <row r="3169" spans="1:39" x14ac:dyDescent="0.2">
      <c r="A3169" t="s">
        <v>3038</v>
      </c>
      <c r="B3169" t="s">
        <v>40</v>
      </c>
      <c r="C3169" t="s">
        <v>3036</v>
      </c>
      <c r="D3169" t="s">
        <v>42</v>
      </c>
      <c r="E3169" t="s">
        <v>43</v>
      </c>
      <c r="F3169" t="s">
        <v>44</v>
      </c>
      <c r="G3169" t="s">
        <v>45</v>
      </c>
      <c r="AH3169" t="s">
        <v>42</v>
      </c>
      <c r="AI3169" t="str">
        <f>"Q063"</f>
        <v>Q063</v>
      </c>
      <c r="AJ3169" t="str">
        <f>"Q063"</f>
        <v>Q063</v>
      </c>
      <c r="AK3169" t="s">
        <v>46</v>
      </c>
      <c r="AL3169" s="1">
        <v>45093.61923611111</v>
      </c>
      <c r="AM3169" t="s">
        <v>44</v>
      </c>
    </row>
    <row r="3170" spans="1:39" x14ac:dyDescent="0.2">
      <c r="A3170" t="s">
        <v>3039</v>
      </c>
      <c r="B3170" t="s">
        <v>40</v>
      </c>
      <c r="C3170" t="s">
        <v>3036</v>
      </c>
      <c r="D3170" t="s">
        <v>42</v>
      </c>
      <c r="E3170" t="s">
        <v>43</v>
      </c>
      <c r="F3170" t="s">
        <v>44</v>
      </c>
      <c r="G3170" t="s">
        <v>45</v>
      </c>
      <c r="AH3170" t="s">
        <v>42</v>
      </c>
      <c r="AI3170" t="str">
        <f>"12768"</f>
        <v>12768</v>
      </c>
      <c r="AJ3170" t="str">
        <f>"12768"</f>
        <v>12768</v>
      </c>
      <c r="AK3170" t="s">
        <v>46</v>
      </c>
      <c r="AL3170" s="1">
        <v>45114.604409722226</v>
      </c>
      <c r="AM3170" t="s">
        <v>44</v>
      </c>
    </row>
    <row r="3171" spans="1:39" x14ac:dyDescent="0.2">
      <c r="A3171" t="s">
        <v>3040</v>
      </c>
      <c r="B3171" t="s">
        <v>40</v>
      </c>
      <c r="C3171" t="s">
        <v>3036</v>
      </c>
      <c r="D3171" t="s">
        <v>42</v>
      </c>
      <c r="E3171" t="s">
        <v>43</v>
      </c>
      <c r="F3171" t="s">
        <v>44</v>
      </c>
      <c r="G3171" t="s">
        <v>45</v>
      </c>
      <c r="AH3171" t="s">
        <v>42</v>
      </c>
      <c r="AI3171" t="str">
        <f>"Q041"</f>
        <v>Q041</v>
      </c>
      <c r="AJ3171" t="str">
        <f>"Q041"</f>
        <v>Q041</v>
      </c>
      <c r="AK3171" t="s">
        <v>46</v>
      </c>
      <c r="AL3171" s="1">
        <v>45093.619618055556</v>
      </c>
      <c r="AM3171" t="s">
        <v>44</v>
      </c>
    </row>
    <row r="3172" spans="1:39" x14ac:dyDescent="0.2">
      <c r="A3172" t="s">
        <v>3041</v>
      </c>
      <c r="B3172" t="s">
        <v>40</v>
      </c>
      <c r="C3172" t="s">
        <v>3036</v>
      </c>
      <c r="D3172" t="s">
        <v>42</v>
      </c>
      <c r="E3172" t="s">
        <v>43</v>
      </c>
      <c r="F3172" t="s">
        <v>44</v>
      </c>
      <c r="G3172" t="s">
        <v>45</v>
      </c>
      <c r="AH3172" t="s">
        <v>42</v>
      </c>
      <c r="AI3172" t="str">
        <f>"57500H2A200H000"</f>
        <v>57500H2A200H000</v>
      </c>
      <c r="AJ3172" t="str">
        <f>"57500H2A200H000"</f>
        <v>57500H2A200H000</v>
      </c>
      <c r="AK3172" t="s">
        <v>46</v>
      </c>
      <c r="AL3172" s="1">
        <v>44875.766770833332</v>
      </c>
      <c r="AM3172" t="s">
        <v>44</v>
      </c>
    </row>
    <row r="3173" spans="1:39" x14ac:dyDescent="0.2">
      <c r="A3173" t="s">
        <v>3042</v>
      </c>
      <c r="B3173" t="s">
        <v>40</v>
      </c>
      <c r="C3173" t="s">
        <v>3036</v>
      </c>
      <c r="D3173" t="s">
        <v>42</v>
      </c>
      <c r="E3173" t="s">
        <v>43</v>
      </c>
      <c r="F3173" t="s">
        <v>44</v>
      </c>
      <c r="G3173" t="s">
        <v>45</v>
      </c>
      <c r="AH3173" t="s">
        <v>42</v>
      </c>
      <c r="AI3173" t="str">
        <f>"EMKD00051"</f>
        <v>EMKD00051</v>
      </c>
      <c r="AJ3173" t="str">
        <f>"EMKD00051"</f>
        <v>EMKD00051</v>
      </c>
      <c r="AK3173" t="s">
        <v>46</v>
      </c>
      <c r="AL3173" s="1">
        <v>45022.668240740742</v>
      </c>
      <c r="AM3173" t="s">
        <v>44</v>
      </c>
    </row>
    <row r="3174" spans="1:39" x14ac:dyDescent="0.2">
      <c r="A3174" t="s">
        <v>3043</v>
      </c>
      <c r="B3174" t="s">
        <v>40</v>
      </c>
      <c r="C3174" t="s">
        <v>3036</v>
      </c>
      <c r="D3174" t="s">
        <v>42</v>
      </c>
      <c r="E3174" t="s">
        <v>43</v>
      </c>
      <c r="F3174" t="s">
        <v>44</v>
      </c>
      <c r="G3174" t="s">
        <v>45</v>
      </c>
      <c r="AH3174" t="s">
        <v>42</v>
      </c>
      <c r="AI3174" t="str">
        <f>"EMJM00284"</f>
        <v>EMJM00284</v>
      </c>
      <c r="AJ3174" t="str">
        <f>"EMJM00284"</f>
        <v>EMJM00284</v>
      </c>
      <c r="AK3174" t="s">
        <v>46</v>
      </c>
      <c r="AL3174" s="1">
        <v>45022.664189814815</v>
      </c>
      <c r="AM3174" t="s">
        <v>44</v>
      </c>
    </row>
    <row r="3175" spans="1:39" x14ac:dyDescent="0.2">
      <c r="A3175" t="s">
        <v>3044</v>
      </c>
      <c r="B3175" t="s">
        <v>40</v>
      </c>
      <c r="C3175" t="s">
        <v>3036</v>
      </c>
      <c r="D3175" t="s">
        <v>42</v>
      </c>
      <c r="E3175" t="s">
        <v>43</v>
      </c>
      <c r="F3175" t="s">
        <v>44</v>
      </c>
      <c r="G3175" t="s">
        <v>45</v>
      </c>
      <c r="AH3175" t="s">
        <v>42</v>
      </c>
      <c r="AI3175" t="str">
        <f>"MANILLAR-EMB-UNIV"</f>
        <v>MANILLAR-EMB-UNIV</v>
      </c>
      <c r="AJ3175" t="str">
        <f>"MANILLAR-EMB-UNIV"</f>
        <v>MANILLAR-EMB-UNIV</v>
      </c>
      <c r="AK3175" t="s">
        <v>46</v>
      </c>
      <c r="AL3175" s="1">
        <v>44999.673576388886</v>
      </c>
      <c r="AM3175" t="s">
        <v>44</v>
      </c>
    </row>
    <row r="3176" spans="1:39" x14ac:dyDescent="0.2">
      <c r="A3176" t="s">
        <v>3044</v>
      </c>
      <c r="B3176" t="s">
        <v>40</v>
      </c>
      <c r="C3176" t="s">
        <v>3036</v>
      </c>
      <c r="D3176" t="s">
        <v>42</v>
      </c>
      <c r="E3176" t="s">
        <v>43</v>
      </c>
      <c r="F3176" t="s">
        <v>44</v>
      </c>
      <c r="G3176" t="s">
        <v>45</v>
      </c>
      <c r="AH3176" t="s">
        <v>42</v>
      </c>
      <c r="AI3176" t="str">
        <f>"Q011"</f>
        <v>Q011</v>
      </c>
      <c r="AJ3176" t="str">
        <f>"Q011"</f>
        <v>Q011</v>
      </c>
      <c r="AK3176" t="s">
        <v>46</v>
      </c>
      <c r="AL3176" s="1">
        <v>45093.619942129626</v>
      </c>
      <c r="AM3176" t="s">
        <v>44</v>
      </c>
    </row>
    <row r="3177" spans="1:39" x14ac:dyDescent="0.2">
      <c r="A3177" t="s">
        <v>3045</v>
      </c>
      <c r="B3177" t="s">
        <v>40</v>
      </c>
      <c r="C3177" t="s">
        <v>3036</v>
      </c>
      <c r="D3177" t="s">
        <v>42</v>
      </c>
      <c r="E3177" t="s">
        <v>43</v>
      </c>
      <c r="F3177" t="s">
        <v>44</v>
      </c>
      <c r="G3177" t="s">
        <v>45</v>
      </c>
      <c r="AH3177" t="s">
        <v>42</v>
      </c>
      <c r="AI3177" t="str">
        <f>"Q021"</f>
        <v>Q021</v>
      </c>
      <c r="AJ3177" t="str">
        <f>"Q021"</f>
        <v>Q021</v>
      </c>
      <c r="AK3177" t="s">
        <v>46</v>
      </c>
      <c r="AL3177" s="1">
        <v>45093.620358796295</v>
      </c>
      <c r="AM3177" t="s">
        <v>44</v>
      </c>
    </row>
    <row r="3178" spans="1:39" x14ac:dyDescent="0.2">
      <c r="A3178" t="s">
        <v>3046</v>
      </c>
      <c r="B3178" t="s">
        <v>40</v>
      </c>
      <c r="C3178" t="s">
        <v>3036</v>
      </c>
      <c r="D3178" t="s">
        <v>42</v>
      </c>
      <c r="E3178" t="s">
        <v>43</v>
      </c>
      <c r="F3178" t="s">
        <v>44</v>
      </c>
      <c r="G3178" t="s">
        <v>45</v>
      </c>
      <c r="AH3178" t="s">
        <v>42</v>
      </c>
      <c r="AI3178" t="str">
        <f>"Q010"</f>
        <v>Q010</v>
      </c>
      <c r="AJ3178" t="str">
        <f>"Q010"</f>
        <v>Q010</v>
      </c>
      <c r="AK3178" t="s">
        <v>46</v>
      </c>
      <c r="AL3178" s="1">
        <v>44846.637199074074</v>
      </c>
      <c r="AM3178" t="s">
        <v>44</v>
      </c>
    </row>
    <row r="3179" spans="1:39" x14ac:dyDescent="0.2">
      <c r="A3179" t="s">
        <v>3047</v>
      </c>
      <c r="B3179" t="s">
        <v>40</v>
      </c>
      <c r="C3179" t="s">
        <v>3036</v>
      </c>
      <c r="D3179" t="s">
        <v>42</v>
      </c>
      <c r="E3179" t="s">
        <v>43</v>
      </c>
      <c r="F3179" t="s">
        <v>44</v>
      </c>
      <c r="G3179" t="s">
        <v>45</v>
      </c>
      <c r="AH3179" t="s">
        <v>42</v>
      </c>
      <c r="AI3179" t="str">
        <f>"Q061"</f>
        <v>Q061</v>
      </c>
      <c r="AJ3179" t="str">
        <f>"Q061"</f>
        <v>Q061</v>
      </c>
      <c r="AK3179" t="s">
        <v>46</v>
      </c>
      <c r="AL3179" s="1">
        <v>45093.620763888888</v>
      </c>
      <c r="AM3179" t="s">
        <v>44</v>
      </c>
    </row>
    <row r="3180" spans="1:39" x14ac:dyDescent="0.2">
      <c r="A3180" t="s">
        <v>3048</v>
      </c>
      <c r="B3180" t="s">
        <v>40</v>
      </c>
      <c r="C3180" t="s">
        <v>2964</v>
      </c>
      <c r="D3180" t="s">
        <v>42</v>
      </c>
      <c r="E3180" t="s">
        <v>43</v>
      </c>
      <c r="F3180" t="s">
        <v>44</v>
      </c>
      <c r="G3180" t="s">
        <v>45</v>
      </c>
      <c r="AH3180" t="s">
        <v>42</v>
      </c>
      <c r="AI3180" t="str">
        <f>"4465"</f>
        <v>4465</v>
      </c>
      <c r="AJ3180" t="str">
        <f>"4465"</f>
        <v>4465</v>
      </c>
      <c r="AK3180" t="s">
        <v>46</v>
      </c>
      <c r="AL3180" s="1">
        <v>45093.6171875</v>
      </c>
      <c r="AM3180" t="s">
        <v>44</v>
      </c>
    </row>
    <row r="3181" spans="1:39" x14ac:dyDescent="0.2">
      <c r="A3181" t="s">
        <v>3048</v>
      </c>
      <c r="B3181" t="s">
        <v>40</v>
      </c>
      <c r="C3181" t="s">
        <v>2964</v>
      </c>
      <c r="D3181" t="s">
        <v>42</v>
      </c>
      <c r="E3181" t="s">
        <v>43</v>
      </c>
      <c r="F3181" t="s">
        <v>44</v>
      </c>
      <c r="G3181" t="s">
        <v>45</v>
      </c>
      <c r="AH3181" t="s">
        <v>42</v>
      </c>
      <c r="AI3181" t="str">
        <f>"Q065"</f>
        <v>Q065</v>
      </c>
      <c r="AJ3181" t="str">
        <f>"Q065"</f>
        <v>Q065</v>
      </c>
      <c r="AK3181" t="s">
        <v>46</v>
      </c>
      <c r="AL3181" s="1">
        <v>45093.617488425924</v>
      </c>
      <c r="AM3181" t="s">
        <v>44</v>
      </c>
    </row>
    <row r="3182" spans="1:39" x14ac:dyDescent="0.2">
      <c r="A3182" t="s">
        <v>3048</v>
      </c>
      <c r="B3182" t="s">
        <v>40</v>
      </c>
      <c r="C3182" t="s">
        <v>2964</v>
      </c>
      <c r="D3182" t="s">
        <v>42</v>
      </c>
      <c r="E3182" t="s">
        <v>43</v>
      </c>
      <c r="F3182" t="s">
        <v>44</v>
      </c>
      <c r="G3182" t="s">
        <v>45</v>
      </c>
      <c r="AH3182" t="s">
        <v>42</v>
      </c>
      <c r="AI3182" t="str">
        <f>"4464M"</f>
        <v>4464M</v>
      </c>
      <c r="AJ3182" t="str">
        <f>"4464M"</f>
        <v>4464M</v>
      </c>
      <c r="AK3182" t="s">
        <v>46</v>
      </c>
      <c r="AL3182" s="1">
        <v>45093.621400462966</v>
      </c>
      <c r="AM3182" t="s">
        <v>44</v>
      </c>
    </row>
    <row r="3183" spans="1:39" x14ac:dyDescent="0.2">
      <c r="A3183" t="s">
        <v>3049</v>
      </c>
      <c r="B3183" t="s">
        <v>40</v>
      </c>
      <c r="C3183" t="s">
        <v>2964</v>
      </c>
      <c r="D3183" t="s">
        <v>42</v>
      </c>
      <c r="E3183" t="s">
        <v>43</v>
      </c>
      <c r="F3183" t="s">
        <v>44</v>
      </c>
      <c r="G3183" t="s">
        <v>45</v>
      </c>
      <c r="AH3183" t="s">
        <v>42</v>
      </c>
      <c r="AI3183" t="str">
        <f>"10491"</f>
        <v>10491</v>
      </c>
      <c r="AJ3183" t="str">
        <f>"10491"</f>
        <v>10491</v>
      </c>
      <c r="AK3183" t="s">
        <v>46</v>
      </c>
      <c r="AL3183" s="1">
        <v>45093.621747685182</v>
      </c>
      <c r="AM3183" t="s">
        <v>44</v>
      </c>
    </row>
    <row r="3184" spans="1:39" x14ac:dyDescent="0.2">
      <c r="A3184" t="s">
        <v>3050</v>
      </c>
      <c r="B3184" t="s">
        <v>40</v>
      </c>
      <c r="C3184" t="s">
        <v>50</v>
      </c>
      <c r="D3184" t="s">
        <v>42</v>
      </c>
      <c r="E3184" t="s">
        <v>43</v>
      </c>
      <c r="F3184" t="s">
        <v>44</v>
      </c>
      <c r="G3184" t="s">
        <v>45</v>
      </c>
      <c r="AH3184" t="s">
        <v>42</v>
      </c>
      <c r="AI3184" t="str">
        <f>"66298905621042"</f>
        <v>66298905621042</v>
      </c>
      <c r="AJ3184" t="str">
        <f>"QC032-VERDE"</f>
        <v>QC032-VERDE</v>
      </c>
      <c r="AK3184" t="s">
        <v>46</v>
      </c>
      <c r="AL3184" s="1">
        <v>44816.558518518519</v>
      </c>
      <c r="AM3184" t="s">
        <v>44</v>
      </c>
    </row>
    <row r="3185" spans="1:39" x14ac:dyDescent="0.2">
      <c r="A3185" t="s">
        <v>3051</v>
      </c>
      <c r="B3185" t="s">
        <v>40</v>
      </c>
      <c r="C3185" t="s">
        <v>50</v>
      </c>
      <c r="D3185" t="s">
        <v>42</v>
      </c>
      <c r="E3185" t="s">
        <v>43</v>
      </c>
      <c r="F3185" t="s">
        <v>44</v>
      </c>
      <c r="G3185" t="s">
        <v>45</v>
      </c>
      <c r="H3185" t="s">
        <v>2037</v>
      </c>
      <c r="AH3185" t="s">
        <v>42</v>
      </c>
      <c r="AI3185" t="str">
        <f>"12530-NEGRO"</f>
        <v>12530-NEGRO</v>
      </c>
      <c r="AJ3185" t="str">
        <f>"12530-NEGRO"</f>
        <v>12530-NEGRO</v>
      </c>
      <c r="AK3185" t="s">
        <v>46</v>
      </c>
      <c r="AL3185" s="1">
        <v>45090.922291666669</v>
      </c>
      <c r="AM3185" t="s">
        <v>44</v>
      </c>
    </row>
    <row r="3186" spans="1:39" x14ac:dyDescent="0.2">
      <c r="A3186" t="s">
        <v>3052</v>
      </c>
      <c r="B3186" t="s">
        <v>40</v>
      </c>
      <c r="C3186" t="s">
        <v>50</v>
      </c>
      <c r="D3186" t="s">
        <v>42</v>
      </c>
      <c r="E3186" t="s">
        <v>43</v>
      </c>
      <c r="F3186" t="s">
        <v>44</v>
      </c>
      <c r="G3186" t="s">
        <v>45</v>
      </c>
      <c r="H3186" t="s">
        <v>2037</v>
      </c>
      <c r="AH3186" t="s">
        <v>42</v>
      </c>
      <c r="AI3186" t="str">
        <f>"16487-NEGRO"</f>
        <v>16487-NEGRO</v>
      </c>
      <c r="AJ3186" t="str">
        <f>"16487-NEGRO"</f>
        <v>16487-NEGRO</v>
      </c>
      <c r="AK3186" t="s">
        <v>46</v>
      </c>
      <c r="AL3186" s="1">
        <v>45132.683645833335</v>
      </c>
      <c r="AM3186" t="s">
        <v>44</v>
      </c>
    </row>
    <row r="3187" spans="1:39" x14ac:dyDescent="0.2">
      <c r="A3187" t="s">
        <v>3053</v>
      </c>
      <c r="B3187" t="s">
        <v>40</v>
      </c>
      <c r="C3187" t="s">
        <v>50</v>
      </c>
      <c r="D3187" t="s">
        <v>42</v>
      </c>
      <c r="E3187" t="s">
        <v>43</v>
      </c>
      <c r="F3187" t="s">
        <v>44</v>
      </c>
      <c r="G3187" t="s">
        <v>45</v>
      </c>
      <c r="AH3187" t="s">
        <v>42</v>
      </c>
      <c r="AI3187" t="str">
        <f>"66298905658455"</f>
        <v>66298905658455</v>
      </c>
      <c r="AJ3187" t="str">
        <f>"QC028-VERDE"</f>
        <v>QC028-VERDE</v>
      </c>
      <c r="AK3187" t="s">
        <v>46</v>
      </c>
      <c r="AL3187" s="1">
        <v>44816.558518518519</v>
      </c>
      <c r="AM3187" t="s">
        <v>44</v>
      </c>
    </row>
    <row r="3188" spans="1:39" x14ac:dyDescent="0.2">
      <c r="A3188" t="s">
        <v>3053</v>
      </c>
      <c r="B3188" t="s">
        <v>40</v>
      </c>
      <c r="C3188" t="s">
        <v>50</v>
      </c>
      <c r="D3188" t="s">
        <v>42</v>
      </c>
      <c r="E3188" t="s">
        <v>43</v>
      </c>
      <c r="F3188" t="s">
        <v>44</v>
      </c>
      <c r="G3188" t="s">
        <v>45</v>
      </c>
      <c r="H3188" t="s">
        <v>2037</v>
      </c>
      <c r="AH3188" t="s">
        <v>42</v>
      </c>
      <c r="AI3188" t="str">
        <f>"2602-NEGRO"</f>
        <v>2602-NEGRO</v>
      </c>
      <c r="AJ3188" t="str">
        <f>"2602-NEGRO"</f>
        <v>2602-NEGRO</v>
      </c>
      <c r="AK3188" t="s">
        <v>46</v>
      </c>
      <c r="AL3188" s="1">
        <v>45132.681168981479</v>
      </c>
      <c r="AM3188" t="s">
        <v>44</v>
      </c>
    </row>
    <row r="3189" spans="1:39" x14ac:dyDescent="0.2">
      <c r="A3189" t="s">
        <v>3054</v>
      </c>
      <c r="B3189" t="s">
        <v>40</v>
      </c>
      <c r="C3189" t="s">
        <v>50</v>
      </c>
      <c r="D3189" t="s">
        <v>42</v>
      </c>
      <c r="E3189" t="s">
        <v>43</v>
      </c>
      <c r="F3189" t="s">
        <v>44</v>
      </c>
      <c r="G3189" t="s">
        <v>45</v>
      </c>
      <c r="AH3189" t="s">
        <v>42</v>
      </c>
      <c r="AI3189" t="str">
        <f>"66298905699777"</f>
        <v>66298905699777</v>
      </c>
      <c r="AJ3189" t="str">
        <f>"4050-NEGRO"</f>
        <v>4050-NEGRO</v>
      </c>
      <c r="AK3189" t="s">
        <v>46</v>
      </c>
      <c r="AL3189" s="1">
        <v>44816.558518518519</v>
      </c>
      <c r="AM3189" t="s">
        <v>44</v>
      </c>
    </row>
    <row r="3190" spans="1:39" x14ac:dyDescent="0.2">
      <c r="A3190" t="s">
        <v>3055</v>
      </c>
      <c r="B3190" t="s">
        <v>40</v>
      </c>
      <c r="C3190" t="s">
        <v>50</v>
      </c>
      <c r="D3190" t="s">
        <v>42</v>
      </c>
      <c r="E3190" t="s">
        <v>43</v>
      </c>
      <c r="F3190" t="s">
        <v>44</v>
      </c>
      <c r="G3190" t="s">
        <v>45</v>
      </c>
      <c r="H3190" t="s">
        <v>2037</v>
      </c>
      <c r="AH3190" t="s">
        <v>42</v>
      </c>
      <c r="AI3190" t="str">
        <f>"2159-NEGRO"</f>
        <v>2159-NEGRO</v>
      </c>
      <c r="AJ3190" t="str">
        <f>"2159-NEGRO"</f>
        <v>2159-NEGRO</v>
      </c>
      <c r="AK3190" t="s">
        <v>46</v>
      </c>
      <c r="AL3190" s="1">
        <v>45132.675034722219</v>
      </c>
      <c r="AM3190" t="s">
        <v>44</v>
      </c>
    </row>
    <row r="3191" spans="1:39" x14ac:dyDescent="0.2">
      <c r="A3191" t="s">
        <v>3056</v>
      </c>
      <c r="B3191" t="s">
        <v>40</v>
      </c>
      <c r="C3191" t="s">
        <v>50</v>
      </c>
      <c r="D3191" t="s">
        <v>42</v>
      </c>
      <c r="E3191" t="s">
        <v>43</v>
      </c>
      <c r="F3191" t="s">
        <v>44</v>
      </c>
      <c r="G3191" t="s">
        <v>45</v>
      </c>
      <c r="AH3191" t="s">
        <v>42</v>
      </c>
      <c r="AI3191" t="str">
        <f>"66298905741087"</f>
        <v>66298905741087</v>
      </c>
      <c r="AJ3191" t="str">
        <f>"QC037"</f>
        <v>QC037</v>
      </c>
      <c r="AK3191" t="s">
        <v>46</v>
      </c>
      <c r="AL3191" s="1">
        <v>44816.558530092596</v>
      </c>
      <c r="AM3191" t="s">
        <v>44</v>
      </c>
    </row>
    <row r="3192" spans="1:39" x14ac:dyDescent="0.2">
      <c r="A3192" t="s">
        <v>3057</v>
      </c>
      <c r="B3192" t="s">
        <v>40</v>
      </c>
      <c r="C3192" t="s">
        <v>50</v>
      </c>
      <c r="D3192" t="s">
        <v>42</v>
      </c>
      <c r="E3192" t="s">
        <v>43</v>
      </c>
      <c r="F3192" t="s">
        <v>44</v>
      </c>
      <c r="G3192" t="s">
        <v>45</v>
      </c>
      <c r="AH3192" t="s">
        <v>42</v>
      </c>
      <c r="AI3192" t="str">
        <f>"66298905783291"</f>
        <v>66298905783291</v>
      </c>
      <c r="AJ3192" t="str">
        <f>"QC038"</f>
        <v>QC038</v>
      </c>
      <c r="AK3192" t="s">
        <v>46</v>
      </c>
      <c r="AL3192" s="1">
        <v>44816.558530092596</v>
      </c>
      <c r="AM3192" t="s">
        <v>44</v>
      </c>
    </row>
    <row r="3193" spans="1:39" x14ac:dyDescent="0.2">
      <c r="A3193" t="s">
        <v>3058</v>
      </c>
      <c r="B3193" t="s">
        <v>40</v>
      </c>
      <c r="C3193" t="s">
        <v>50</v>
      </c>
      <c r="D3193" t="s">
        <v>42</v>
      </c>
      <c r="E3193" t="s">
        <v>43</v>
      </c>
      <c r="F3193" t="s">
        <v>44</v>
      </c>
      <c r="G3193" t="s">
        <v>45</v>
      </c>
      <c r="AH3193" t="s">
        <v>42</v>
      </c>
      <c r="AI3193" t="str">
        <f>"66298905824003"</f>
        <v>66298905824003</v>
      </c>
      <c r="AJ3193" t="str">
        <f>"QC035-ROJO"</f>
        <v>QC035-ROJO</v>
      </c>
      <c r="AK3193" t="s">
        <v>46</v>
      </c>
      <c r="AL3193" s="1">
        <v>44816.558541666665</v>
      </c>
      <c r="AM3193" t="s">
        <v>44</v>
      </c>
    </row>
    <row r="3194" spans="1:39" x14ac:dyDescent="0.2">
      <c r="A3194" t="s">
        <v>3059</v>
      </c>
      <c r="B3194" t="s">
        <v>40</v>
      </c>
      <c r="C3194" t="s">
        <v>50</v>
      </c>
      <c r="D3194" t="s">
        <v>42</v>
      </c>
      <c r="E3194" t="s">
        <v>43</v>
      </c>
      <c r="F3194" t="s">
        <v>44</v>
      </c>
      <c r="G3194" t="s">
        <v>45</v>
      </c>
      <c r="AH3194" t="s">
        <v>42</v>
      </c>
      <c r="AI3194" t="str">
        <f>"66298905863805"</f>
        <v>66298905863805</v>
      </c>
      <c r="AJ3194" t="str">
        <f>"QC218-GT250-AZ"</f>
        <v>QC218-GT250-AZ</v>
      </c>
      <c r="AK3194" t="s">
        <v>46</v>
      </c>
      <c r="AL3194" s="1">
        <v>44816.558541666665</v>
      </c>
      <c r="AM3194" t="s">
        <v>44</v>
      </c>
    </row>
    <row r="3195" spans="1:39" x14ac:dyDescent="0.2">
      <c r="A3195" t="s">
        <v>3060</v>
      </c>
      <c r="B3195" t="s">
        <v>40</v>
      </c>
      <c r="C3195" t="s">
        <v>50</v>
      </c>
      <c r="D3195" t="s">
        <v>42</v>
      </c>
      <c r="E3195" t="s">
        <v>43</v>
      </c>
      <c r="F3195" t="s">
        <v>44</v>
      </c>
      <c r="G3195" t="s">
        <v>45</v>
      </c>
      <c r="AH3195" t="s">
        <v>42</v>
      </c>
      <c r="AI3195" t="str">
        <f>"66298905903234"</f>
        <v>66298905903234</v>
      </c>
      <c r="AJ3195" t="str">
        <f>"QC218-GT250-RO"</f>
        <v>QC218-GT250-RO</v>
      </c>
      <c r="AK3195" t="s">
        <v>46</v>
      </c>
      <c r="AL3195" s="1">
        <v>44816.558553240742</v>
      </c>
      <c r="AM3195" t="s">
        <v>44</v>
      </c>
    </row>
    <row r="3196" spans="1:39" x14ac:dyDescent="0.2">
      <c r="A3196" t="s">
        <v>3061</v>
      </c>
      <c r="B3196" t="s">
        <v>40</v>
      </c>
      <c r="C3196" t="s">
        <v>50</v>
      </c>
      <c r="D3196" t="s">
        <v>42</v>
      </c>
      <c r="E3196" t="s">
        <v>43</v>
      </c>
      <c r="F3196" t="s">
        <v>44</v>
      </c>
      <c r="G3196" t="s">
        <v>45</v>
      </c>
      <c r="AH3196" t="s">
        <v>42</v>
      </c>
      <c r="AI3196" t="str">
        <f>"66298905943288"</f>
        <v>66298905943288</v>
      </c>
      <c r="AJ3196" t="str">
        <f>"QC218-GT650-AZ"</f>
        <v>QC218-GT650-AZ</v>
      </c>
      <c r="AK3196" t="s">
        <v>46</v>
      </c>
      <c r="AL3196" s="1">
        <v>44816.558553240742</v>
      </c>
      <c r="AM3196" t="s">
        <v>44</v>
      </c>
    </row>
    <row r="3197" spans="1:39" x14ac:dyDescent="0.2">
      <c r="A3197" t="s">
        <v>3062</v>
      </c>
      <c r="B3197" t="s">
        <v>40</v>
      </c>
      <c r="C3197" t="s">
        <v>50</v>
      </c>
      <c r="D3197" t="s">
        <v>42</v>
      </c>
      <c r="E3197" t="s">
        <v>43</v>
      </c>
      <c r="F3197" t="s">
        <v>44</v>
      </c>
      <c r="G3197" t="s">
        <v>45</v>
      </c>
      <c r="AH3197" t="s">
        <v>42</v>
      </c>
      <c r="AI3197" t="str">
        <f>"66298905982349"</f>
        <v>66298905982349</v>
      </c>
      <c r="AJ3197" t="str">
        <f>"QC218-GT650-RO"</f>
        <v>QC218-GT650-RO</v>
      </c>
      <c r="AK3197" t="s">
        <v>46</v>
      </c>
      <c r="AL3197" s="1">
        <v>44816.558553240742</v>
      </c>
      <c r="AM3197" t="s">
        <v>44</v>
      </c>
    </row>
    <row r="3198" spans="1:39" x14ac:dyDescent="0.2">
      <c r="A3198" t="s">
        <v>3063</v>
      </c>
      <c r="B3198" t="s">
        <v>40</v>
      </c>
      <c r="C3198" t="s">
        <v>50</v>
      </c>
      <c r="D3198" t="s">
        <v>42</v>
      </c>
      <c r="E3198" t="s">
        <v>43</v>
      </c>
      <c r="F3198" t="s">
        <v>44</v>
      </c>
      <c r="G3198" t="s">
        <v>45</v>
      </c>
      <c r="AH3198" t="s">
        <v>42</v>
      </c>
      <c r="AI3198" t="str">
        <f>"66298906021251"</f>
        <v>66298906021251</v>
      </c>
      <c r="AJ3198" t="str">
        <f>"QC218-KTM-AZUL"</f>
        <v>QC218-KTM-AZUL</v>
      </c>
      <c r="AK3198" t="s">
        <v>46</v>
      </c>
      <c r="AL3198" s="1">
        <v>44816.558564814812</v>
      </c>
      <c r="AM3198" t="s">
        <v>44</v>
      </c>
    </row>
    <row r="3199" spans="1:39" x14ac:dyDescent="0.2">
      <c r="A3199" t="s">
        <v>3064</v>
      </c>
      <c r="B3199" t="s">
        <v>40</v>
      </c>
      <c r="C3199" t="s">
        <v>50</v>
      </c>
      <c r="D3199" t="s">
        <v>42</v>
      </c>
      <c r="E3199" t="s">
        <v>43</v>
      </c>
      <c r="F3199" t="s">
        <v>44</v>
      </c>
      <c r="G3199" t="s">
        <v>45</v>
      </c>
      <c r="AH3199" t="s">
        <v>42</v>
      </c>
      <c r="AI3199" t="str">
        <f>"66298906065590"</f>
        <v>66298906065590</v>
      </c>
      <c r="AJ3199" t="str">
        <f>"2117-MANILLAS"</f>
        <v>2117-MANILLAS</v>
      </c>
      <c r="AK3199" t="s">
        <v>46</v>
      </c>
      <c r="AL3199" s="1">
        <v>44816.558564814812</v>
      </c>
      <c r="AM3199" t="s">
        <v>44</v>
      </c>
    </row>
    <row r="3200" spans="1:39" x14ac:dyDescent="0.2">
      <c r="A3200" t="s">
        <v>3065</v>
      </c>
      <c r="B3200" t="s">
        <v>40</v>
      </c>
      <c r="C3200" t="s">
        <v>50</v>
      </c>
      <c r="D3200" t="s">
        <v>42</v>
      </c>
      <c r="E3200" t="s">
        <v>43</v>
      </c>
      <c r="F3200" t="s">
        <v>44</v>
      </c>
      <c r="G3200" t="s">
        <v>45</v>
      </c>
      <c r="AH3200" t="s">
        <v>42</v>
      </c>
      <c r="AI3200" t="str">
        <f>"66298906114876"</f>
        <v>66298906114876</v>
      </c>
      <c r="AJ3200" t="str">
        <f>"QC218-PUL/AS-AZ"</f>
        <v>QC218-PUL/AS-AZ</v>
      </c>
      <c r="AK3200" t="s">
        <v>46</v>
      </c>
      <c r="AL3200" s="1">
        <v>44816.558576388888</v>
      </c>
      <c r="AM3200" t="s">
        <v>44</v>
      </c>
    </row>
    <row r="3201" spans="1:39" x14ac:dyDescent="0.2">
      <c r="A3201" t="s">
        <v>3066</v>
      </c>
      <c r="B3201" t="s">
        <v>40</v>
      </c>
      <c r="C3201" t="s">
        <v>50</v>
      </c>
      <c r="D3201" t="s">
        <v>42</v>
      </c>
      <c r="E3201" t="s">
        <v>43</v>
      </c>
      <c r="F3201" t="s">
        <v>44</v>
      </c>
      <c r="G3201" t="s">
        <v>45</v>
      </c>
      <c r="AH3201" t="s">
        <v>42</v>
      </c>
      <c r="AI3201" t="str">
        <f>"66298906155980"</f>
        <v>66298906155980</v>
      </c>
      <c r="AJ3201" t="str">
        <f>"QC218-PUL/AS-RO"</f>
        <v>QC218-PUL/AS-RO</v>
      </c>
      <c r="AK3201" t="s">
        <v>46</v>
      </c>
      <c r="AL3201" s="1">
        <v>44816.558576388888</v>
      </c>
      <c r="AM3201" t="s">
        <v>44</v>
      </c>
    </row>
    <row r="3202" spans="1:39" x14ac:dyDescent="0.2">
      <c r="A3202" t="s">
        <v>3067</v>
      </c>
      <c r="B3202" t="s">
        <v>40</v>
      </c>
      <c r="C3202" t="s">
        <v>50</v>
      </c>
      <c r="D3202" t="s">
        <v>42</v>
      </c>
      <c r="E3202" t="s">
        <v>43</v>
      </c>
      <c r="F3202" t="s">
        <v>44</v>
      </c>
      <c r="G3202" t="s">
        <v>45</v>
      </c>
      <c r="AH3202" t="s">
        <v>42</v>
      </c>
      <c r="AI3202" t="str">
        <f>"66298906199714"</f>
        <v>66298906199714</v>
      </c>
      <c r="AJ3202" t="str">
        <f>"QC218-PUL/RS-RO"</f>
        <v>QC218-PUL/RS-RO</v>
      </c>
      <c r="AK3202" t="s">
        <v>46</v>
      </c>
      <c r="AL3202" s="1">
        <v>44816.558587962965</v>
      </c>
      <c r="AM3202" t="s">
        <v>44</v>
      </c>
    </row>
    <row r="3203" spans="1:39" x14ac:dyDescent="0.2">
      <c r="A3203" t="s">
        <v>3068</v>
      </c>
      <c r="B3203" t="s">
        <v>40</v>
      </c>
      <c r="C3203" t="s">
        <v>50</v>
      </c>
      <c r="D3203" t="s">
        <v>42</v>
      </c>
      <c r="E3203" t="s">
        <v>43</v>
      </c>
      <c r="F3203" t="s">
        <v>44</v>
      </c>
      <c r="G3203" t="s">
        <v>45</v>
      </c>
      <c r="AH3203" t="s">
        <v>42</v>
      </c>
      <c r="AI3203" t="str">
        <f>"66298906248377"</f>
        <v>66298906248377</v>
      </c>
      <c r="AJ3203" t="str">
        <f>"QC031-DORADA"</f>
        <v>QC031-DORADA</v>
      </c>
      <c r="AK3203" t="s">
        <v>46</v>
      </c>
      <c r="AL3203" s="1">
        <v>44816.558587962965</v>
      </c>
      <c r="AM3203" t="s">
        <v>44</v>
      </c>
    </row>
    <row r="3204" spans="1:39" x14ac:dyDescent="0.2">
      <c r="A3204" t="s">
        <v>3069</v>
      </c>
      <c r="B3204" t="s">
        <v>40</v>
      </c>
      <c r="C3204" t="s">
        <v>50</v>
      </c>
      <c r="D3204" t="s">
        <v>42</v>
      </c>
      <c r="E3204" t="s">
        <v>43</v>
      </c>
      <c r="F3204" t="s">
        <v>44</v>
      </c>
      <c r="G3204" t="s">
        <v>45</v>
      </c>
      <c r="AH3204" t="s">
        <v>42</v>
      </c>
      <c r="AI3204" t="str">
        <f>"66298906290058"</f>
        <v>66298906290058</v>
      </c>
      <c r="AJ3204" t="str">
        <f>"QC031-NEGRO"</f>
        <v>QC031-NEGRO</v>
      </c>
      <c r="AK3204" t="s">
        <v>46</v>
      </c>
      <c r="AL3204" s="1">
        <v>44816.558587962965</v>
      </c>
      <c r="AM3204" t="s">
        <v>44</v>
      </c>
    </row>
    <row r="3205" spans="1:39" x14ac:dyDescent="0.2">
      <c r="A3205" t="s">
        <v>3070</v>
      </c>
      <c r="B3205" t="s">
        <v>40</v>
      </c>
      <c r="C3205" t="s">
        <v>50</v>
      </c>
      <c r="D3205" t="s">
        <v>42</v>
      </c>
      <c r="E3205" t="s">
        <v>43</v>
      </c>
      <c r="F3205" t="s">
        <v>44</v>
      </c>
      <c r="G3205" t="s">
        <v>45</v>
      </c>
      <c r="AH3205" t="s">
        <v>42</v>
      </c>
      <c r="AI3205" t="str">
        <f>"66298906327683"</f>
        <v>66298906327683</v>
      </c>
      <c r="AJ3205" t="str">
        <f>"QC031-VERDE"</f>
        <v>QC031-VERDE</v>
      </c>
      <c r="AK3205" t="s">
        <v>46</v>
      </c>
      <c r="AL3205" s="1">
        <v>44816.558599537035</v>
      </c>
      <c r="AM3205" t="s">
        <v>44</v>
      </c>
    </row>
    <row r="3206" spans="1:39" x14ac:dyDescent="0.2">
      <c r="A3206" t="s">
        <v>3071</v>
      </c>
      <c r="B3206" t="s">
        <v>40</v>
      </c>
      <c r="C3206" t="s">
        <v>3072</v>
      </c>
      <c r="D3206" t="s">
        <v>42</v>
      </c>
      <c r="E3206" t="s">
        <v>43</v>
      </c>
      <c r="F3206" t="s">
        <v>44</v>
      </c>
      <c r="G3206" t="s">
        <v>45</v>
      </c>
      <c r="AH3206" t="s">
        <v>42</v>
      </c>
      <c r="AI3206" t="str">
        <f>"GF006"</f>
        <v>GF006</v>
      </c>
      <c r="AJ3206" t="str">
        <f>"GF006"</f>
        <v>GF006</v>
      </c>
      <c r="AK3206" t="s">
        <v>46</v>
      </c>
      <c r="AL3206" s="1">
        <v>45093.622291666667</v>
      </c>
      <c r="AM3206" t="s">
        <v>44</v>
      </c>
    </row>
    <row r="3207" spans="1:39" x14ac:dyDescent="0.2">
      <c r="A3207" t="s">
        <v>3071</v>
      </c>
      <c r="B3207" t="s">
        <v>40</v>
      </c>
      <c r="C3207" t="s">
        <v>3072</v>
      </c>
      <c r="D3207" t="s">
        <v>42</v>
      </c>
      <c r="E3207" t="s">
        <v>43</v>
      </c>
      <c r="F3207" t="s">
        <v>44</v>
      </c>
      <c r="G3207" t="s">
        <v>45</v>
      </c>
      <c r="H3207" t="s">
        <v>2340</v>
      </c>
      <c r="AH3207" t="s">
        <v>42</v>
      </c>
      <c r="AI3207" t="str">
        <f>"2971-DORADO"</f>
        <v>2971-DORADO</v>
      </c>
      <c r="AJ3207" t="str">
        <f>"2971-DORADO"</f>
        <v>2971-DORADO</v>
      </c>
      <c r="AK3207" t="s">
        <v>46</v>
      </c>
      <c r="AL3207" s="1">
        <v>44998.635011574072</v>
      </c>
      <c r="AM3207" t="s">
        <v>44</v>
      </c>
    </row>
    <row r="3208" spans="1:39" x14ac:dyDescent="0.2">
      <c r="A3208" t="s">
        <v>3071</v>
      </c>
      <c r="B3208" t="s">
        <v>40</v>
      </c>
      <c r="C3208" t="s">
        <v>3072</v>
      </c>
      <c r="D3208" t="s">
        <v>42</v>
      </c>
      <c r="E3208" t="s">
        <v>43</v>
      </c>
      <c r="F3208" t="s">
        <v>44</v>
      </c>
      <c r="G3208" t="s">
        <v>45</v>
      </c>
      <c r="H3208" t="s">
        <v>3073</v>
      </c>
      <c r="AH3208" t="s">
        <v>42</v>
      </c>
      <c r="AI3208" t="str">
        <f>"2971-NARANJA"</f>
        <v>2971-NARANJA</v>
      </c>
      <c r="AJ3208" t="str">
        <f>"2971-NARANJA"</f>
        <v>2971-NARANJA</v>
      </c>
      <c r="AK3208" t="s">
        <v>46</v>
      </c>
      <c r="AL3208" s="1">
        <v>44998.63484953704</v>
      </c>
      <c r="AM3208" t="s">
        <v>44</v>
      </c>
    </row>
    <row r="3209" spans="1:39" x14ac:dyDescent="0.2">
      <c r="A3209" t="s">
        <v>3071</v>
      </c>
      <c r="B3209" t="s">
        <v>40</v>
      </c>
      <c r="C3209" t="s">
        <v>3072</v>
      </c>
      <c r="D3209" t="s">
        <v>42</v>
      </c>
      <c r="E3209" t="s">
        <v>43</v>
      </c>
      <c r="F3209" t="s">
        <v>44</v>
      </c>
      <c r="G3209" t="s">
        <v>45</v>
      </c>
      <c r="H3209" t="s">
        <v>2341</v>
      </c>
      <c r="AH3209" t="s">
        <v>42</v>
      </c>
      <c r="AI3209" t="str">
        <f>"2971-PLATEADO"</f>
        <v>2971-PLATEADO</v>
      </c>
      <c r="AJ3209" t="str">
        <f>"2971-PLATEADO"</f>
        <v>2971-PLATEADO</v>
      </c>
      <c r="AK3209" t="s">
        <v>46</v>
      </c>
      <c r="AL3209" s="1">
        <v>44998.635150462964</v>
      </c>
      <c r="AM3209" t="s">
        <v>44</v>
      </c>
    </row>
    <row r="3210" spans="1:39" x14ac:dyDescent="0.2">
      <c r="A3210" t="s">
        <v>3071</v>
      </c>
      <c r="B3210" t="s">
        <v>40</v>
      </c>
      <c r="C3210" t="s">
        <v>3072</v>
      </c>
      <c r="D3210" t="s">
        <v>42</v>
      </c>
      <c r="E3210" t="s">
        <v>43</v>
      </c>
      <c r="F3210" t="s">
        <v>44</v>
      </c>
      <c r="G3210" t="s">
        <v>45</v>
      </c>
      <c r="H3210" t="s">
        <v>1123</v>
      </c>
      <c r="AH3210" t="s">
        <v>42</v>
      </c>
      <c r="AI3210" t="str">
        <f>"2971-ROJO"</f>
        <v>2971-ROJO</v>
      </c>
      <c r="AJ3210" t="str">
        <f>"2971-ROJO"</f>
        <v>2971-ROJO</v>
      </c>
      <c r="AK3210" t="s">
        <v>46</v>
      </c>
      <c r="AL3210" s="1">
        <v>44998.634722222225</v>
      </c>
      <c r="AM3210" t="s">
        <v>44</v>
      </c>
    </row>
    <row r="3211" spans="1:39" x14ac:dyDescent="0.2">
      <c r="A3211" t="s">
        <v>3074</v>
      </c>
      <c r="B3211" t="s">
        <v>40</v>
      </c>
      <c r="C3211" t="s">
        <v>3072</v>
      </c>
      <c r="D3211" t="s">
        <v>42</v>
      </c>
      <c r="E3211" t="s">
        <v>43</v>
      </c>
      <c r="F3211" t="s">
        <v>44</v>
      </c>
      <c r="G3211" t="s">
        <v>45</v>
      </c>
      <c r="AH3211" t="s">
        <v>42</v>
      </c>
      <c r="AI3211" t="str">
        <f>"66298906369029"</f>
        <v>66298906369029</v>
      </c>
      <c r="AJ3211" t="str">
        <f>"3203"</f>
        <v>3203</v>
      </c>
      <c r="AK3211" t="s">
        <v>46</v>
      </c>
      <c r="AL3211" s="1">
        <v>44816.558599537035</v>
      </c>
      <c r="AM3211" t="s">
        <v>44</v>
      </c>
    </row>
    <row r="3212" spans="1:39" x14ac:dyDescent="0.2">
      <c r="A3212" t="s">
        <v>3075</v>
      </c>
      <c r="B3212" t="s">
        <v>40</v>
      </c>
      <c r="C3212" t="s">
        <v>3072</v>
      </c>
      <c r="D3212" t="s">
        <v>42</v>
      </c>
      <c r="E3212" t="s">
        <v>43</v>
      </c>
      <c r="F3212" t="s">
        <v>44</v>
      </c>
      <c r="G3212" t="s">
        <v>45</v>
      </c>
      <c r="AH3212" t="s">
        <v>42</v>
      </c>
      <c r="AI3212" t="str">
        <f>"66298906412804"</f>
        <v>66298906412804</v>
      </c>
      <c r="AJ3212" t="str">
        <f>"49CC36"</f>
        <v>49CC36</v>
      </c>
      <c r="AK3212" t="s">
        <v>46</v>
      </c>
      <c r="AL3212" s="1">
        <v>44816.558611111112</v>
      </c>
      <c r="AM3212" t="s">
        <v>44</v>
      </c>
    </row>
    <row r="3213" spans="1:39" x14ac:dyDescent="0.2">
      <c r="A3213" t="s">
        <v>3076</v>
      </c>
      <c r="B3213" t="s">
        <v>40</v>
      </c>
      <c r="C3213" t="s">
        <v>3072</v>
      </c>
      <c r="D3213" t="s">
        <v>42</v>
      </c>
      <c r="E3213" t="s">
        <v>43</v>
      </c>
      <c r="F3213" t="s">
        <v>44</v>
      </c>
      <c r="G3213" t="s">
        <v>45</v>
      </c>
      <c r="AH3213" t="s">
        <v>42</v>
      </c>
      <c r="AI3213" t="str">
        <f>"66298906450363"</f>
        <v>66298906450363</v>
      </c>
      <c r="AJ3213" t="str">
        <f>"GF031-NEGRO"</f>
        <v>GF031-NEGRO</v>
      </c>
      <c r="AK3213" t="s">
        <v>46</v>
      </c>
      <c r="AL3213" s="1">
        <v>44816.558611111112</v>
      </c>
      <c r="AM3213" t="s">
        <v>44</v>
      </c>
    </row>
    <row r="3214" spans="1:39" x14ac:dyDescent="0.2">
      <c r="A3214" t="s">
        <v>3076</v>
      </c>
      <c r="B3214" t="s">
        <v>40</v>
      </c>
      <c r="C3214" t="s">
        <v>3072</v>
      </c>
      <c r="D3214" t="s">
        <v>42</v>
      </c>
      <c r="E3214" t="s">
        <v>43</v>
      </c>
      <c r="F3214" t="s">
        <v>44</v>
      </c>
      <c r="G3214" t="s">
        <v>45</v>
      </c>
      <c r="AH3214" t="s">
        <v>42</v>
      </c>
      <c r="AI3214" t="str">
        <f>"66298906490109"</f>
        <v>66298906490109</v>
      </c>
      <c r="AJ3214" t="str">
        <f>"GF031-CROMADO"</f>
        <v>GF031-CROMADO</v>
      </c>
      <c r="AK3214" t="s">
        <v>46</v>
      </c>
      <c r="AL3214" s="1">
        <v>44816.558611111112</v>
      </c>
      <c r="AM3214" t="s">
        <v>44</v>
      </c>
    </row>
    <row r="3215" spans="1:39" x14ac:dyDescent="0.2">
      <c r="A3215" t="s">
        <v>3077</v>
      </c>
      <c r="B3215" t="s">
        <v>40</v>
      </c>
      <c r="C3215" t="s">
        <v>3072</v>
      </c>
      <c r="D3215" t="s">
        <v>42</v>
      </c>
      <c r="E3215" t="s">
        <v>43</v>
      </c>
      <c r="F3215" t="s">
        <v>44</v>
      </c>
      <c r="G3215" t="s">
        <v>45</v>
      </c>
      <c r="AH3215" t="s">
        <v>42</v>
      </c>
      <c r="AI3215" t="str">
        <f>"66298906532919"</f>
        <v>66298906532919</v>
      </c>
      <c r="AJ3215" t="str">
        <f>"GF020-GRIS"</f>
        <v>GF020-GRIS</v>
      </c>
      <c r="AK3215" t="s">
        <v>46</v>
      </c>
      <c r="AL3215" s="1">
        <v>44816.558622685188</v>
      </c>
      <c r="AM3215" t="s">
        <v>44</v>
      </c>
    </row>
    <row r="3216" spans="1:39" x14ac:dyDescent="0.2">
      <c r="A3216" t="s">
        <v>3078</v>
      </c>
      <c r="B3216" t="s">
        <v>40</v>
      </c>
      <c r="C3216" t="s">
        <v>3072</v>
      </c>
      <c r="D3216" t="s">
        <v>42</v>
      </c>
      <c r="E3216" t="s">
        <v>43</v>
      </c>
      <c r="F3216" t="s">
        <v>44</v>
      </c>
      <c r="G3216" t="s">
        <v>45</v>
      </c>
      <c r="AH3216" t="s">
        <v>42</v>
      </c>
      <c r="AI3216" t="str">
        <f>"66298906659147"</f>
        <v>66298906659147</v>
      </c>
      <c r="AJ3216" t="str">
        <f>"GF005"</f>
        <v>GF005</v>
      </c>
      <c r="AK3216" t="s">
        <v>46</v>
      </c>
      <c r="AL3216" s="1">
        <v>44816.558634259258</v>
      </c>
      <c r="AM3216" t="s">
        <v>44</v>
      </c>
    </row>
    <row r="3217" spans="1:39" x14ac:dyDescent="0.2">
      <c r="A3217" t="s">
        <v>3079</v>
      </c>
      <c r="B3217" t="s">
        <v>40</v>
      </c>
      <c r="C3217" t="s">
        <v>3072</v>
      </c>
      <c r="D3217" t="s">
        <v>42</v>
      </c>
      <c r="E3217" t="s">
        <v>43</v>
      </c>
      <c r="F3217" t="s">
        <v>44</v>
      </c>
      <c r="G3217" t="s">
        <v>45</v>
      </c>
      <c r="AH3217" t="s">
        <v>42</v>
      </c>
      <c r="AI3217" t="str">
        <f>"66298906572803"</f>
        <v>66298906572803</v>
      </c>
      <c r="AJ3217" t="str">
        <f>"JPC2001-042"</f>
        <v>JPC2001-042</v>
      </c>
      <c r="AK3217" t="s">
        <v>46</v>
      </c>
      <c r="AL3217" s="1">
        <v>44816.558622685188</v>
      </c>
      <c r="AM3217" t="s">
        <v>44</v>
      </c>
    </row>
    <row r="3218" spans="1:39" x14ac:dyDescent="0.2">
      <c r="A3218" t="s">
        <v>3080</v>
      </c>
      <c r="B3218" t="s">
        <v>40</v>
      </c>
      <c r="C3218" t="s">
        <v>3072</v>
      </c>
      <c r="D3218" t="s">
        <v>42</v>
      </c>
      <c r="E3218" t="s">
        <v>43</v>
      </c>
      <c r="F3218" t="s">
        <v>44</v>
      </c>
      <c r="G3218" t="s">
        <v>45</v>
      </c>
      <c r="AH3218" t="s">
        <v>42</v>
      </c>
      <c r="AI3218" t="str">
        <f>"66298906613577"</f>
        <v>66298906613577</v>
      </c>
      <c r="AJ3218" t="str">
        <f>"GF007"</f>
        <v>GF007</v>
      </c>
      <c r="AK3218" t="s">
        <v>46</v>
      </c>
      <c r="AL3218" s="1">
        <v>44816.558634259258</v>
      </c>
      <c r="AM3218" t="s">
        <v>44</v>
      </c>
    </row>
    <row r="3219" spans="1:39" x14ac:dyDescent="0.2">
      <c r="A3219" t="s">
        <v>3081</v>
      </c>
      <c r="B3219" t="s">
        <v>40</v>
      </c>
      <c r="C3219" t="s">
        <v>3072</v>
      </c>
      <c r="D3219" t="s">
        <v>42</v>
      </c>
      <c r="E3219" t="s">
        <v>43</v>
      </c>
      <c r="F3219" t="s">
        <v>44</v>
      </c>
      <c r="G3219" t="s">
        <v>45</v>
      </c>
      <c r="AH3219" t="s">
        <v>42</v>
      </c>
      <c r="AI3219" t="str">
        <f>"66298906702064"</f>
        <v>66298906702064</v>
      </c>
      <c r="AJ3219" t="str">
        <f>"GF029-CROMADO"</f>
        <v>GF029-CROMADO</v>
      </c>
      <c r="AK3219" t="s">
        <v>46</v>
      </c>
      <c r="AL3219" s="1">
        <v>44816.558645833335</v>
      </c>
      <c r="AM3219" t="s">
        <v>44</v>
      </c>
    </row>
    <row r="3220" spans="1:39" x14ac:dyDescent="0.2">
      <c r="A3220" t="s">
        <v>3082</v>
      </c>
      <c r="B3220" t="s">
        <v>40</v>
      </c>
      <c r="C3220" t="s">
        <v>3072</v>
      </c>
      <c r="D3220" t="s">
        <v>42</v>
      </c>
      <c r="E3220" t="s">
        <v>43</v>
      </c>
      <c r="F3220" t="s">
        <v>44</v>
      </c>
      <c r="G3220" t="s">
        <v>45</v>
      </c>
      <c r="AH3220" t="s">
        <v>42</v>
      </c>
      <c r="AI3220" t="str">
        <f>"66298906738448"</f>
        <v>66298906738448</v>
      </c>
      <c r="AJ3220" t="str">
        <f>"GF001"</f>
        <v>GF001</v>
      </c>
      <c r="AK3220" t="s">
        <v>46</v>
      </c>
      <c r="AL3220" s="1">
        <v>44816.558645833335</v>
      </c>
      <c r="AM3220" t="s">
        <v>44</v>
      </c>
    </row>
    <row r="3221" spans="1:39" x14ac:dyDescent="0.2">
      <c r="A3221" t="s">
        <v>3083</v>
      </c>
      <c r="B3221" t="s">
        <v>40</v>
      </c>
      <c r="C3221" t="s">
        <v>3072</v>
      </c>
      <c r="D3221" t="s">
        <v>42</v>
      </c>
      <c r="E3221" t="s">
        <v>43</v>
      </c>
      <c r="F3221" t="s">
        <v>44</v>
      </c>
      <c r="G3221" t="s">
        <v>45</v>
      </c>
      <c r="AH3221" t="s">
        <v>42</v>
      </c>
      <c r="AI3221" t="str">
        <f>"66298906775750"</f>
        <v>66298906775750</v>
      </c>
      <c r="AJ3221" t="str">
        <f>"20P-F6122-00"</f>
        <v>20P-F6122-00</v>
      </c>
      <c r="AK3221" t="s">
        <v>46</v>
      </c>
      <c r="AL3221" s="1">
        <v>44816.558645833335</v>
      </c>
      <c r="AM3221" t="s">
        <v>44</v>
      </c>
    </row>
    <row r="3222" spans="1:39" x14ac:dyDescent="0.2">
      <c r="A3222" t="s">
        <v>3084</v>
      </c>
      <c r="B3222" t="s">
        <v>40</v>
      </c>
      <c r="C3222" t="s">
        <v>3072</v>
      </c>
      <c r="D3222" t="s">
        <v>42</v>
      </c>
      <c r="E3222" t="s">
        <v>43</v>
      </c>
      <c r="F3222" t="s">
        <v>44</v>
      </c>
      <c r="G3222" t="s">
        <v>45</v>
      </c>
      <c r="AH3222" t="s">
        <v>42</v>
      </c>
      <c r="AI3222" t="str">
        <f>"66298906817345"</f>
        <v>66298906817345</v>
      </c>
      <c r="AJ3222" t="str">
        <f>"C065"</f>
        <v>C065</v>
      </c>
      <c r="AK3222" t="s">
        <v>46</v>
      </c>
      <c r="AL3222" s="1">
        <v>44816.558657407404</v>
      </c>
      <c r="AM3222" t="s">
        <v>44</v>
      </c>
    </row>
    <row r="3223" spans="1:39" x14ac:dyDescent="0.2">
      <c r="A3223" t="s">
        <v>3085</v>
      </c>
      <c r="B3223" t="s">
        <v>40</v>
      </c>
      <c r="C3223" t="s">
        <v>3072</v>
      </c>
      <c r="D3223" t="s">
        <v>42</v>
      </c>
      <c r="E3223" t="s">
        <v>43</v>
      </c>
      <c r="F3223" t="s">
        <v>44</v>
      </c>
      <c r="G3223" t="s">
        <v>45</v>
      </c>
      <c r="H3223" t="s">
        <v>1114</v>
      </c>
      <c r="AH3223" t="s">
        <v>42</v>
      </c>
      <c r="AI3223" t="str">
        <f>"66298906865648"</f>
        <v>66298906865648</v>
      </c>
      <c r="AJ3223" t="str">
        <f>"GF006-AZUL"</f>
        <v>GF006-AZUL</v>
      </c>
      <c r="AK3223" t="s">
        <v>46</v>
      </c>
      <c r="AL3223" s="1">
        <v>44816.558657407404</v>
      </c>
      <c r="AM3223" t="s">
        <v>44</v>
      </c>
    </row>
    <row r="3224" spans="1:39" x14ac:dyDescent="0.2">
      <c r="A3224" t="s">
        <v>3085</v>
      </c>
      <c r="B3224" t="s">
        <v>40</v>
      </c>
      <c r="C3224" t="s">
        <v>3072</v>
      </c>
      <c r="D3224" t="s">
        <v>42</v>
      </c>
      <c r="E3224" t="s">
        <v>43</v>
      </c>
      <c r="F3224" t="s">
        <v>44</v>
      </c>
      <c r="G3224" t="s">
        <v>45</v>
      </c>
      <c r="H3224" t="s">
        <v>2037</v>
      </c>
      <c r="AH3224" t="s">
        <v>42</v>
      </c>
      <c r="AI3224" t="str">
        <f>"66298906859740"</f>
        <v>66298906859740</v>
      </c>
      <c r="AJ3224" t="str">
        <f>"GF006-NEGRO"</f>
        <v>GF006-NEGRO</v>
      </c>
      <c r="AK3224" t="s">
        <v>46</v>
      </c>
      <c r="AL3224" s="1">
        <v>44816.558657407404</v>
      </c>
      <c r="AM3224" t="s">
        <v>44</v>
      </c>
    </row>
    <row r="3225" spans="1:39" x14ac:dyDescent="0.2">
      <c r="A3225" t="s">
        <v>3085</v>
      </c>
      <c r="B3225" t="s">
        <v>40</v>
      </c>
      <c r="C3225" t="s">
        <v>3072</v>
      </c>
      <c r="D3225" t="s">
        <v>42</v>
      </c>
      <c r="E3225" t="s">
        <v>43</v>
      </c>
      <c r="F3225" t="s">
        <v>44</v>
      </c>
      <c r="G3225" t="s">
        <v>45</v>
      </c>
      <c r="H3225" t="s">
        <v>1123</v>
      </c>
      <c r="AH3225" t="s">
        <v>42</v>
      </c>
      <c r="AI3225" t="str">
        <f>"GF006-ROJO"</f>
        <v>GF006-ROJO</v>
      </c>
      <c r="AJ3225" t="str">
        <f>"GF006-ROJO"</f>
        <v>GF006-ROJO</v>
      </c>
      <c r="AK3225" t="s">
        <v>46</v>
      </c>
      <c r="AL3225" s="1">
        <v>44861.822638888887</v>
      </c>
      <c r="AM3225" t="s">
        <v>44</v>
      </c>
    </row>
    <row r="3226" spans="1:39" x14ac:dyDescent="0.2">
      <c r="A3226" t="s">
        <v>3086</v>
      </c>
      <c r="B3226" t="s">
        <v>40</v>
      </c>
      <c r="C3226" t="s">
        <v>3072</v>
      </c>
      <c r="D3226" t="s">
        <v>42</v>
      </c>
      <c r="E3226" t="s">
        <v>43</v>
      </c>
      <c r="F3226" t="s">
        <v>44</v>
      </c>
      <c r="G3226" t="s">
        <v>45</v>
      </c>
      <c r="AH3226" t="s">
        <v>42</v>
      </c>
      <c r="AI3226" t="str">
        <f>"EXP11"</f>
        <v>EXP11</v>
      </c>
      <c r="AJ3226" t="str">
        <f>"EXP11"</f>
        <v>EXP11</v>
      </c>
      <c r="AK3226" t="s">
        <v>46</v>
      </c>
      <c r="AL3226" s="1">
        <v>45089.875092592592</v>
      </c>
      <c r="AM3226" t="s">
        <v>44</v>
      </c>
    </row>
    <row r="3227" spans="1:39" x14ac:dyDescent="0.2">
      <c r="A3227" t="s">
        <v>3087</v>
      </c>
      <c r="B3227" t="s">
        <v>40</v>
      </c>
      <c r="C3227" t="s">
        <v>3072</v>
      </c>
      <c r="D3227" t="s">
        <v>42</v>
      </c>
      <c r="E3227" t="s">
        <v>43</v>
      </c>
      <c r="F3227" t="s">
        <v>44</v>
      </c>
      <c r="G3227" t="s">
        <v>45</v>
      </c>
      <c r="AH3227" t="s">
        <v>43</v>
      </c>
      <c r="AI3227" t="str">
        <f>"GF002"</f>
        <v>GF002</v>
      </c>
      <c r="AJ3227" t="str">
        <f>"GF002"</f>
        <v>GF002</v>
      </c>
      <c r="AK3227" t="s">
        <v>46</v>
      </c>
      <c r="AL3227" s="1">
        <v>44816.558668981481</v>
      </c>
      <c r="AM3227" t="s">
        <v>44</v>
      </c>
    </row>
    <row r="3228" spans="1:39" x14ac:dyDescent="0.2">
      <c r="A3228" t="s">
        <v>3088</v>
      </c>
      <c r="B3228" t="s">
        <v>40</v>
      </c>
      <c r="C3228" t="s">
        <v>3072</v>
      </c>
      <c r="D3228" t="s">
        <v>42</v>
      </c>
      <c r="E3228" t="s">
        <v>43</v>
      </c>
      <c r="F3228" t="s">
        <v>44</v>
      </c>
      <c r="G3228" t="s">
        <v>45</v>
      </c>
      <c r="AH3228" t="s">
        <v>42</v>
      </c>
      <c r="AI3228" t="str">
        <f>"B97-F6110-00"</f>
        <v>B97-F6110-00</v>
      </c>
      <c r="AJ3228" t="str">
        <f>"B97-F6110-00"</f>
        <v>B97-F6110-00</v>
      </c>
      <c r="AK3228" t="s">
        <v>46</v>
      </c>
      <c r="AL3228" s="1">
        <v>44873.796111111114</v>
      </c>
      <c r="AM3228" t="s">
        <v>44</v>
      </c>
    </row>
    <row r="3229" spans="1:39" x14ac:dyDescent="0.2">
      <c r="A3229" t="s">
        <v>3089</v>
      </c>
      <c r="B3229" t="s">
        <v>40</v>
      </c>
      <c r="C3229" t="s">
        <v>3072</v>
      </c>
      <c r="D3229" t="s">
        <v>42</v>
      </c>
      <c r="E3229" t="s">
        <v>43</v>
      </c>
      <c r="F3229" t="s">
        <v>44</v>
      </c>
      <c r="G3229" t="s">
        <v>45</v>
      </c>
      <c r="AH3229" t="s">
        <v>42</v>
      </c>
      <c r="AI3229" t="str">
        <f>"12321"</f>
        <v>12321</v>
      </c>
      <c r="AJ3229" t="str">
        <f>"12321"</f>
        <v>12321</v>
      </c>
      <c r="AK3229" t="s">
        <v>46</v>
      </c>
      <c r="AL3229" s="1">
        <v>44951.801157407404</v>
      </c>
      <c r="AM3229" t="s">
        <v>44</v>
      </c>
    </row>
    <row r="3230" spans="1:39" x14ac:dyDescent="0.2">
      <c r="A3230" t="s">
        <v>3090</v>
      </c>
      <c r="B3230" t="s">
        <v>40</v>
      </c>
      <c r="C3230" t="s">
        <v>3072</v>
      </c>
      <c r="D3230" t="s">
        <v>42</v>
      </c>
      <c r="E3230" t="s">
        <v>43</v>
      </c>
      <c r="F3230" t="s">
        <v>44</v>
      </c>
      <c r="G3230" t="s">
        <v>45</v>
      </c>
      <c r="AH3230" t="s">
        <v>42</v>
      </c>
      <c r="AI3230" t="str">
        <f>"GF004"</f>
        <v>GF004</v>
      </c>
      <c r="AJ3230" t="str">
        <f>"GF004"</f>
        <v>GF004</v>
      </c>
      <c r="AK3230" t="s">
        <v>46</v>
      </c>
      <c r="AL3230" s="1">
        <v>44858.708518518521</v>
      </c>
      <c r="AM3230" t="s">
        <v>44</v>
      </c>
    </row>
    <row r="3231" spans="1:39" x14ac:dyDescent="0.2">
      <c r="A3231" t="s">
        <v>3091</v>
      </c>
      <c r="B3231" t="s">
        <v>40</v>
      </c>
      <c r="C3231" t="s">
        <v>3072</v>
      </c>
      <c r="D3231" t="s">
        <v>42</v>
      </c>
      <c r="E3231" t="s">
        <v>43</v>
      </c>
      <c r="F3231" t="s">
        <v>44</v>
      </c>
      <c r="G3231" t="s">
        <v>45</v>
      </c>
      <c r="AH3231" t="s">
        <v>42</v>
      </c>
      <c r="AI3231" t="str">
        <f>"48"</f>
        <v>48</v>
      </c>
      <c r="AJ3231" t="str">
        <f>"1348"</f>
        <v>1348</v>
      </c>
      <c r="AK3231" t="s">
        <v>46</v>
      </c>
      <c r="AL3231" s="1">
        <v>44930.661898148152</v>
      </c>
      <c r="AM3231" t="s">
        <v>44</v>
      </c>
    </row>
    <row r="3232" spans="1:39" x14ac:dyDescent="0.2">
      <c r="A3232" t="s">
        <v>3092</v>
      </c>
      <c r="B3232" t="s">
        <v>40</v>
      </c>
      <c r="C3232" t="s">
        <v>3072</v>
      </c>
      <c r="D3232" t="s">
        <v>42</v>
      </c>
      <c r="E3232" t="s">
        <v>43</v>
      </c>
      <c r="F3232" t="s">
        <v>44</v>
      </c>
      <c r="G3232" t="s">
        <v>45</v>
      </c>
      <c r="AH3232" t="s">
        <v>42</v>
      </c>
      <c r="AI3232" t="str">
        <f>"66298906958490"</f>
        <v>66298906958490</v>
      </c>
      <c r="AJ3232" t="str">
        <f>"GF003"</f>
        <v>GF003</v>
      </c>
      <c r="AK3232" t="s">
        <v>46</v>
      </c>
      <c r="AL3232" s="1">
        <v>44816.558668981481</v>
      </c>
      <c r="AM3232" t="s">
        <v>44</v>
      </c>
    </row>
    <row r="3233" spans="1:39" x14ac:dyDescent="0.2">
      <c r="A3233" t="s">
        <v>3093</v>
      </c>
      <c r="B3233" t="s">
        <v>40</v>
      </c>
      <c r="C3233" t="s">
        <v>3072</v>
      </c>
      <c r="D3233" t="s">
        <v>42</v>
      </c>
      <c r="E3233" t="s">
        <v>43</v>
      </c>
      <c r="F3233" t="s">
        <v>44</v>
      </c>
      <c r="G3233" t="s">
        <v>45</v>
      </c>
      <c r="AH3233" t="s">
        <v>42</v>
      </c>
      <c r="AI3233" t="str">
        <f>"56111H2C000H000"</f>
        <v>56111H2C000H000</v>
      </c>
      <c r="AJ3233" t="str">
        <f>"56111H2C000H000"</f>
        <v>56111H2C000H000</v>
      </c>
      <c r="AK3233" t="s">
        <v>46</v>
      </c>
      <c r="AL3233" s="1">
        <v>44875.765335648146</v>
      </c>
      <c r="AM3233" t="s">
        <v>44</v>
      </c>
    </row>
    <row r="3234" spans="1:39" x14ac:dyDescent="0.2">
      <c r="A3234" t="s">
        <v>3094</v>
      </c>
      <c r="B3234" t="s">
        <v>40</v>
      </c>
      <c r="C3234" t="s">
        <v>3072</v>
      </c>
      <c r="D3234" t="s">
        <v>42</v>
      </c>
      <c r="E3234" t="s">
        <v>43</v>
      </c>
      <c r="F3234" t="s">
        <v>44</v>
      </c>
      <c r="G3234" t="s">
        <v>45</v>
      </c>
      <c r="AH3234" t="s">
        <v>42</v>
      </c>
      <c r="AI3234" t="str">
        <f>"66298906998637"</f>
        <v>66298906998637</v>
      </c>
      <c r="AJ3234" t="str">
        <f>"83185"</f>
        <v>83185</v>
      </c>
      <c r="AK3234" t="s">
        <v>46</v>
      </c>
      <c r="AL3234" s="1">
        <v>44816.558668981481</v>
      </c>
      <c r="AM3234" t="s">
        <v>44</v>
      </c>
    </row>
    <row r="3235" spans="1:39" x14ac:dyDescent="0.2">
      <c r="A3235" t="s">
        <v>3095</v>
      </c>
      <c r="B3235" t="s">
        <v>40</v>
      </c>
      <c r="C3235" t="s">
        <v>3072</v>
      </c>
      <c r="D3235" t="s">
        <v>42</v>
      </c>
      <c r="E3235" t="s">
        <v>43</v>
      </c>
      <c r="F3235" t="s">
        <v>44</v>
      </c>
      <c r="G3235" t="s">
        <v>45</v>
      </c>
      <c r="AH3235" t="s">
        <v>42</v>
      </c>
      <c r="AI3235" t="str">
        <f>"56110H40102H000"</f>
        <v>56110H40102H000</v>
      </c>
      <c r="AJ3235" t="str">
        <f>"56110H40102H000"</f>
        <v>56110H40102H000</v>
      </c>
      <c r="AK3235" t="s">
        <v>46</v>
      </c>
      <c r="AL3235" s="1">
        <v>44875.610590277778</v>
      </c>
      <c r="AM3235" t="s">
        <v>44</v>
      </c>
    </row>
    <row r="3236" spans="1:39" x14ac:dyDescent="0.2">
      <c r="A3236" t="s">
        <v>3096</v>
      </c>
      <c r="B3236" t="s">
        <v>40</v>
      </c>
      <c r="C3236" t="s">
        <v>3072</v>
      </c>
      <c r="D3236" t="s">
        <v>42</v>
      </c>
      <c r="E3236" t="s">
        <v>43</v>
      </c>
      <c r="F3236" t="s">
        <v>44</v>
      </c>
      <c r="G3236" t="s">
        <v>45</v>
      </c>
      <c r="AH3236" t="s">
        <v>42</v>
      </c>
      <c r="AI3236" t="str">
        <f>"84360"</f>
        <v>84360</v>
      </c>
      <c r="AJ3236" t="str">
        <f>"84360"</f>
        <v>84360</v>
      </c>
      <c r="AK3236" t="s">
        <v>46</v>
      </c>
      <c r="AL3236" s="1">
        <v>44816.558680555558</v>
      </c>
      <c r="AM3236" t="s">
        <v>44</v>
      </c>
    </row>
    <row r="3237" spans="1:39" x14ac:dyDescent="0.2">
      <c r="A3237" t="s">
        <v>3097</v>
      </c>
      <c r="B3237" t="s">
        <v>40</v>
      </c>
      <c r="C3237" t="s">
        <v>3072</v>
      </c>
      <c r="D3237" t="s">
        <v>42</v>
      </c>
      <c r="E3237" t="s">
        <v>43</v>
      </c>
      <c r="F3237" t="s">
        <v>44</v>
      </c>
      <c r="G3237" t="s">
        <v>45</v>
      </c>
      <c r="AH3237" t="s">
        <v>42</v>
      </c>
      <c r="AI3237" t="str">
        <f>"66298907091087"</f>
        <v>66298907091087</v>
      </c>
      <c r="AJ3237" t="str">
        <f>"83458"</f>
        <v>83458</v>
      </c>
      <c r="AK3237" t="s">
        <v>46</v>
      </c>
      <c r="AL3237" s="1">
        <v>44816.558680555558</v>
      </c>
      <c r="AM3237" t="s">
        <v>44</v>
      </c>
    </row>
    <row r="3238" spans="1:39" x14ac:dyDescent="0.2">
      <c r="A3238" t="s">
        <v>3098</v>
      </c>
      <c r="B3238" t="s">
        <v>40</v>
      </c>
      <c r="C3238" t="s">
        <v>3072</v>
      </c>
      <c r="D3238" t="s">
        <v>42</v>
      </c>
      <c r="E3238" t="s">
        <v>43</v>
      </c>
      <c r="F3238" t="s">
        <v>44</v>
      </c>
      <c r="G3238" t="s">
        <v>45</v>
      </c>
      <c r="AH3238" t="s">
        <v>42</v>
      </c>
      <c r="AI3238" t="str">
        <f>"66298907133506"</f>
        <v>66298907133506</v>
      </c>
      <c r="AJ3238" t="str">
        <f>"GF022-NEGRO"</f>
        <v>GF022-NEGRO</v>
      </c>
      <c r="AK3238" t="s">
        <v>46</v>
      </c>
      <c r="AL3238" s="1">
        <v>44816.558692129627</v>
      </c>
      <c r="AM3238" t="s">
        <v>44</v>
      </c>
    </row>
    <row r="3239" spans="1:39" x14ac:dyDescent="0.2">
      <c r="A3239" t="s">
        <v>3098</v>
      </c>
      <c r="B3239" t="s">
        <v>40</v>
      </c>
      <c r="C3239" t="s">
        <v>3072</v>
      </c>
      <c r="D3239" t="s">
        <v>42</v>
      </c>
      <c r="E3239" t="s">
        <v>43</v>
      </c>
      <c r="F3239" t="s">
        <v>44</v>
      </c>
      <c r="G3239" t="s">
        <v>45</v>
      </c>
      <c r="AH3239" t="s">
        <v>42</v>
      </c>
      <c r="AI3239" t="str">
        <f>"66298907139349"</f>
        <v>66298907139349</v>
      </c>
      <c r="AJ3239" t="str">
        <f>"GF022-CROMADO"</f>
        <v>GF022-CROMADO</v>
      </c>
      <c r="AK3239" t="s">
        <v>46</v>
      </c>
      <c r="AL3239" s="1">
        <v>44816.558692129627</v>
      </c>
      <c r="AM3239" t="s">
        <v>44</v>
      </c>
    </row>
    <row r="3240" spans="1:39" x14ac:dyDescent="0.2">
      <c r="A3240" t="s">
        <v>3099</v>
      </c>
      <c r="B3240" t="s">
        <v>40</v>
      </c>
      <c r="C3240" t="s">
        <v>3072</v>
      </c>
      <c r="D3240" t="s">
        <v>42</v>
      </c>
      <c r="E3240" t="s">
        <v>43</v>
      </c>
      <c r="F3240" t="s">
        <v>44</v>
      </c>
      <c r="G3240" t="s">
        <v>45</v>
      </c>
      <c r="AH3240" t="s">
        <v>42</v>
      </c>
      <c r="AI3240" t="str">
        <f>"66298907191908"</f>
        <v>66298907191908</v>
      </c>
      <c r="AJ3240" t="str">
        <f>"GF010-SILVER"</f>
        <v>GF010-SILVER</v>
      </c>
      <c r="AK3240" t="s">
        <v>46</v>
      </c>
      <c r="AL3240" s="1">
        <v>44816.558692129627</v>
      </c>
      <c r="AM3240" t="s">
        <v>44</v>
      </c>
    </row>
    <row r="3241" spans="1:39" x14ac:dyDescent="0.2">
      <c r="A3241" t="s">
        <v>3099</v>
      </c>
      <c r="B3241" t="s">
        <v>40</v>
      </c>
      <c r="C3241" t="s">
        <v>3072</v>
      </c>
      <c r="D3241" t="s">
        <v>42</v>
      </c>
      <c r="E3241" t="s">
        <v>43</v>
      </c>
      <c r="F3241" t="s">
        <v>44</v>
      </c>
      <c r="G3241" t="s">
        <v>45</v>
      </c>
      <c r="AH3241" t="s">
        <v>42</v>
      </c>
      <c r="AI3241" t="str">
        <f>"66298907236511"</f>
        <v>66298907236511</v>
      </c>
      <c r="AJ3241" t="str">
        <f>"GF010-ROJO"</f>
        <v>GF010-ROJO</v>
      </c>
      <c r="AK3241" t="s">
        <v>46</v>
      </c>
      <c r="AL3241" s="1">
        <v>44816.558703703704</v>
      </c>
      <c r="AM3241" t="s">
        <v>44</v>
      </c>
    </row>
    <row r="3242" spans="1:39" x14ac:dyDescent="0.2">
      <c r="A3242" t="s">
        <v>3099</v>
      </c>
      <c r="B3242" t="s">
        <v>40</v>
      </c>
      <c r="C3242" t="s">
        <v>3072</v>
      </c>
      <c r="D3242" t="s">
        <v>42</v>
      </c>
      <c r="E3242" t="s">
        <v>43</v>
      </c>
      <c r="F3242" t="s">
        <v>44</v>
      </c>
      <c r="G3242" t="s">
        <v>45</v>
      </c>
      <c r="AH3242" t="s">
        <v>42</v>
      </c>
      <c r="AI3242" t="str">
        <f>"66298907243433"</f>
        <v>66298907243433</v>
      </c>
      <c r="AJ3242" t="str">
        <f>"GF010-AZUL"</f>
        <v>GF010-AZUL</v>
      </c>
      <c r="AK3242" t="s">
        <v>46</v>
      </c>
      <c r="AL3242" s="1">
        <v>44816.558703703704</v>
      </c>
      <c r="AM3242" t="s">
        <v>44</v>
      </c>
    </row>
    <row r="3243" spans="1:39" x14ac:dyDescent="0.2">
      <c r="A3243" t="s">
        <v>3100</v>
      </c>
      <c r="B3243" t="s">
        <v>40</v>
      </c>
      <c r="C3243" t="s">
        <v>3072</v>
      </c>
      <c r="D3243" t="s">
        <v>42</v>
      </c>
      <c r="E3243" t="s">
        <v>43</v>
      </c>
      <c r="F3243" t="s">
        <v>44</v>
      </c>
      <c r="G3243" t="s">
        <v>45</v>
      </c>
      <c r="AH3243" t="s">
        <v>42</v>
      </c>
      <c r="AI3243" t="str">
        <f>"GF011"</f>
        <v>GF011</v>
      </c>
      <c r="AJ3243" t="str">
        <f>"GF011"</f>
        <v>GF011</v>
      </c>
      <c r="AK3243" t="s">
        <v>46</v>
      </c>
      <c r="AL3243" s="1">
        <v>45093.625150462962</v>
      </c>
      <c r="AM3243" t="s">
        <v>44</v>
      </c>
    </row>
    <row r="3244" spans="1:39" x14ac:dyDescent="0.2">
      <c r="A3244" t="s">
        <v>3101</v>
      </c>
      <c r="B3244" t="s">
        <v>40</v>
      </c>
      <c r="C3244" t="s">
        <v>3072</v>
      </c>
      <c r="D3244" t="s">
        <v>42</v>
      </c>
      <c r="E3244" t="s">
        <v>43</v>
      </c>
      <c r="F3244" t="s">
        <v>44</v>
      </c>
      <c r="G3244" t="s">
        <v>45</v>
      </c>
      <c r="AH3244" t="s">
        <v>42</v>
      </c>
      <c r="AI3244" t="str">
        <f>"B005R"</f>
        <v>B005R</v>
      </c>
      <c r="AJ3244" t="str">
        <f>"B005R"</f>
        <v>B005R</v>
      </c>
      <c r="AK3244" t="s">
        <v>46</v>
      </c>
      <c r="AL3244" s="1">
        <v>45093.624745370369</v>
      </c>
      <c r="AM3244" t="s">
        <v>44</v>
      </c>
    </row>
    <row r="3245" spans="1:39" x14ac:dyDescent="0.2">
      <c r="A3245" t="s">
        <v>3102</v>
      </c>
      <c r="B3245" t="s">
        <v>40</v>
      </c>
      <c r="C3245" t="s">
        <v>3072</v>
      </c>
      <c r="D3245" t="s">
        <v>42</v>
      </c>
      <c r="E3245" t="s">
        <v>43</v>
      </c>
      <c r="F3245" t="s">
        <v>44</v>
      </c>
      <c r="G3245" t="s">
        <v>45</v>
      </c>
      <c r="AH3245" t="s">
        <v>42</v>
      </c>
      <c r="AI3245" t="str">
        <f>"66298907301405"</f>
        <v>66298907301405</v>
      </c>
      <c r="AJ3245" t="str">
        <f>"80955"</f>
        <v>80955</v>
      </c>
      <c r="AK3245" t="s">
        <v>46</v>
      </c>
      <c r="AL3245" s="1">
        <v>44816.558715277781</v>
      </c>
      <c r="AM3245" t="s">
        <v>44</v>
      </c>
    </row>
    <row r="3246" spans="1:39" x14ac:dyDescent="0.2">
      <c r="A3246" t="s">
        <v>3103</v>
      </c>
      <c r="B3246" t="s">
        <v>40</v>
      </c>
      <c r="C3246" t="s">
        <v>3072</v>
      </c>
      <c r="D3246" t="s">
        <v>42</v>
      </c>
      <c r="E3246" t="s">
        <v>43</v>
      </c>
      <c r="F3246" t="s">
        <v>44</v>
      </c>
      <c r="G3246" t="s">
        <v>45</v>
      </c>
      <c r="AH3246" t="s">
        <v>42</v>
      </c>
      <c r="AI3246" t="str">
        <f>"GF008"</f>
        <v>GF008</v>
      </c>
      <c r="AJ3246" t="str">
        <f>"GF008"</f>
        <v>GF008</v>
      </c>
      <c r="AK3246" t="s">
        <v>46</v>
      </c>
      <c r="AL3246" s="1">
        <v>44816.558715277781</v>
      </c>
      <c r="AM3246" t="s">
        <v>44</v>
      </c>
    </row>
    <row r="3247" spans="1:39" x14ac:dyDescent="0.2">
      <c r="A3247" t="s">
        <v>3104</v>
      </c>
      <c r="B3247" t="s">
        <v>40</v>
      </c>
      <c r="C3247" t="s">
        <v>3072</v>
      </c>
      <c r="D3247" t="s">
        <v>42</v>
      </c>
      <c r="E3247" t="s">
        <v>43</v>
      </c>
      <c r="F3247" t="s">
        <v>44</v>
      </c>
      <c r="G3247" t="s">
        <v>45</v>
      </c>
      <c r="AH3247" t="s">
        <v>42</v>
      </c>
      <c r="AI3247" t="str">
        <f>"12637"</f>
        <v>12637</v>
      </c>
      <c r="AJ3247" t="str">
        <f>"12637"</f>
        <v>12637</v>
      </c>
      <c r="AK3247" t="s">
        <v>46</v>
      </c>
      <c r="AL3247" s="1">
        <v>45026.836273148147</v>
      </c>
      <c r="AM3247" t="s">
        <v>44</v>
      </c>
    </row>
    <row r="3248" spans="1:39" x14ac:dyDescent="0.2">
      <c r="A3248" t="s">
        <v>3105</v>
      </c>
      <c r="B3248" t="s">
        <v>40</v>
      </c>
      <c r="C3248" t="s">
        <v>3072</v>
      </c>
      <c r="D3248" t="s">
        <v>42</v>
      </c>
      <c r="E3248" t="s">
        <v>43</v>
      </c>
      <c r="F3248" t="s">
        <v>44</v>
      </c>
      <c r="G3248" t="s">
        <v>45</v>
      </c>
      <c r="AH3248" t="s">
        <v>42</v>
      </c>
      <c r="AI3248" t="str">
        <f>"66298907392504"</f>
        <v>66298907392504</v>
      </c>
      <c r="AJ3248" t="str">
        <f>"K353037400"</f>
        <v>K353037400</v>
      </c>
      <c r="AK3248" t="s">
        <v>46</v>
      </c>
      <c r="AL3248" s="1">
        <v>44816.558715277781</v>
      </c>
      <c r="AM3248" t="s">
        <v>44</v>
      </c>
    </row>
    <row r="3249" spans="1:39" x14ac:dyDescent="0.2">
      <c r="A3249" t="s">
        <v>3106</v>
      </c>
      <c r="B3249" t="s">
        <v>40</v>
      </c>
      <c r="C3249" t="s">
        <v>3072</v>
      </c>
      <c r="D3249" t="s">
        <v>42</v>
      </c>
      <c r="E3249" t="s">
        <v>43</v>
      </c>
      <c r="F3249" t="s">
        <v>44</v>
      </c>
      <c r="G3249" t="s">
        <v>45</v>
      </c>
      <c r="AH3249" t="s">
        <v>42</v>
      </c>
      <c r="AI3249" t="str">
        <f>"66298907434289"</f>
        <v>66298907434289</v>
      </c>
      <c r="AJ3249" t="str">
        <f>"85038"</f>
        <v>85038</v>
      </c>
      <c r="AK3249" t="s">
        <v>46</v>
      </c>
      <c r="AL3249" s="1">
        <v>44816.55872685185</v>
      </c>
      <c r="AM3249" t="s">
        <v>44</v>
      </c>
    </row>
    <row r="3250" spans="1:39" x14ac:dyDescent="0.2">
      <c r="A3250" t="s">
        <v>3107</v>
      </c>
      <c r="B3250" t="s">
        <v>40</v>
      </c>
      <c r="C3250" t="s">
        <v>133</v>
      </c>
      <c r="D3250" t="s">
        <v>42</v>
      </c>
      <c r="E3250" t="s">
        <v>43</v>
      </c>
      <c r="F3250" t="s">
        <v>44</v>
      </c>
      <c r="G3250" t="s">
        <v>45</v>
      </c>
      <c r="AH3250" t="s">
        <v>42</v>
      </c>
      <c r="AI3250" t="str">
        <f>"66298907473520"</f>
        <v>66298907473520</v>
      </c>
      <c r="AJ3250" t="str">
        <f>"82593"</f>
        <v>82593</v>
      </c>
      <c r="AK3250" t="s">
        <v>46</v>
      </c>
      <c r="AL3250" s="1">
        <v>44816.55872685185</v>
      </c>
      <c r="AM3250" t="s">
        <v>44</v>
      </c>
    </row>
    <row r="3251" spans="1:39" x14ac:dyDescent="0.2">
      <c r="A3251" t="s">
        <v>3108</v>
      </c>
      <c r="B3251" t="s">
        <v>40</v>
      </c>
      <c r="C3251" t="s">
        <v>50</v>
      </c>
      <c r="D3251" t="s">
        <v>42</v>
      </c>
      <c r="E3251" t="s">
        <v>43</v>
      </c>
      <c r="F3251" t="s">
        <v>44</v>
      </c>
      <c r="G3251" t="s">
        <v>45</v>
      </c>
      <c r="AH3251" t="s">
        <v>42</v>
      </c>
      <c r="AI3251" t="str">
        <f>"H025"</f>
        <v>H025</v>
      </c>
      <c r="AJ3251" t="str">
        <f>"H025"</f>
        <v>H025</v>
      </c>
      <c r="AK3251" t="s">
        <v>46</v>
      </c>
      <c r="AL3251" s="1">
        <v>45093.62636574074</v>
      </c>
      <c r="AM3251" t="s">
        <v>44</v>
      </c>
    </row>
    <row r="3252" spans="1:39" x14ac:dyDescent="0.2">
      <c r="A3252" t="s">
        <v>3109</v>
      </c>
      <c r="B3252" t="s">
        <v>40</v>
      </c>
      <c r="C3252" t="s">
        <v>133</v>
      </c>
      <c r="D3252" t="s">
        <v>42</v>
      </c>
      <c r="E3252" t="s">
        <v>43</v>
      </c>
      <c r="F3252" t="s">
        <v>44</v>
      </c>
      <c r="G3252" t="s">
        <v>45</v>
      </c>
      <c r="AH3252" t="s">
        <v>42</v>
      </c>
      <c r="AI3252" t="str">
        <f>"66298907512413"</f>
        <v>66298907512413</v>
      </c>
      <c r="AJ3252" t="str">
        <f>"H040"</f>
        <v>H040</v>
      </c>
      <c r="AK3252" t="s">
        <v>46</v>
      </c>
      <c r="AL3252" s="1">
        <v>44816.558738425927</v>
      </c>
      <c r="AM3252" t="s">
        <v>44</v>
      </c>
    </row>
    <row r="3253" spans="1:39" x14ac:dyDescent="0.2">
      <c r="A3253" t="s">
        <v>3109</v>
      </c>
      <c r="B3253" t="s">
        <v>40</v>
      </c>
      <c r="C3253" t="s">
        <v>50</v>
      </c>
      <c r="D3253" t="s">
        <v>42</v>
      </c>
      <c r="E3253" t="s">
        <v>43</v>
      </c>
      <c r="F3253" t="s">
        <v>44</v>
      </c>
      <c r="G3253" t="s">
        <v>45</v>
      </c>
      <c r="AH3253" t="s">
        <v>42</v>
      </c>
      <c r="AI3253" t="str">
        <f>"125102"</f>
        <v>125102</v>
      </c>
      <c r="AJ3253" t="str">
        <f>"125102"</f>
        <v>125102</v>
      </c>
      <c r="AK3253" t="s">
        <v>46</v>
      </c>
      <c r="AL3253" s="1">
        <v>45093.626956018517</v>
      </c>
      <c r="AM3253" t="s">
        <v>44</v>
      </c>
    </row>
    <row r="3254" spans="1:39" x14ac:dyDescent="0.2">
      <c r="A3254" t="s">
        <v>3110</v>
      </c>
      <c r="B3254" t="s">
        <v>40</v>
      </c>
      <c r="C3254" t="s">
        <v>133</v>
      </c>
      <c r="D3254" t="s">
        <v>42</v>
      </c>
      <c r="E3254" t="s">
        <v>43</v>
      </c>
      <c r="F3254" t="s">
        <v>44</v>
      </c>
      <c r="G3254" t="s">
        <v>45</v>
      </c>
      <c r="AH3254" t="s">
        <v>42</v>
      </c>
      <c r="AI3254" t="str">
        <f>"138390"</f>
        <v>138390</v>
      </c>
      <c r="AJ3254" t="str">
        <f>"138390"</f>
        <v>138390</v>
      </c>
      <c r="AK3254" t="s">
        <v>46</v>
      </c>
      <c r="AL3254" s="1">
        <v>44995.576516203706</v>
      </c>
      <c r="AM3254" t="s">
        <v>44</v>
      </c>
    </row>
    <row r="3255" spans="1:39" x14ac:dyDescent="0.2">
      <c r="A3255" t="s">
        <v>3111</v>
      </c>
      <c r="B3255" t="s">
        <v>40</v>
      </c>
      <c r="C3255" t="s">
        <v>133</v>
      </c>
      <c r="D3255" t="s">
        <v>42</v>
      </c>
      <c r="E3255" t="s">
        <v>43</v>
      </c>
      <c r="F3255" t="s">
        <v>44</v>
      </c>
      <c r="G3255" t="s">
        <v>45</v>
      </c>
      <c r="AH3255" t="s">
        <v>42</v>
      </c>
      <c r="AI3255" t="str">
        <f>"66298907551369"</f>
        <v>66298907551369</v>
      </c>
      <c r="AJ3255" t="str">
        <f>"H187"</f>
        <v>H187</v>
      </c>
      <c r="AK3255" t="s">
        <v>46</v>
      </c>
      <c r="AL3255" s="1">
        <v>44816.558738425927</v>
      </c>
      <c r="AM3255" t="s">
        <v>44</v>
      </c>
    </row>
    <row r="3256" spans="1:39" x14ac:dyDescent="0.2">
      <c r="A3256" t="s">
        <v>3112</v>
      </c>
      <c r="B3256" t="s">
        <v>40</v>
      </c>
      <c r="C3256" t="s">
        <v>50</v>
      </c>
      <c r="D3256" t="s">
        <v>42</v>
      </c>
      <c r="E3256" t="s">
        <v>43</v>
      </c>
      <c r="F3256" t="s">
        <v>44</v>
      </c>
      <c r="G3256" t="s">
        <v>45</v>
      </c>
      <c r="AH3256" t="s">
        <v>42</v>
      </c>
      <c r="AI3256" t="str">
        <f>"66298907590072"</f>
        <v>66298907590072</v>
      </c>
      <c r="AJ3256" t="str">
        <f>"84994"</f>
        <v>84994</v>
      </c>
      <c r="AK3256" t="s">
        <v>46</v>
      </c>
      <c r="AL3256" s="1">
        <v>44816.558738425927</v>
      </c>
      <c r="AM3256" t="s">
        <v>44</v>
      </c>
    </row>
    <row r="3257" spans="1:39" x14ac:dyDescent="0.2">
      <c r="A3257" t="s">
        <v>3113</v>
      </c>
      <c r="B3257" t="s">
        <v>40</v>
      </c>
      <c r="C3257" t="s">
        <v>1518</v>
      </c>
      <c r="D3257" t="s">
        <v>42</v>
      </c>
      <c r="E3257" t="s">
        <v>43</v>
      </c>
      <c r="F3257" t="s">
        <v>44</v>
      </c>
      <c r="G3257" t="s">
        <v>45</v>
      </c>
      <c r="AH3257" t="s">
        <v>42</v>
      </c>
      <c r="AI3257" t="str">
        <f>"Y158"</f>
        <v>Y158</v>
      </c>
      <c r="AJ3257" t="str">
        <f>"Y158"</f>
        <v>Y158</v>
      </c>
      <c r="AK3257" t="s">
        <v>46</v>
      </c>
      <c r="AL3257" s="1">
        <v>44986.725787037038</v>
      </c>
      <c r="AM3257" t="s">
        <v>44</v>
      </c>
    </row>
    <row r="3258" spans="1:39" x14ac:dyDescent="0.2">
      <c r="A3258" t="s">
        <v>3114</v>
      </c>
      <c r="B3258" t="s">
        <v>40</v>
      </c>
      <c r="C3258" t="s">
        <v>1518</v>
      </c>
      <c r="D3258" t="s">
        <v>42</v>
      </c>
      <c r="E3258" t="s">
        <v>43</v>
      </c>
      <c r="F3258" t="s">
        <v>44</v>
      </c>
      <c r="G3258" t="s">
        <v>45</v>
      </c>
      <c r="AH3258" t="s">
        <v>42</v>
      </c>
      <c r="AI3258" t="str">
        <f>"66298907631904"</f>
        <v>66298907631904</v>
      </c>
      <c r="AJ3258" t="str">
        <f>"Y141"</f>
        <v>Y141</v>
      </c>
      <c r="AK3258" t="s">
        <v>46</v>
      </c>
      <c r="AL3258" s="1">
        <v>44816.558749999997</v>
      </c>
      <c r="AM3258" t="s">
        <v>44</v>
      </c>
    </row>
    <row r="3259" spans="1:39" x14ac:dyDescent="0.2">
      <c r="A3259" t="s">
        <v>3115</v>
      </c>
      <c r="B3259" t="s">
        <v>40</v>
      </c>
      <c r="C3259" t="s">
        <v>1518</v>
      </c>
      <c r="D3259" t="s">
        <v>42</v>
      </c>
      <c r="E3259" t="s">
        <v>43</v>
      </c>
      <c r="F3259" t="s">
        <v>44</v>
      </c>
      <c r="G3259" t="s">
        <v>45</v>
      </c>
      <c r="AH3259" t="s">
        <v>42</v>
      </c>
      <c r="AI3259" t="str">
        <f>"U018"</f>
        <v>U018</v>
      </c>
      <c r="AJ3259" t="str">
        <f>"U018"</f>
        <v>U018</v>
      </c>
      <c r="AK3259" t="s">
        <v>46</v>
      </c>
      <c r="AL3259" s="1">
        <v>45093.627627314818</v>
      </c>
      <c r="AM3259" t="s">
        <v>44</v>
      </c>
    </row>
    <row r="3260" spans="1:39" x14ac:dyDescent="0.2">
      <c r="A3260" t="s">
        <v>3116</v>
      </c>
      <c r="B3260" t="s">
        <v>40</v>
      </c>
      <c r="C3260" t="s">
        <v>1518</v>
      </c>
      <c r="D3260" t="s">
        <v>42</v>
      </c>
      <c r="E3260" t="s">
        <v>43</v>
      </c>
      <c r="F3260" t="s">
        <v>44</v>
      </c>
      <c r="G3260" t="s">
        <v>45</v>
      </c>
      <c r="AH3260" t="s">
        <v>42</v>
      </c>
      <c r="AI3260" t="str">
        <f>"66298907675075"</f>
        <v>66298907675075</v>
      </c>
      <c r="AJ3260" t="str">
        <f>"94414H40100H521"</f>
        <v>94414H40100H521</v>
      </c>
      <c r="AK3260" t="s">
        <v>46</v>
      </c>
      <c r="AL3260" s="1">
        <v>44816.558749999997</v>
      </c>
      <c r="AM3260" t="s">
        <v>44</v>
      </c>
    </row>
    <row r="3261" spans="1:39" x14ac:dyDescent="0.2">
      <c r="A3261" t="s">
        <v>3116</v>
      </c>
      <c r="B3261" t="s">
        <v>40</v>
      </c>
      <c r="C3261" t="s">
        <v>1518</v>
      </c>
      <c r="D3261" t="s">
        <v>42</v>
      </c>
      <c r="E3261" t="s">
        <v>43</v>
      </c>
      <c r="F3261" t="s">
        <v>44</v>
      </c>
      <c r="G3261" t="s">
        <v>45</v>
      </c>
      <c r="H3261" t="s">
        <v>2037</v>
      </c>
      <c r="AH3261" t="s">
        <v>42</v>
      </c>
      <c r="AI3261" t="str">
        <f>"Y332-NEGRO"</f>
        <v>Y332-NEGRO</v>
      </c>
      <c r="AJ3261" t="str">
        <f>"Y332-NEGRO"</f>
        <v>Y332-NEGRO</v>
      </c>
      <c r="AK3261" t="s">
        <v>46</v>
      </c>
      <c r="AL3261" s="1">
        <v>45001.617604166669</v>
      </c>
      <c r="AM3261" t="s">
        <v>44</v>
      </c>
    </row>
    <row r="3262" spans="1:39" x14ac:dyDescent="0.2">
      <c r="A3262" t="s">
        <v>3117</v>
      </c>
      <c r="B3262" t="s">
        <v>40</v>
      </c>
      <c r="C3262" t="s">
        <v>1518</v>
      </c>
      <c r="D3262" t="s">
        <v>42</v>
      </c>
      <c r="E3262" t="s">
        <v>43</v>
      </c>
      <c r="F3262" t="s">
        <v>44</v>
      </c>
      <c r="G3262" t="s">
        <v>45</v>
      </c>
      <c r="AH3262" t="s">
        <v>42</v>
      </c>
      <c r="AI3262" t="str">
        <f>"Y010"</f>
        <v>Y010</v>
      </c>
      <c r="AJ3262" t="str">
        <f>"Y010"</f>
        <v>Y010</v>
      </c>
      <c r="AK3262" t="s">
        <v>46</v>
      </c>
      <c r="AL3262" s="1">
        <v>44868.581643518519</v>
      </c>
      <c r="AM3262" t="s">
        <v>44</v>
      </c>
    </row>
    <row r="3263" spans="1:39" x14ac:dyDescent="0.2">
      <c r="A3263" t="s">
        <v>3118</v>
      </c>
      <c r="B3263" t="s">
        <v>40</v>
      </c>
      <c r="C3263" t="s">
        <v>1518</v>
      </c>
      <c r="D3263" t="s">
        <v>42</v>
      </c>
      <c r="E3263" t="s">
        <v>43</v>
      </c>
      <c r="F3263" t="s">
        <v>44</v>
      </c>
      <c r="G3263" t="s">
        <v>45</v>
      </c>
      <c r="AH3263" t="s">
        <v>42</v>
      </c>
      <c r="AI3263" t="str">
        <f>"66298907715422"</f>
        <v>66298907715422</v>
      </c>
      <c r="AJ3263" t="str">
        <f>"Y166"</f>
        <v>Y166</v>
      </c>
      <c r="AK3263" t="s">
        <v>46</v>
      </c>
      <c r="AL3263" s="1">
        <v>44816.558761574073</v>
      </c>
      <c r="AM3263" t="s">
        <v>44</v>
      </c>
    </row>
    <row r="3264" spans="1:39" x14ac:dyDescent="0.2">
      <c r="A3264" t="s">
        <v>3119</v>
      </c>
      <c r="B3264" t="s">
        <v>40</v>
      </c>
      <c r="C3264" t="s">
        <v>1518</v>
      </c>
      <c r="D3264" t="s">
        <v>42</v>
      </c>
      <c r="E3264" t="s">
        <v>43</v>
      </c>
      <c r="F3264" t="s">
        <v>44</v>
      </c>
      <c r="G3264" t="s">
        <v>45</v>
      </c>
      <c r="AH3264" t="s">
        <v>42</v>
      </c>
      <c r="AI3264" t="str">
        <f>"Y054"</f>
        <v>Y054</v>
      </c>
      <c r="AJ3264" t="str">
        <f>"Y054"</f>
        <v>Y054</v>
      </c>
      <c r="AK3264" t="s">
        <v>46</v>
      </c>
      <c r="AL3264" s="1">
        <v>44916.680902777778</v>
      </c>
      <c r="AM3264" t="s">
        <v>44</v>
      </c>
    </row>
    <row r="3265" spans="1:39" x14ac:dyDescent="0.2">
      <c r="A3265" t="s">
        <v>3120</v>
      </c>
      <c r="B3265" t="s">
        <v>40</v>
      </c>
      <c r="C3265" t="s">
        <v>129</v>
      </c>
      <c r="D3265" t="s">
        <v>42</v>
      </c>
      <c r="E3265" t="s">
        <v>43</v>
      </c>
      <c r="F3265" t="s">
        <v>44</v>
      </c>
      <c r="G3265" t="s">
        <v>45</v>
      </c>
      <c r="AH3265" t="s">
        <v>42</v>
      </c>
      <c r="AI3265" t="str">
        <f>"64110-44A10"</f>
        <v>64110-44A10</v>
      </c>
      <c r="AJ3265" t="str">
        <f>"64110-44A10"</f>
        <v>64110-44A10</v>
      </c>
      <c r="AK3265" t="s">
        <v>46</v>
      </c>
      <c r="AL3265" s="1">
        <v>44898.61346064815</v>
      </c>
      <c r="AM3265" t="s">
        <v>44</v>
      </c>
    </row>
    <row r="3266" spans="1:39" x14ac:dyDescent="0.2">
      <c r="A3266" t="s">
        <v>3121</v>
      </c>
      <c r="B3266" t="s">
        <v>40</v>
      </c>
      <c r="C3266" t="s">
        <v>129</v>
      </c>
      <c r="D3266" t="s">
        <v>42</v>
      </c>
      <c r="E3266" t="s">
        <v>43</v>
      </c>
      <c r="F3266" t="s">
        <v>44</v>
      </c>
      <c r="G3266" t="s">
        <v>45</v>
      </c>
      <c r="AH3266" t="s">
        <v>42</v>
      </c>
      <c r="AI3266" t="str">
        <f>"42601-KW8-902"</f>
        <v>42601-KW8-902</v>
      </c>
      <c r="AJ3266" t="str">
        <f>"42601-KW8-902"</f>
        <v>42601-KW8-902</v>
      </c>
      <c r="AK3266" t="s">
        <v>46</v>
      </c>
      <c r="AL3266" s="1">
        <v>44874.691817129627</v>
      </c>
      <c r="AM3266" t="s">
        <v>44</v>
      </c>
    </row>
    <row r="3267" spans="1:39" x14ac:dyDescent="0.2">
      <c r="A3267" t="s">
        <v>3122</v>
      </c>
      <c r="B3267" t="s">
        <v>40</v>
      </c>
      <c r="C3267" t="s">
        <v>1143</v>
      </c>
      <c r="D3267" t="s">
        <v>42</v>
      </c>
      <c r="E3267" t="s">
        <v>43</v>
      </c>
      <c r="F3267" t="s">
        <v>44</v>
      </c>
      <c r="G3267" t="s">
        <v>45</v>
      </c>
      <c r="AH3267" t="s">
        <v>42</v>
      </c>
      <c r="AI3267" t="str">
        <f>"66298907763204"</f>
        <v>66298907763204</v>
      </c>
      <c r="AJ3267" t="str">
        <f>"XA012"</f>
        <v>XA012</v>
      </c>
      <c r="AK3267" t="s">
        <v>46</v>
      </c>
      <c r="AL3267" s="1">
        <v>44816.558761574073</v>
      </c>
      <c r="AM3267" t="s">
        <v>44</v>
      </c>
    </row>
    <row r="3268" spans="1:39" x14ac:dyDescent="0.2">
      <c r="A3268" t="s">
        <v>3123</v>
      </c>
      <c r="B3268" t="s">
        <v>40</v>
      </c>
      <c r="C3268" t="s">
        <v>1143</v>
      </c>
      <c r="D3268" t="s">
        <v>42</v>
      </c>
      <c r="E3268" t="s">
        <v>43</v>
      </c>
      <c r="F3268" t="s">
        <v>44</v>
      </c>
      <c r="G3268" t="s">
        <v>45</v>
      </c>
      <c r="AH3268" t="s">
        <v>42</v>
      </c>
      <c r="AI3268" t="str">
        <f>"66298907847213"</f>
        <v>66298907847213</v>
      </c>
      <c r="AJ3268" t="str">
        <f>"GY622"</f>
        <v>GY622</v>
      </c>
      <c r="AK3268" t="s">
        <v>46</v>
      </c>
      <c r="AL3268" s="1">
        <v>44816.55877314815</v>
      </c>
      <c r="AM3268" t="s">
        <v>44</v>
      </c>
    </row>
    <row r="3269" spans="1:39" x14ac:dyDescent="0.2">
      <c r="A3269" t="s">
        <v>3124</v>
      </c>
      <c r="B3269" t="s">
        <v>40</v>
      </c>
      <c r="C3269" t="s">
        <v>1143</v>
      </c>
      <c r="D3269" t="s">
        <v>42</v>
      </c>
      <c r="E3269" t="s">
        <v>43</v>
      </c>
      <c r="F3269" t="s">
        <v>44</v>
      </c>
      <c r="G3269" t="s">
        <v>45</v>
      </c>
      <c r="AH3269" t="s">
        <v>42</v>
      </c>
      <c r="AI3269" t="str">
        <f>"66298907888283"</f>
        <v>66298907888283</v>
      </c>
      <c r="AJ3269" t="str">
        <f>"GY624"</f>
        <v>GY624</v>
      </c>
      <c r="AK3269" t="s">
        <v>46</v>
      </c>
      <c r="AL3269" s="1">
        <v>44816.55877314815</v>
      </c>
      <c r="AM3269" t="s">
        <v>44</v>
      </c>
    </row>
    <row r="3270" spans="1:39" x14ac:dyDescent="0.2">
      <c r="A3270" t="s">
        <v>3125</v>
      </c>
      <c r="B3270" t="s">
        <v>40</v>
      </c>
      <c r="C3270" t="s">
        <v>1143</v>
      </c>
      <c r="D3270" t="s">
        <v>42</v>
      </c>
      <c r="E3270" t="s">
        <v>43</v>
      </c>
      <c r="F3270" t="s">
        <v>44</v>
      </c>
      <c r="G3270" t="s">
        <v>45</v>
      </c>
      <c r="AH3270" t="s">
        <v>42</v>
      </c>
      <c r="AI3270" t="str">
        <f>"66298907803488"</f>
        <v>66298907803488</v>
      </c>
      <c r="AJ3270" t="str">
        <f>"XA011"</f>
        <v>XA011</v>
      </c>
      <c r="AK3270" t="s">
        <v>46</v>
      </c>
      <c r="AL3270" s="1">
        <v>44816.55877314815</v>
      </c>
      <c r="AM3270" t="s">
        <v>44</v>
      </c>
    </row>
    <row r="3271" spans="1:39" x14ac:dyDescent="0.2">
      <c r="A3271" t="s">
        <v>3126</v>
      </c>
      <c r="B3271" t="s">
        <v>40</v>
      </c>
      <c r="C3271" t="s">
        <v>1189</v>
      </c>
      <c r="D3271" t="s">
        <v>42</v>
      </c>
      <c r="E3271" t="s">
        <v>43</v>
      </c>
      <c r="F3271" t="s">
        <v>44</v>
      </c>
      <c r="G3271" t="s">
        <v>45</v>
      </c>
      <c r="AH3271" t="s">
        <v>42</v>
      </c>
      <c r="AI3271" t="str">
        <f>"134012"</f>
        <v>134012</v>
      </c>
      <c r="AJ3271" t="str">
        <f>"134012"</f>
        <v>134012</v>
      </c>
      <c r="AK3271" t="s">
        <v>46</v>
      </c>
      <c r="AL3271" s="1">
        <v>45070.850115740737</v>
      </c>
      <c r="AM3271" t="s">
        <v>44</v>
      </c>
    </row>
    <row r="3272" spans="1:39" x14ac:dyDescent="0.2">
      <c r="A3272" t="s">
        <v>3127</v>
      </c>
      <c r="B3272" t="s">
        <v>40</v>
      </c>
      <c r="C3272" t="s">
        <v>129</v>
      </c>
      <c r="D3272" t="s">
        <v>42</v>
      </c>
      <c r="E3272" t="s">
        <v>43</v>
      </c>
      <c r="F3272" t="s">
        <v>44</v>
      </c>
      <c r="G3272" t="s">
        <v>45</v>
      </c>
      <c r="AH3272" t="s">
        <v>42</v>
      </c>
      <c r="AI3272" t="str">
        <f>"MS-3401"</f>
        <v>MS-3401</v>
      </c>
      <c r="AJ3272" t="str">
        <f>"MS-3401"</f>
        <v>MS-3401</v>
      </c>
      <c r="AK3272" t="s">
        <v>46</v>
      </c>
      <c r="AL3272" s="1">
        <v>44862.601956018516</v>
      </c>
      <c r="AM3272" t="s">
        <v>44</v>
      </c>
    </row>
    <row r="3273" spans="1:39" x14ac:dyDescent="0.2">
      <c r="A3273" t="s">
        <v>3128</v>
      </c>
      <c r="B3273" t="s">
        <v>40</v>
      </c>
      <c r="C3273" t="s">
        <v>129</v>
      </c>
      <c r="D3273" t="s">
        <v>42</v>
      </c>
      <c r="E3273" t="s">
        <v>43</v>
      </c>
      <c r="F3273" t="s">
        <v>44</v>
      </c>
      <c r="G3273" t="s">
        <v>45</v>
      </c>
      <c r="AH3273" t="s">
        <v>42</v>
      </c>
      <c r="AI3273" t="str">
        <f>"66298907929479"</f>
        <v>66298907929479</v>
      </c>
      <c r="AJ3273" t="str">
        <f>"Y095-MICA"</f>
        <v>Y095-MICA</v>
      </c>
      <c r="AK3273" t="s">
        <v>46</v>
      </c>
      <c r="AL3273" s="1">
        <v>44816.55878472222</v>
      </c>
      <c r="AM3273" t="s">
        <v>44</v>
      </c>
    </row>
    <row r="3274" spans="1:39" x14ac:dyDescent="0.2">
      <c r="A3274" t="s">
        <v>3129</v>
      </c>
      <c r="B3274" t="s">
        <v>40</v>
      </c>
      <c r="C3274" t="s">
        <v>2104</v>
      </c>
      <c r="D3274" t="s">
        <v>42</v>
      </c>
      <c r="E3274" t="s">
        <v>43</v>
      </c>
      <c r="F3274" t="s">
        <v>44</v>
      </c>
      <c r="G3274" t="s">
        <v>45</v>
      </c>
      <c r="AH3274" t="s">
        <v>42</v>
      </c>
      <c r="AI3274" t="str">
        <f>"66298908013017"</f>
        <v>66298908013017</v>
      </c>
      <c r="AJ3274" t="str">
        <f>"R011"</f>
        <v>R011</v>
      </c>
      <c r="AK3274" t="s">
        <v>46</v>
      </c>
      <c r="AL3274" s="1">
        <v>44816.558796296296</v>
      </c>
      <c r="AM3274" t="s">
        <v>44</v>
      </c>
    </row>
    <row r="3275" spans="1:39" x14ac:dyDescent="0.2">
      <c r="A3275" t="s">
        <v>3130</v>
      </c>
      <c r="B3275" t="s">
        <v>40</v>
      </c>
      <c r="C3275" t="s">
        <v>2104</v>
      </c>
      <c r="D3275" t="s">
        <v>42</v>
      </c>
      <c r="E3275" t="s">
        <v>43</v>
      </c>
      <c r="F3275" t="s">
        <v>44</v>
      </c>
      <c r="G3275" t="s">
        <v>45</v>
      </c>
      <c r="AH3275" t="s">
        <v>42</v>
      </c>
      <c r="AI3275" t="str">
        <f>"66298907971658"</f>
        <v>66298907971658</v>
      </c>
      <c r="AJ3275" t="str">
        <f>"S021"</f>
        <v>S021</v>
      </c>
      <c r="AK3275" t="s">
        <v>46</v>
      </c>
      <c r="AL3275" s="1">
        <v>44816.55878472222</v>
      </c>
      <c r="AM3275" t="s">
        <v>44</v>
      </c>
    </row>
    <row r="3276" spans="1:39" x14ac:dyDescent="0.2">
      <c r="A3276" t="s">
        <v>3131</v>
      </c>
      <c r="B3276" t="s">
        <v>40</v>
      </c>
      <c r="C3276" t="s">
        <v>50</v>
      </c>
      <c r="D3276" t="s">
        <v>42</v>
      </c>
      <c r="E3276" t="s">
        <v>43</v>
      </c>
      <c r="F3276" t="s">
        <v>44</v>
      </c>
      <c r="G3276" t="s">
        <v>45</v>
      </c>
      <c r="AH3276" t="s">
        <v>42</v>
      </c>
      <c r="AI3276" t="str">
        <f>"66298908059213"</f>
        <v>66298908059213</v>
      </c>
      <c r="AJ3276" t="str">
        <f>"WD051"</f>
        <v>WD051</v>
      </c>
      <c r="AK3276" t="s">
        <v>46</v>
      </c>
      <c r="AL3276" s="1">
        <v>44816.558796296296</v>
      </c>
      <c r="AM3276" t="s">
        <v>44</v>
      </c>
    </row>
    <row r="3277" spans="1:39" x14ac:dyDescent="0.2">
      <c r="A3277" t="s">
        <v>3132</v>
      </c>
      <c r="B3277" t="s">
        <v>40</v>
      </c>
      <c r="C3277" t="s">
        <v>50</v>
      </c>
      <c r="D3277" t="s">
        <v>42</v>
      </c>
      <c r="E3277" t="s">
        <v>43</v>
      </c>
      <c r="F3277" t="s">
        <v>44</v>
      </c>
      <c r="G3277" t="s">
        <v>45</v>
      </c>
      <c r="AH3277" t="s">
        <v>42</v>
      </c>
      <c r="AI3277" t="str">
        <f>"66298908099189"</f>
        <v>66298908099189</v>
      </c>
      <c r="AJ3277" t="str">
        <f>"WD019"</f>
        <v>WD019</v>
      </c>
      <c r="AK3277" t="s">
        <v>46</v>
      </c>
      <c r="AL3277" s="1">
        <v>44816.558796296296</v>
      </c>
      <c r="AM3277" t="s">
        <v>44</v>
      </c>
    </row>
    <row r="3278" spans="1:39" x14ac:dyDescent="0.2">
      <c r="A3278" t="s">
        <v>3133</v>
      </c>
      <c r="B3278" t="s">
        <v>40</v>
      </c>
      <c r="C3278" t="s">
        <v>3134</v>
      </c>
      <c r="D3278" t="s">
        <v>42</v>
      </c>
      <c r="E3278" t="s">
        <v>43</v>
      </c>
      <c r="F3278" t="s">
        <v>44</v>
      </c>
      <c r="G3278" t="s">
        <v>45</v>
      </c>
      <c r="AH3278" t="s">
        <v>42</v>
      </c>
      <c r="AI3278" t="str">
        <f>"FA012"</f>
        <v>FA012</v>
      </c>
      <c r="AJ3278" t="str">
        <f>"FA012"</f>
        <v>FA012</v>
      </c>
      <c r="AK3278" t="s">
        <v>46</v>
      </c>
      <c r="AL3278" s="1">
        <v>45131.666550925926</v>
      </c>
      <c r="AM3278" t="s">
        <v>44</v>
      </c>
    </row>
    <row r="3279" spans="1:39" x14ac:dyDescent="0.2">
      <c r="A3279" t="s">
        <v>3135</v>
      </c>
      <c r="B3279" t="s">
        <v>40</v>
      </c>
      <c r="C3279" t="s">
        <v>3134</v>
      </c>
      <c r="D3279" t="s">
        <v>42</v>
      </c>
      <c r="E3279" t="s">
        <v>43</v>
      </c>
      <c r="F3279" t="s">
        <v>44</v>
      </c>
      <c r="G3279" t="s">
        <v>45</v>
      </c>
      <c r="AH3279" t="s">
        <v>42</v>
      </c>
      <c r="AI3279" t="str">
        <f>"66298908177121"</f>
        <v>66298908177121</v>
      </c>
      <c r="AJ3279" t="str">
        <f>"400134"</f>
        <v>400134</v>
      </c>
      <c r="AK3279" t="s">
        <v>46</v>
      </c>
      <c r="AL3279" s="1">
        <v>44816.558807870373</v>
      </c>
      <c r="AM3279" t="s">
        <v>44</v>
      </c>
    </row>
    <row r="3280" spans="1:39" x14ac:dyDescent="0.2">
      <c r="A3280" t="s">
        <v>3136</v>
      </c>
      <c r="B3280" t="s">
        <v>40</v>
      </c>
      <c r="C3280" t="s">
        <v>3134</v>
      </c>
      <c r="D3280" t="s">
        <v>42</v>
      </c>
      <c r="E3280" t="s">
        <v>43</v>
      </c>
      <c r="F3280" t="s">
        <v>44</v>
      </c>
      <c r="G3280" t="s">
        <v>45</v>
      </c>
      <c r="AH3280" t="s">
        <v>42</v>
      </c>
      <c r="AI3280" t="str">
        <f>"66298908137937"</f>
        <v>66298908137937</v>
      </c>
      <c r="AJ3280" t="str">
        <f>"FA007"</f>
        <v>FA007</v>
      </c>
      <c r="AK3280" t="s">
        <v>46</v>
      </c>
      <c r="AL3280" s="1">
        <v>44816.558807870373</v>
      </c>
      <c r="AM3280" t="s">
        <v>44</v>
      </c>
    </row>
    <row r="3281" spans="1:39" x14ac:dyDescent="0.2">
      <c r="A3281" t="s">
        <v>3137</v>
      </c>
      <c r="B3281" t="s">
        <v>40</v>
      </c>
      <c r="C3281" t="s">
        <v>3134</v>
      </c>
      <c r="D3281" t="s">
        <v>42</v>
      </c>
      <c r="E3281" t="s">
        <v>43</v>
      </c>
      <c r="F3281" t="s">
        <v>44</v>
      </c>
      <c r="G3281" t="s">
        <v>45</v>
      </c>
      <c r="AH3281" t="s">
        <v>43</v>
      </c>
      <c r="AI3281" t="str">
        <f>"MPAR-49CC"</f>
        <v>MPAR-49CC</v>
      </c>
      <c r="AJ3281" t="str">
        <f>"MPAR-49CC"</f>
        <v>MPAR-49CC</v>
      </c>
      <c r="AK3281" t="s">
        <v>46</v>
      </c>
      <c r="AL3281" s="1">
        <v>44999.663888888892</v>
      </c>
      <c r="AM3281" t="s">
        <v>44</v>
      </c>
    </row>
    <row r="3282" spans="1:39" x14ac:dyDescent="0.2">
      <c r="A3282" t="s">
        <v>3138</v>
      </c>
      <c r="B3282" t="s">
        <v>40</v>
      </c>
      <c r="C3282" t="s">
        <v>3134</v>
      </c>
      <c r="D3282" t="s">
        <v>42</v>
      </c>
      <c r="E3282" t="s">
        <v>43</v>
      </c>
      <c r="F3282" t="s">
        <v>44</v>
      </c>
      <c r="G3282" t="s">
        <v>45</v>
      </c>
      <c r="AH3282" t="s">
        <v>42</v>
      </c>
      <c r="AI3282" t="str">
        <f>"66298908214532"</f>
        <v>66298908214532</v>
      </c>
      <c r="AJ3282" t="str">
        <f>"400667"</f>
        <v>400667</v>
      </c>
      <c r="AK3282" t="s">
        <v>46</v>
      </c>
      <c r="AL3282" s="1">
        <v>44816.558819444443</v>
      </c>
      <c r="AM3282" t="s">
        <v>44</v>
      </c>
    </row>
    <row r="3283" spans="1:39" x14ac:dyDescent="0.2">
      <c r="A3283" t="s">
        <v>3139</v>
      </c>
      <c r="B3283" t="s">
        <v>40</v>
      </c>
      <c r="C3283" t="s">
        <v>3134</v>
      </c>
      <c r="D3283" t="s">
        <v>42</v>
      </c>
      <c r="E3283" t="s">
        <v>43</v>
      </c>
      <c r="F3283" t="s">
        <v>44</v>
      </c>
      <c r="G3283" t="s">
        <v>45</v>
      </c>
      <c r="AH3283" t="s">
        <v>42</v>
      </c>
      <c r="AI3283" t="str">
        <f>"FA017"</f>
        <v>FA017</v>
      </c>
      <c r="AJ3283" t="str">
        <f>"FA017"</f>
        <v>FA017</v>
      </c>
      <c r="AK3283" t="s">
        <v>46</v>
      </c>
      <c r="AL3283" s="1">
        <v>44858.813125000001</v>
      </c>
      <c r="AM3283" t="s">
        <v>44</v>
      </c>
    </row>
    <row r="3284" spans="1:39" x14ac:dyDescent="0.2">
      <c r="A3284" t="s">
        <v>3140</v>
      </c>
      <c r="B3284" t="s">
        <v>40</v>
      </c>
      <c r="C3284" t="s">
        <v>3134</v>
      </c>
      <c r="D3284" t="s">
        <v>42</v>
      </c>
      <c r="E3284" t="s">
        <v>43</v>
      </c>
      <c r="F3284" t="s">
        <v>44</v>
      </c>
      <c r="G3284" t="s">
        <v>45</v>
      </c>
      <c r="AH3284" t="s">
        <v>42</v>
      </c>
      <c r="AI3284" t="str">
        <f>"66298908318810"</f>
        <v>66298908318810</v>
      </c>
      <c r="AJ3284" t="str">
        <f>"400654"</f>
        <v>400654</v>
      </c>
      <c r="AK3284" t="s">
        <v>46</v>
      </c>
      <c r="AL3284" s="1">
        <v>44816.558831018519</v>
      </c>
      <c r="AM3284" t="s">
        <v>44</v>
      </c>
    </row>
    <row r="3285" spans="1:39" x14ac:dyDescent="0.2">
      <c r="A3285" t="s">
        <v>3141</v>
      </c>
      <c r="B3285" t="s">
        <v>40</v>
      </c>
      <c r="C3285" t="s">
        <v>3134</v>
      </c>
      <c r="D3285" t="s">
        <v>42</v>
      </c>
      <c r="E3285" t="s">
        <v>43</v>
      </c>
      <c r="F3285" t="s">
        <v>44</v>
      </c>
      <c r="G3285" t="s">
        <v>45</v>
      </c>
      <c r="AH3285" t="s">
        <v>42</v>
      </c>
      <c r="AI3285" t="str">
        <f>"66298908255747"</f>
        <v>66298908255747</v>
      </c>
      <c r="AJ3285" t="str">
        <f>"31200-KSP-901"</f>
        <v>31200-KSP-901</v>
      </c>
      <c r="AK3285" t="s">
        <v>46</v>
      </c>
      <c r="AL3285" s="1">
        <v>44816.558819444443</v>
      </c>
      <c r="AM3285" t="s">
        <v>44</v>
      </c>
    </row>
    <row r="3286" spans="1:39" x14ac:dyDescent="0.2">
      <c r="A3286" t="s">
        <v>3141</v>
      </c>
      <c r="B3286" t="s">
        <v>40</v>
      </c>
      <c r="C3286" t="s">
        <v>3134</v>
      </c>
      <c r="D3286" t="s">
        <v>42</v>
      </c>
      <c r="E3286" t="s">
        <v>43</v>
      </c>
      <c r="F3286" t="s">
        <v>44</v>
      </c>
      <c r="G3286" t="s">
        <v>45</v>
      </c>
      <c r="AH3286" t="s">
        <v>42</v>
      </c>
      <c r="AI3286" t="str">
        <f>"66298908263301"</f>
        <v>66298908263301</v>
      </c>
      <c r="AJ3286" t="str">
        <f>"FA011"</f>
        <v>FA011</v>
      </c>
      <c r="AK3286" t="s">
        <v>46</v>
      </c>
      <c r="AL3286" s="1">
        <v>44816.558819444443</v>
      </c>
      <c r="AM3286" t="s">
        <v>44</v>
      </c>
    </row>
    <row r="3287" spans="1:39" x14ac:dyDescent="0.2">
      <c r="A3287" t="s">
        <v>3142</v>
      </c>
      <c r="B3287" t="s">
        <v>40</v>
      </c>
      <c r="C3287" t="s">
        <v>3134</v>
      </c>
      <c r="D3287" t="s">
        <v>42</v>
      </c>
      <c r="E3287" t="s">
        <v>43</v>
      </c>
      <c r="F3287" t="s">
        <v>44</v>
      </c>
      <c r="G3287" t="s">
        <v>45</v>
      </c>
      <c r="AH3287" t="s">
        <v>42</v>
      </c>
      <c r="AI3287" t="str">
        <f>"66298908364945"</f>
        <v>66298908364945</v>
      </c>
      <c r="AJ3287" t="str">
        <f>"FA003"</f>
        <v>FA003</v>
      </c>
      <c r="AK3287" t="s">
        <v>46</v>
      </c>
      <c r="AL3287" s="1">
        <v>44816.558831018519</v>
      </c>
      <c r="AM3287" t="s">
        <v>44</v>
      </c>
    </row>
    <row r="3288" spans="1:39" x14ac:dyDescent="0.2">
      <c r="A3288" t="s">
        <v>3143</v>
      </c>
      <c r="B3288" t="s">
        <v>40</v>
      </c>
      <c r="C3288" t="s">
        <v>3134</v>
      </c>
      <c r="D3288" t="s">
        <v>42</v>
      </c>
      <c r="E3288" t="s">
        <v>43</v>
      </c>
      <c r="F3288" t="s">
        <v>44</v>
      </c>
      <c r="G3288" t="s">
        <v>45</v>
      </c>
      <c r="AH3288" t="s">
        <v>42</v>
      </c>
      <c r="AI3288" t="str">
        <f>"66298908412494"</f>
        <v>66298908412494</v>
      </c>
      <c r="AJ3288" t="str">
        <f>"400664"</f>
        <v>400664</v>
      </c>
      <c r="AK3288" t="s">
        <v>46</v>
      </c>
      <c r="AL3288" s="1">
        <v>44816.558842592596</v>
      </c>
      <c r="AM3288" t="s">
        <v>44</v>
      </c>
    </row>
    <row r="3289" spans="1:39" x14ac:dyDescent="0.2">
      <c r="A3289" t="s">
        <v>3144</v>
      </c>
      <c r="B3289" t="s">
        <v>40</v>
      </c>
      <c r="C3289" t="s">
        <v>3134</v>
      </c>
      <c r="D3289" t="s">
        <v>42</v>
      </c>
      <c r="E3289" t="s">
        <v>43</v>
      </c>
      <c r="F3289" t="s">
        <v>44</v>
      </c>
      <c r="G3289" t="s">
        <v>45</v>
      </c>
      <c r="AH3289" t="s">
        <v>42</v>
      </c>
      <c r="AI3289" t="str">
        <f>"66298908457663"</f>
        <v>66298908457663</v>
      </c>
      <c r="AJ3289" t="str">
        <f>"31210-KWA-941HB"</f>
        <v>31210-KWA-941HB</v>
      </c>
      <c r="AK3289" t="s">
        <v>46</v>
      </c>
      <c r="AL3289" s="1">
        <v>44816.558842592596</v>
      </c>
      <c r="AM3289" t="s">
        <v>44</v>
      </c>
    </row>
    <row r="3290" spans="1:39" x14ac:dyDescent="0.2">
      <c r="A3290" t="s">
        <v>3145</v>
      </c>
      <c r="B3290" t="s">
        <v>40</v>
      </c>
      <c r="C3290" t="s">
        <v>3134</v>
      </c>
      <c r="D3290" t="s">
        <v>42</v>
      </c>
      <c r="E3290" t="s">
        <v>43</v>
      </c>
      <c r="F3290" t="s">
        <v>44</v>
      </c>
      <c r="G3290" t="s">
        <v>45</v>
      </c>
      <c r="AH3290" t="s">
        <v>42</v>
      </c>
      <c r="AI3290" t="str">
        <f>"66298908499968"</f>
        <v>66298908499968</v>
      </c>
      <c r="AJ3290" t="str">
        <f>"FA005"</f>
        <v>FA005</v>
      </c>
      <c r="AK3290" t="s">
        <v>46</v>
      </c>
      <c r="AL3290" s="1">
        <v>44816.558854166666</v>
      </c>
      <c r="AM3290" t="s">
        <v>44</v>
      </c>
    </row>
    <row r="3291" spans="1:39" x14ac:dyDescent="0.2">
      <c r="A3291" t="s">
        <v>3146</v>
      </c>
      <c r="B3291" t="s">
        <v>40</v>
      </c>
      <c r="C3291" t="s">
        <v>3134</v>
      </c>
      <c r="D3291" t="s">
        <v>42</v>
      </c>
      <c r="E3291" t="s">
        <v>43</v>
      </c>
      <c r="F3291" t="s">
        <v>44</v>
      </c>
      <c r="G3291" t="s">
        <v>45</v>
      </c>
      <c r="AH3291" t="s">
        <v>42</v>
      </c>
      <c r="AI3291" t="str">
        <f>"66298908592904"</f>
        <v>66298908592904</v>
      </c>
      <c r="AJ3291" t="str">
        <f>"400655"</f>
        <v>400655</v>
      </c>
      <c r="AK3291" t="s">
        <v>46</v>
      </c>
      <c r="AL3291" s="1">
        <v>44816.558854166666</v>
      </c>
      <c r="AM3291" t="s">
        <v>44</v>
      </c>
    </row>
    <row r="3292" spans="1:39" x14ac:dyDescent="0.2">
      <c r="A3292" t="s">
        <v>3147</v>
      </c>
      <c r="B3292" t="s">
        <v>40</v>
      </c>
      <c r="C3292" t="s">
        <v>3134</v>
      </c>
      <c r="D3292" t="s">
        <v>42</v>
      </c>
      <c r="E3292" t="s">
        <v>43</v>
      </c>
      <c r="F3292" t="s">
        <v>44</v>
      </c>
      <c r="G3292" t="s">
        <v>45</v>
      </c>
      <c r="AH3292" t="s">
        <v>42</v>
      </c>
      <c r="AI3292" t="str">
        <f>"66298908542255"</f>
        <v>66298908542255</v>
      </c>
      <c r="AJ3292" t="str">
        <f>"31100-42A20"</f>
        <v>31100-42A20</v>
      </c>
      <c r="AK3292" t="s">
        <v>46</v>
      </c>
      <c r="AL3292" s="1">
        <v>44816.558854166666</v>
      </c>
      <c r="AM3292" t="s">
        <v>44</v>
      </c>
    </row>
    <row r="3293" spans="1:39" x14ac:dyDescent="0.2">
      <c r="A3293" t="s">
        <v>3148</v>
      </c>
      <c r="B3293" t="s">
        <v>40</v>
      </c>
      <c r="C3293" t="s">
        <v>3134</v>
      </c>
      <c r="D3293" t="s">
        <v>42</v>
      </c>
      <c r="E3293" t="s">
        <v>43</v>
      </c>
      <c r="F3293" t="s">
        <v>44</v>
      </c>
      <c r="G3293" t="s">
        <v>45</v>
      </c>
      <c r="AH3293" t="s">
        <v>42</v>
      </c>
      <c r="AI3293" t="str">
        <f>"66298908641210"</f>
        <v>66298908641210</v>
      </c>
      <c r="AJ3293" t="str">
        <f>"21C-H1800-10HB"</f>
        <v>21C-H1800-10HB</v>
      </c>
      <c r="AK3293" t="s">
        <v>46</v>
      </c>
      <c r="AL3293" s="1">
        <v>44816.558865740742</v>
      </c>
      <c r="AM3293" t="s">
        <v>44</v>
      </c>
    </row>
    <row r="3294" spans="1:39" x14ac:dyDescent="0.2">
      <c r="A3294" t="s">
        <v>3149</v>
      </c>
      <c r="B3294" t="s">
        <v>40</v>
      </c>
      <c r="C3294" t="s">
        <v>3134</v>
      </c>
      <c r="D3294" t="s">
        <v>42</v>
      </c>
      <c r="E3294" t="s">
        <v>43</v>
      </c>
      <c r="F3294" t="s">
        <v>44</v>
      </c>
      <c r="G3294" t="s">
        <v>45</v>
      </c>
      <c r="AH3294" t="s">
        <v>42</v>
      </c>
      <c r="AI3294" t="str">
        <f>"66298908689420"</f>
        <v>66298908689420</v>
      </c>
      <c r="AJ3294" t="str">
        <f>"400662"</f>
        <v>400662</v>
      </c>
      <c r="AK3294" t="s">
        <v>46</v>
      </c>
      <c r="AL3294" s="1">
        <v>44816.558865740742</v>
      </c>
      <c r="AM3294" t="s">
        <v>44</v>
      </c>
    </row>
    <row r="3295" spans="1:39" x14ac:dyDescent="0.2">
      <c r="A3295" t="s">
        <v>3150</v>
      </c>
      <c r="B3295" t="s">
        <v>40</v>
      </c>
      <c r="C3295" t="s">
        <v>3134</v>
      </c>
      <c r="D3295" t="s">
        <v>42</v>
      </c>
      <c r="E3295" t="s">
        <v>43</v>
      </c>
      <c r="F3295" t="s">
        <v>44</v>
      </c>
      <c r="G3295" t="s">
        <v>45</v>
      </c>
      <c r="AH3295" t="s">
        <v>42</v>
      </c>
      <c r="AI3295" t="str">
        <f>"66298908739720"</f>
        <v>66298908739720</v>
      </c>
      <c r="AJ3295" t="str">
        <f>"400666"</f>
        <v>400666</v>
      </c>
      <c r="AK3295" t="s">
        <v>46</v>
      </c>
      <c r="AL3295" s="1">
        <v>44816.558877314812</v>
      </c>
      <c r="AM3295" t="s">
        <v>44</v>
      </c>
    </row>
    <row r="3296" spans="1:39" x14ac:dyDescent="0.2">
      <c r="A3296" t="s">
        <v>3151</v>
      </c>
      <c r="B3296" t="s">
        <v>40</v>
      </c>
      <c r="C3296" t="s">
        <v>3134</v>
      </c>
      <c r="D3296" t="s">
        <v>42</v>
      </c>
      <c r="E3296" t="s">
        <v>43</v>
      </c>
      <c r="F3296" t="s">
        <v>44</v>
      </c>
      <c r="G3296" t="s">
        <v>45</v>
      </c>
      <c r="AH3296" t="s">
        <v>42</v>
      </c>
      <c r="AI3296" t="str">
        <f>"66298908788880"</f>
        <v>66298908788880</v>
      </c>
      <c r="AJ3296" t="str">
        <f>"31100-34J00HB"</f>
        <v>31100-34J00HB</v>
      </c>
      <c r="AK3296" t="s">
        <v>46</v>
      </c>
      <c r="AL3296" s="1">
        <v>44816.558877314812</v>
      </c>
      <c r="AM3296" t="s">
        <v>44</v>
      </c>
    </row>
    <row r="3297" spans="1:39" x14ac:dyDescent="0.2">
      <c r="A3297" t="s">
        <v>3152</v>
      </c>
      <c r="B3297" t="s">
        <v>40</v>
      </c>
      <c r="C3297" t="s">
        <v>3134</v>
      </c>
      <c r="D3297" t="s">
        <v>42</v>
      </c>
      <c r="E3297" t="s">
        <v>43</v>
      </c>
      <c r="F3297" t="s">
        <v>44</v>
      </c>
      <c r="G3297" t="s">
        <v>45</v>
      </c>
      <c r="AH3297" t="s">
        <v>42</v>
      </c>
      <c r="AI3297" t="str">
        <f>"66298908837115"</f>
        <v>66298908837115</v>
      </c>
      <c r="AJ3297" t="str">
        <f>"JL-3516-00"</f>
        <v>JL-3516-00</v>
      </c>
      <c r="AK3297" t="s">
        <v>46</v>
      </c>
      <c r="AL3297" s="1">
        <v>44816.558888888889</v>
      </c>
      <c r="AM3297" t="s">
        <v>44</v>
      </c>
    </row>
    <row r="3298" spans="1:39" x14ac:dyDescent="0.2">
      <c r="A3298" t="s">
        <v>3153</v>
      </c>
      <c r="B3298" t="s">
        <v>40</v>
      </c>
      <c r="C3298" t="s">
        <v>3134</v>
      </c>
      <c r="D3298" t="s">
        <v>42</v>
      </c>
      <c r="E3298" t="s">
        <v>43</v>
      </c>
      <c r="F3298" t="s">
        <v>44</v>
      </c>
      <c r="G3298" t="s">
        <v>45</v>
      </c>
      <c r="AH3298" t="s">
        <v>42</v>
      </c>
      <c r="AI3298" t="str">
        <f>"66298908882968"</f>
        <v>66298908882968</v>
      </c>
      <c r="AJ3298" t="str">
        <f>"JA-3516-00HB"</f>
        <v>JA-3516-00HB</v>
      </c>
      <c r="AK3298" t="s">
        <v>46</v>
      </c>
      <c r="AL3298" s="1">
        <v>44816.558888888889</v>
      </c>
      <c r="AM3298" t="s">
        <v>44</v>
      </c>
    </row>
    <row r="3299" spans="1:39" x14ac:dyDescent="0.2">
      <c r="A3299" t="s">
        <v>3154</v>
      </c>
      <c r="B3299" t="s">
        <v>40</v>
      </c>
      <c r="C3299" t="s">
        <v>3134</v>
      </c>
      <c r="D3299" t="s">
        <v>42</v>
      </c>
      <c r="E3299" t="s">
        <v>43</v>
      </c>
      <c r="F3299" t="s">
        <v>44</v>
      </c>
      <c r="G3299" t="s">
        <v>45</v>
      </c>
      <c r="AH3299" t="s">
        <v>42</v>
      </c>
      <c r="AI3299" t="str">
        <f>"66298908927918"</f>
        <v>66298908927918</v>
      </c>
      <c r="AJ3299" t="str">
        <f>"400661"</f>
        <v>400661</v>
      </c>
      <c r="AK3299" t="s">
        <v>46</v>
      </c>
      <c r="AL3299" s="1">
        <v>44816.558900462966</v>
      </c>
      <c r="AM3299" t="s">
        <v>44</v>
      </c>
    </row>
    <row r="3300" spans="1:39" x14ac:dyDescent="0.2">
      <c r="A3300" t="s">
        <v>3155</v>
      </c>
      <c r="B3300" t="s">
        <v>40</v>
      </c>
      <c r="C3300" t="s">
        <v>3134</v>
      </c>
      <c r="D3300" t="s">
        <v>42</v>
      </c>
      <c r="E3300" t="s">
        <v>43</v>
      </c>
      <c r="F3300" t="s">
        <v>44</v>
      </c>
      <c r="G3300" t="s">
        <v>45</v>
      </c>
      <c r="AH3300" t="s">
        <v>42</v>
      </c>
      <c r="AI3300" t="str">
        <f>"66298908970063"</f>
        <v>66298908970063</v>
      </c>
      <c r="AJ3300" t="str">
        <f>"DH-1110-58"</f>
        <v>DH-1110-58</v>
      </c>
      <c r="AK3300" t="s">
        <v>46</v>
      </c>
      <c r="AL3300" s="1">
        <v>44816.558900462966</v>
      </c>
      <c r="AM3300" t="s">
        <v>44</v>
      </c>
    </row>
    <row r="3301" spans="1:39" x14ac:dyDescent="0.2">
      <c r="A3301" t="s">
        <v>3156</v>
      </c>
      <c r="B3301" t="s">
        <v>40</v>
      </c>
      <c r="C3301" t="s">
        <v>3134</v>
      </c>
      <c r="D3301" t="s">
        <v>42</v>
      </c>
      <c r="E3301" t="s">
        <v>43</v>
      </c>
      <c r="F3301" t="s">
        <v>44</v>
      </c>
      <c r="G3301" t="s">
        <v>45</v>
      </c>
      <c r="AH3301" t="s">
        <v>42</v>
      </c>
      <c r="AI3301" t="str">
        <f>"66298909010754"</f>
        <v>66298909010754</v>
      </c>
      <c r="AJ3301" t="str">
        <f>"JC-1110-07"</f>
        <v>JC-1110-07</v>
      </c>
      <c r="AK3301" t="s">
        <v>46</v>
      </c>
      <c r="AL3301" s="1">
        <v>44816.558912037035</v>
      </c>
      <c r="AM3301" t="s">
        <v>44</v>
      </c>
    </row>
    <row r="3302" spans="1:39" x14ac:dyDescent="0.2">
      <c r="A3302" t="s">
        <v>3157</v>
      </c>
      <c r="B3302" t="s">
        <v>40</v>
      </c>
      <c r="C3302" t="s">
        <v>3134</v>
      </c>
      <c r="D3302" t="s">
        <v>42</v>
      </c>
      <c r="E3302" t="s">
        <v>43</v>
      </c>
      <c r="F3302" t="s">
        <v>44</v>
      </c>
      <c r="G3302" t="s">
        <v>45</v>
      </c>
      <c r="AH3302" t="s">
        <v>42</v>
      </c>
      <c r="AI3302" t="str">
        <f>"66298909049495"</f>
        <v>66298909049495</v>
      </c>
      <c r="AJ3302" t="str">
        <f>"400660"</f>
        <v>400660</v>
      </c>
      <c r="AK3302" t="s">
        <v>46</v>
      </c>
      <c r="AL3302" s="1">
        <v>44816.558912037035</v>
      </c>
      <c r="AM3302" t="s">
        <v>44</v>
      </c>
    </row>
    <row r="3303" spans="1:39" x14ac:dyDescent="0.2">
      <c r="A3303" t="s">
        <v>3158</v>
      </c>
      <c r="B3303" t="s">
        <v>40</v>
      </c>
      <c r="C3303" t="s">
        <v>3134</v>
      </c>
      <c r="D3303" t="s">
        <v>42</v>
      </c>
      <c r="E3303" t="s">
        <v>43</v>
      </c>
      <c r="F3303" t="s">
        <v>44</v>
      </c>
      <c r="G3303" t="s">
        <v>45</v>
      </c>
      <c r="AH3303" t="s">
        <v>42</v>
      </c>
      <c r="AI3303" t="str">
        <f>"66298909088435"</f>
        <v>66298909088435</v>
      </c>
      <c r="AJ3303" t="str">
        <f>"400656"</f>
        <v>400656</v>
      </c>
      <c r="AK3303" t="s">
        <v>46</v>
      </c>
      <c r="AL3303" s="1">
        <v>44816.558912037035</v>
      </c>
      <c r="AM3303" t="s">
        <v>44</v>
      </c>
    </row>
    <row r="3304" spans="1:39" x14ac:dyDescent="0.2">
      <c r="A3304" t="s">
        <v>3159</v>
      </c>
      <c r="B3304" t="s">
        <v>40</v>
      </c>
      <c r="C3304" t="s">
        <v>3134</v>
      </c>
      <c r="D3304" t="s">
        <v>42</v>
      </c>
      <c r="E3304" t="s">
        <v>43</v>
      </c>
      <c r="F3304" t="s">
        <v>44</v>
      </c>
      <c r="G3304" t="s">
        <v>45</v>
      </c>
      <c r="AH3304" t="s">
        <v>42</v>
      </c>
      <c r="AI3304" t="str">
        <f>"80394"</f>
        <v>80394</v>
      </c>
      <c r="AJ3304" t="str">
        <f>"80394"</f>
        <v>80394</v>
      </c>
      <c r="AK3304" t="s">
        <v>46</v>
      </c>
      <c r="AL3304" s="1">
        <v>44847.595381944448</v>
      </c>
      <c r="AM3304" t="s">
        <v>44</v>
      </c>
    </row>
    <row r="3305" spans="1:39" x14ac:dyDescent="0.2">
      <c r="A3305" t="s">
        <v>3160</v>
      </c>
      <c r="B3305" t="s">
        <v>40</v>
      </c>
      <c r="C3305" t="s">
        <v>3134</v>
      </c>
      <c r="D3305" t="s">
        <v>42</v>
      </c>
      <c r="E3305" t="s">
        <v>43</v>
      </c>
      <c r="F3305" t="s">
        <v>44</v>
      </c>
      <c r="G3305" t="s">
        <v>45</v>
      </c>
      <c r="AH3305" t="s">
        <v>42</v>
      </c>
      <c r="AI3305" t="str">
        <f>"66298909126234"</f>
        <v>66298909126234</v>
      </c>
      <c r="AJ3305" t="str">
        <f>"31200-KVC-890"</f>
        <v>31200-KVC-890</v>
      </c>
      <c r="AK3305" t="s">
        <v>46</v>
      </c>
      <c r="AL3305" s="1">
        <v>44816.558923611112</v>
      </c>
      <c r="AM3305" t="s">
        <v>44</v>
      </c>
    </row>
    <row r="3306" spans="1:39" x14ac:dyDescent="0.2">
      <c r="A3306" t="s">
        <v>3161</v>
      </c>
      <c r="B3306" t="s">
        <v>40</v>
      </c>
      <c r="C3306" t="s">
        <v>3134</v>
      </c>
      <c r="D3306" t="s">
        <v>42</v>
      </c>
      <c r="E3306" t="s">
        <v>43</v>
      </c>
      <c r="F3306" t="s">
        <v>44</v>
      </c>
      <c r="G3306" t="s">
        <v>45</v>
      </c>
      <c r="AH3306" t="s">
        <v>42</v>
      </c>
      <c r="AI3306" t="str">
        <f>"66298909171888"</f>
        <v>66298909171888</v>
      </c>
      <c r="AJ3306" t="str">
        <f>"5DW-H1800-00HB"</f>
        <v>5DW-H1800-00HB</v>
      </c>
      <c r="AK3306" t="s">
        <v>46</v>
      </c>
      <c r="AL3306" s="1">
        <v>44816.558923611112</v>
      </c>
      <c r="AM3306" t="s">
        <v>44</v>
      </c>
    </row>
    <row r="3307" spans="1:39" x14ac:dyDescent="0.2">
      <c r="A3307" t="s">
        <v>3162</v>
      </c>
      <c r="B3307" t="s">
        <v>40</v>
      </c>
      <c r="C3307" t="s">
        <v>3134</v>
      </c>
      <c r="D3307" t="s">
        <v>42</v>
      </c>
      <c r="E3307" t="s">
        <v>43</v>
      </c>
      <c r="F3307" t="s">
        <v>44</v>
      </c>
      <c r="G3307" t="s">
        <v>45</v>
      </c>
      <c r="AH3307" t="s">
        <v>42</v>
      </c>
      <c r="AI3307" t="str">
        <f>"66298909212340"</f>
        <v>66298909212340</v>
      </c>
      <c r="AJ3307" t="str">
        <f>"31200-KBB-901"</f>
        <v>31200-KBB-901</v>
      </c>
      <c r="AK3307" t="s">
        <v>46</v>
      </c>
      <c r="AL3307" s="1">
        <v>44816.558935185189</v>
      </c>
      <c r="AM3307" t="s">
        <v>44</v>
      </c>
    </row>
    <row r="3308" spans="1:39" x14ac:dyDescent="0.2">
      <c r="A3308" t="s">
        <v>3163</v>
      </c>
      <c r="B3308" t="s">
        <v>40</v>
      </c>
      <c r="C3308" t="s">
        <v>3134</v>
      </c>
      <c r="D3308" t="s">
        <v>42</v>
      </c>
      <c r="E3308" t="s">
        <v>43</v>
      </c>
      <c r="F3308" t="s">
        <v>44</v>
      </c>
      <c r="G3308" t="s">
        <v>45</v>
      </c>
      <c r="AH3308" t="s">
        <v>42</v>
      </c>
      <c r="AI3308" t="str">
        <f>"66298909250889"</f>
        <v>66298909250889</v>
      </c>
      <c r="AJ3308" t="str">
        <f>"400138"</f>
        <v>400138</v>
      </c>
      <c r="AK3308" t="s">
        <v>46</v>
      </c>
      <c r="AL3308" s="1">
        <v>44816.558935185189</v>
      </c>
      <c r="AM3308" t="s">
        <v>44</v>
      </c>
    </row>
    <row r="3309" spans="1:39" x14ac:dyDescent="0.2">
      <c r="A3309" t="s">
        <v>3164</v>
      </c>
      <c r="B3309" t="s">
        <v>40</v>
      </c>
      <c r="C3309" t="s">
        <v>3134</v>
      </c>
      <c r="D3309" t="s">
        <v>42</v>
      </c>
      <c r="E3309" t="s">
        <v>43</v>
      </c>
      <c r="F3309" t="s">
        <v>44</v>
      </c>
      <c r="G3309" t="s">
        <v>45</v>
      </c>
      <c r="AH3309" t="s">
        <v>42</v>
      </c>
      <c r="AI3309" t="str">
        <f>"66298909288923"</f>
        <v>66298909288923</v>
      </c>
      <c r="AJ3309" t="str">
        <f>"80359"</f>
        <v>80359</v>
      </c>
      <c r="AK3309" t="s">
        <v>46</v>
      </c>
      <c r="AL3309" s="1">
        <v>44816.558935185189</v>
      </c>
      <c r="AM3309" t="s">
        <v>44</v>
      </c>
    </row>
    <row r="3310" spans="1:39" x14ac:dyDescent="0.2">
      <c r="A3310" t="s">
        <v>3164</v>
      </c>
      <c r="B3310" t="s">
        <v>40</v>
      </c>
      <c r="C3310" t="s">
        <v>3134</v>
      </c>
      <c r="D3310" t="s">
        <v>42</v>
      </c>
      <c r="E3310" t="s">
        <v>43</v>
      </c>
      <c r="F3310" t="s">
        <v>44</v>
      </c>
      <c r="G3310" t="s">
        <v>45</v>
      </c>
      <c r="AH3310" t="s">
        <v>42</v>
      </c>
      <c r="AI3310" t="str">
        <f>"66298909295509"</f>
        <v>66298909295509</v>
      </c>
      <c r="AJ3310" t="str">
        <f>"FA009"</f>
        <v>FA009</v>
      </c>
      <c r="AK3310" t="s">
        <v>46</v>
      </c>
      <c r="AL3310" s="1">
        <v>44816.558935185189</v>
      </c>
      <c r="AM3310" t="s">
        <v>44</v>
      </c>
    </row>
    <row r="3311" spans="1:39" x14ac:dyDescent="0.2">
      <c r="A3311" t="s">
        <v>3165</v>
      </c>
      <c r="B3311" t="s">
        <v>40</v>
      </c>
      <c r="C3311" t="s">
        <v>3134</v>
      </c>
      <c r="D3311" t="s">
        <v>42</v>
      </c>
      <c r="E3311" t="s">
        <v>43</v>
      </c>
      <c r="F3311" t="s">
        <v>44</v>
      </c>
      <c r="G3311" t="s">
        <v>45</v>
      </c>
      <c r="AH3311" t="s">
        <v>42</v>
      </c>
      <c r="AI3311" t="str">
        <f>"66298909351047"</f>
        <v>66298909351047</v>
      </c>
      <c r="AJ3311" t="str">
        <f>"5YY-H1800-00HB"</f>
        <v>5YY-H1800-00HB</v>
      </c>
      <c r="AK3311" t="s">
        <v>46</v>
      </c>
      <c r="AL3311" s="1">
        <v>44816.558946759258</v>
      </c>
      <c r="AM3311" t="s">
        <v>44</v>
      </c>
    </row>
    <row r="3312" spans="1:39" x14ac:dyDescent="0.2">
      <c r="A3312" t="s">
        <v>3166</v>
      </c>
      <c r="B3312" t="s">
        <v>40</v>
      </c>
      <c r="C3312" t="s">
        <v>41</v>
      </c>
      <c r="D3312" t="s">
        <v>42</v>
      </c>
      <c r="E3312" t="s">
        <v>43</v>
      </c>
      <c r="F3312" t="s">
        <v>44</v>
      </c>
      <c r="G3312" t="s">
        <v>45</v>
      </c>
      <c r="AH3312" t="s">
        <v>42</v>
      </c>
      <c r="AI3312" t="str">
        <f>"21680"</f>
        <v>21680</v>
      </c>
      <c r="AJ3312" t="str">
        <f>"21680"</f>
        <v>21680</v>
      </c>
      <c r="AK3312" t="s">
        <v>46</v>
      </c>
      <c r="AL3312" s="1">
        <v>45162.721296296295</v>
      </c>
      <c r="AM3312" t="s">
        <v>44</v>
      </c>
    </row>
    <row r="3313" spans="1:39" x14ac:dyDescent="0.2">
      <c r="A3313" t="s">
        <v>3167</v>
      </c>
      <c r="B3313" t="s">
        <v>40</v>
      </c>
      <c r="C3313" t="s">
        <v>3168</v>
      </c>
      <c r="D3313" t="s">
        <v>42</v>
      </c>
      <c r="E3313" t="s">
        <v>43</v>
      </c>
      <c r="F3313" t="s">
        <v>44</v>
      </c>
      <c r="G3313" t="s">
        <v>45</v>
      </c>
      <c r="AH3313" t="s">
        <v>42</v>
      </c>
      <c r="AI3313" t="str">
        <f>"66298909438678"</f>
        <v>66298909438678</v>
      </c>
      <c r="AJ3313" t="str">
        <f>"145/70-6DURO"</f>
        <v>145/70-6DURO</v>
      </c>
      <c r="AK3313" t="s">
        <v>46</v>
      </c>
      <c r="AL3313" s="1">
        <v>44816.558958333335</v>
      </c>
      <c r="AM3313" t="s">
        <v>44</v>
      </c>
    </row>
    <row r="3314" spans="1:39" x14ac:dyDescent="0.2">
      <c r="A3314" t="s">
        <v>3169</v>
      </c>
      <c r="B3314" t="s">
        <v>40</v>
      </c>
      <c r="C3314" t="s">
        <v>3168</v>
      </c>
      <c r="D3314" t="s">
        <v>42</v>
      </c>
      <c r="E3314" t="s">
        <v>43</v>
      </c>
      <c r="F3314" t="s">
        <v>44</v>
      </c>
      <c r="G3314" t="s">
        <v>45</v>
      </c>
      <c r="AH3314" t="s">
        <v>42</v>
      </c>
      <c r="AI3314" t="str">
        <f>"66298909491669"</f>
        <v>66298909491669</v>
      </c>
      <c r="AJ3314" t="str">
        <f>"145X7-6APEX"</f>
        <v>145X7-6APEX</v>
      </c>
      <c r="AK3314" t="s">
        <v>46</v>
      </c>
      <c r="AL3314" s="1">
        <v>44816.558958333335</v>
      </c>
      <c r="AM3314" t="s">
        <v>44</v>
      </c>
    </row>
    <row r="3315" spans="1:39" x14ac:dyDescent="0.2">
      <c r="A3315" t="s">
        <v>3170</v>
      </c>
      <c r="B3315" t="s">
        <v>40</v>
      </c>
      <c r="C3315" t="s">
        <v>3168</v>
      </c>
      <c r="D3315" t="s">
        <v>42</v>
      </c>
      <c r="E3315" t="s">
        <v>43</v>
      </c>
      <c r="F3315" t="s">
        <v>44</v>
      </c>
      <c r="G3315" t="s">
        <v>45</v>
      </c>
      <c r="AH3315" t="s">
        <v>42</v>
      </c>
      <c r="AI3315" t="str">
        <f>"66298909532842"</f>
        <v>66298909532842</v>
      </c>
      <c r="AJ3315" t="str">
        <f>"13X5-6APEX"</f>
        <v>13X5-6APEX</v>
      </c>
      <c r="AK3315" t="s">
        <v>46</v>
      </c>
      <c r="AL3315" s="1">
        <v>44816.558969907404</v>
      </c>
      <c r="AM3315" t="s">
        <v>44</v>
      </c>
    </row>
    <row r="3316" spans="1:39" x14ac:dyDescent="0.2">
      <c r="A3316" t="s">
        <v>3171</v>
      </c>
      <c r="B3316" t="s">
        <v>40</v>
      </c>
      <c r="C3316" t="s">
        <v>3168</v>
      </c>
      <c r="D3316" t="s">
        <v>42</v>
      </c>
      <c r="E3316" t="s">
        <v>43</v>
      </c>
      <c r="F3316" t="s">
        <v>44</v>
      </c>
      <c r="G3316" t="s">
        <v>45</v>
      </c>
      <c r="AH3316" t="s">
        <v>42</v>
      </c>
      <c r="AI3316" t="str">
        <f>"66298909396265"</f>
        <v>66298909396265</v>
      </c>
      <c r="AJ3316" t="str">
        <f>"13X5.00-6CN"</f>
        <v>13X5.00-6CN</v>
      </c>
      <c r="AK3316" t="s">
        <v>46</v>
      </c>
      <c r="AL3316" s="1">
        <v>44816.558946759258</v>
      </c>
      <c r="AM3316" t="s">
        <v>44</v>
      </c>
    </row>
    <row r="3317" spans="1:39" x14ac:dyDescent="0.2">
      <c r="A3317" t="s">
        <v>3172</v>
      </c>
      <c r="B3317" t="s">
        <v>40</v>
      </c>
      <c r="C3317" t="s">
        <v>3168</v>
      </c>
      <c r="D3317" t="s">
        <v>42</v>
      </c>
      <c r="E3317" t="s">
        <v>43</v>
      </c>
      <c r="F3317" t="s">
        <v>44</v>
      </c>
      <c r="G3317" t="s">
        <v>45</v>
      </c>
      <c r="AH3317" t="s">
        <v>42</v>
      </c>
      <c r="AI3317" t="str">
        <f>"66298909574815"</f>
        <v>66298909574815</v>
      </c>
      <c r="AJ3317" t="str">
        <f>"16X8-7JUNKAI"</f>
        <v>16X8-7JUNKAI</v>
      </c>
      <c r="AK3317" t="s">
        <v>46</v>
      </c>
      <c r="AL3317" s="1">
        <v>44816.558969907404</v>
      </c>
      <c r="AM3317" t="s">
        <v>44</v>
      </c>
    </row>
    <row r="3318" spans="1:39" x14ac:dyDescent="0.2">
      <c r="A3318" t="s">
        <v>3173</v>
      </c>
      <c r="B3318" t="s">
        <v>40</v>
      </c>
      <c r="C3318" t="s">
        <v>3168</v>
      </c>
      <c r="D3318" t="s">
        <v>42</v>
      </c>
      <c r="E3318" t="s">
        <v>43</v>
      </c>
      <c r="F3318" t="s">
        <v>44</v>
      </c>
      <c r="G3318" t="s">
        <v>45</v>
      </c>
      <c r="AH3318" t="s">
        <v>42</v>
      </c>
      <c r="AI3318" t="str">
        <f>"66298909620028"</f>
        <v>66298909620028</v>
      </c>
      <c r="AJ3318" t="str">
        <f>"16X8-7APEX"</f>
        <v>16X8-7APEX</v>
      </c>
      <c r="AK3318" t="s">
        <v>46</v>
      </c>
      <c r="AL3318" s="1">
        <v>44816.558981481481</v>
      </c>
      <c r="AM3318" t="s">
        <v>44</v>
      </c>
    </row>
    <row r="3319" spans="1:39" x14ac:dyDescent="0.2">
      <c r="A3319" t="s">
        <v>3174</v>
      </c>
      <c r="B3319" t="s">
        <v>40</v>
      </c>
      <c r="C3319" t="s">
        <v>3168</v>
      </c>
      <c r="D3319" t="s">
        <v>42</v>
      </c>
      <c r="E3319" t="s">
        <v>43</v>
      </c>
      <c r="F3319" t="s">
        <v>44</v>
      </c>
      <c r="G3319" t="s">
        <v>45</v>
      </c>
      <c r="AH3319" t="s">
        <v>42</v>
      </c>
      <c r="AI3319" t="str">
        <f>"66298909662026"</f>
        <v>66298909662026</v>
      </c>
      <c r="AJ3319" t="str">
        <f>"20X7.00-8DURO"</f>
        <v>20X7.00-8DURO</v>
      </c>
      <c r="AK3319" t="s">
        <v>46</v>
      </c>
      <c r="AL3319" s="1">
        <v>44816.558981481481</v>
      </c>
      <c r="AM3319" t="s">
        <v>44</v>
      </c>
    </row>
    <row r="3320" spans="1:39" x14ac:dyDescent="0.2">
      <c r="A3320" t="s">
        <v>3175</v>
      </c>
      <c r="B3320" t="s">
        <v>40</v>
      </c>
      <c r="C3320" t="s">
        <v>3168</v>
      </c>
      <c r="D3320" t="s">
        <v>42</v>
      </c>
      <c r="E3320" t="s">
        <v>43</v>
      </c>
      <c r="F3320" t="s">
        <v>44</v>
      </c>
      <c r="G3320" t="s">
        <v>45</v>
      </c>
      <c r="AH3320" t="s">
        <v>42</v>
      </c>
      <c r="AI3320" t="str">
        <f>"66298909703522"</f>
        <v>66298909703522</v>
      </c>
      <c r="AJ3320" t="str">
        <f>"20X7-8DURO"</f>
        <v>20X7-8DURO</v>
      </c>
      <c r="AK3320" t="s">
        <v>46</v>
      </c>
      <c r="AL3320" s="1">
        <v>44816.558993055558</v>
      </c>
      <c r="AM3320" t="s">
        <v>44</v>
      </c>
    </row>
    <row r="3321" spans="1:39" x14ac:dyDescent="0.2">
      <c r="A3321" t="s">
        <v>3176</v>
      </c>
      <c r="B3321" t="s">
        <v>40</v>
      </c>
      <c r="C3321" t="s">
        <v>3168</v>
      </c>
      <c r="D3321" t="s">
        <v>42</v>
      </c>
      <c r="E3321" t="s">
        <v>43</v>
      </c>
      <c r="F3321" t="s">
        <v>44</v>
      </c>
      <c r="G3321" t="s">
        <v>45</v>
      </c>
      <c r="AH3321" t="s">
        <v>42</v>
      </c>
      <c r="AI3321" t="str">
        <f>"66298909745553"</f>
        <v>66298909745553</v>
      </c>
      <c r="AJ3321" t="str">
        <f>"19X7-8APEX"</f>
        <v>19X7-8APEX</v>
      </c>
      <c r="AK3321" t="s">
        <v>46</v>
      </c>
      <c r="AL3321" s="1">
        <v>44816.558993055558</v>
      </c>
      <c r="AM3321" t="s">
        <v>44</v>
      </c>
    </row>
    <row r="3322" spans="1:39" x14ac:dyDescent="0.2">
      <c r="A3322" t="s">
        <v>3177</v>
      </c>
      <c r="B3322" t="s">
        <v>40</v>
      </c>
      <c r="C3322" t="s">
        <v>3168</v>
      </c>
      <c r="D3322" t="s">
        <v>42</v>
      </c>
      <c r="E3322" t="s">
        <v>43</v>
      </c>
      <c r="F3322" t="s">
        <v>44</v>
      </c>
      <c r="G3322" t="s">
        <v>45</v>
      </c>
      <c r="AH3322" t="s">
        <v>42</v>
      </c>
      <c r="AI3322" t="str">
        <f>"66298909787479"</f>
        <v>66298909787479</v>
      </c>
      <c r="AJ3322" t="str">
        <f>"18X9.5-8APEX"</f>
        <v>18X9.5-8APEX</v>
      </c>
      <c r="AK3322" t="s">
        <v>46</v>
      </c>
      <c r="AL3322" s="1">
        <v>44816.558993055558</v>
      </c>
      <c r="AM3322" t="s">
        <v>44</v>
      </c>
    </row>
    <row r="3323" spans="1:39" x14ac:dyDescent="0.2">
      <c r="A3323" t="s">
        <v>3178</v>
      </c>
      <c r="B3323" t="s">
        <v>40</v>
      </c>
      <c r="C3323" t="s">
        <v>3168</v>
      </c>
      <c r="D3323" t="s">
        <v>42</v>
      </c>
      <c r="E3323" t="s">
        <v>43</v>
      </c>
      <c r="F3323" t="s">
        <v>44</v>
      </c>
      <c r="G3323" t="s">
        <v>45</v>
      </c>
      <c r="AH3323" t="s">
        <v>42</v>
      </c>
      <c r="AI3323" t="str">
        <f>"66298909829262"</f>
        <v>66298909829262</v>
      </c>
      <c r="AJ3323" t="str">
        <f>"22X10-10SR"</f>
        <v>22X10-10SR</v>
      </c>
      <c r="AK3323" t="s">
        <v>46</v>
      </c>
      <c r="AL3323" s="1">
        <v>44816.559004629627</v>
      </c>
      <c r="AM3323" t="s">
        <v>44</v>
      </c>
    </row>
    <row r="3324" spans="1:39" x14ac:dyDescent="0.2">
      <c r="A3324" t="s">
        <v>3179</v>
      </c>
      <c r="B3324" t="s">
        <v>40</v>
      </c>
      <c r="C3324" t="s">
        <v>3168</v>
      </c>
      <c r="D3324" t="s">
        <v>42</v>
      </c>
      <c r="E3324" t="s">
        <v>43</v>
      </c>
      <c r="F3324" t="s">
        <v>44</v>
      </c>
      <c r="G3324" t="s">
        <v>45</v>
      </c>
      <c r="AH3324" t="s">
        <v>42</v>
      </c>
      <c r="AI3324" t="str">
        <f>"67822290441825"</f>
        <v>67822290441825</v>
      </c>
      <c r="AJ3324" t="str">
        <f>"22X8-10WANDA"</f>
        <v>22X8-10WANDA</v>
      </c>
      <c r="AK3324" t="s">
        <v>46</v>
      </c>
      <c r="AL3324" s="1">
        <v>44992.876203703701</v>
      </c>
      <c r="AM3324" t="s">
        <v>44</v>
      </c>
    </row>
    <row r="3325" spans="1:39" x14ac:dyDescent="0.2">
      <c r="A3325" t="s">
        <v>3180</v>
      </c>
      <c r="B3325" t="s">
        <v>40</v>
      </c>
      <c r="C3325" t="s">
        <v>3168</v>
      </c>
      <c r="D3325" t="s">
        <v>42</v>
      </c>
      <c r="E3325" t="s">
        <v>43</v>
      </c>
      <c r="F3325" t="s">
        <v>44</v>
      </c>
      <c r="G3325" t="s">
        <v>45</v>
      </c>
      <c r="AH3325" t="s">
        <v>42</v>
      </c>
      <c r="AI3325" t="str">
        <f>"67822290367948"</f>
        <v>67822290367948</v>
      </c>
      <c r="AJ3325" t="str">
        <f>"20X10-10WANDA"</f>
        <v>20X10-10WANDA</v>
      </c>
      <c r="AK3325" t="s">
        <v>46</v>
      </c>
      <c r="AL3325" s="1">
        <v>44992.876192129632</v>
      </c>
      <c r="AM3325" t="s">
        <v>44</v>
      </c>
    </row>
    <row r="3326" spans="1:39" x14ac:dyDescent="0.2">
      <c r="A3326" t="s">
        <v>3181</v>
      </c>
      <c r="B3326" t="s">
        <v>40</v>
      </c>
      <c r="C3326" t="s">
        <v>3168</v>
      </c>
      <c r="D3326" t="s">
        <v>42</v>
      </c>
      <c r="E3326" t="s">
        <v>43</v>
      </c>
      <c r="F3326" t="s">
        <v>44</v>
      </c>
      <c r="G3326" t="s">
        <v>45</v>
      </c>
      <c r="AH3326" t="s">
        <v>42</v>
      </c>
      <c r="AI3326" t="str">
        <f>"67822290402721"</f>
        <v>67822290402721</v>
      </c>
      <c r="AJ3326" t="str">
        <f>"21X7-10WANDA"</f>
        <v>21X7-10WANDA</v>
      </c>
      <c r="AK3326" t="s">
        <v>46</v>
      </c>
      <c r="AL3326" s="1">
        <v>44992.876203703701</v>
      </c>
      <c r="AM3326" t="s">
        <v>44</v>
      </c>
    </row>
    <row r="3327" spans="1:39" x14ac:dyDescent="0.2">
      <c r="A3327" t="s">
        <v>3182</v>
      </c>
      <c r="B3327" t="s">
        <v>40</v>
      </c>
      <c r="C3327" t="s">
        <v>3168</v>
      </c>
      <c r="D3327" t="s">
        <v>42</v>
      </c>
      <c r="E3327" t="s">
        <v>43</v>
      </c>
      <c r="F3327" t="s">
        <v>44</v>
      </c>
      <c r="G3327" t="s">
        <v>45</v>
      </c>
      <c r="AH3327" t="s">
        <v>42</v>
      </c>
      <c r="AI3327" t="str">
        <f>"67822290458426"</f>
        <v>67822290458426</v>
      </c>
      <c r="AJ3327" t="str">
        <f>"23X7-10WANDA"</f>
        <v>23X7-10WANDA</v>
      </c>
      <c r="AK3327" t="s">
        <v>46</v>
      </c>
      <c r="AL3327" s="1">
        <v>44992.876203703701</v>
      </c>
      <c r="AM3327" t="s">
        <v>44</v>
      </c>
    </row>
    <row r="3328" spans="1:39" x14ac:dyDescent="0.2">
      <c r="A3328" t="s">
        <v>3183</v>
      </c>
      <c r="B3328" t="s">
        <v>40</v>
      </c>
      <c r="C3328" t="s">
        <v>3168</v>
      </c>
      <c r="D3328" t="s">
        <v>42</v>
      </c>
      <c r="E3328" t="s">
        <v>43</v>
      </c>
      <c r="F3328" t="s">
        <v>44</v>
      </c>
      <c r="G3328" t="s">
        <v>45</v>
      </c>
      <c r="AH3328" t="s">
        <v>42</v>
      </c>
      <c r="AI3328" t="str">
        <f>"67822290432230"</f>
        <v>67822290432230</v>
      </c>
      <c r="AJ3328" t="str">
        <f>"22X7-10WANDA"</f>
        <v>22X7-10WANDA</v>
      </c>
      <c r="AK3328" t="s">
        <v>46</v>
      </c>
      <c r="AL3328" s="1">
        <v>44992.876203703701</v>
      </c>
      <c r="AM3328" t="s">
        <v>44</v>
      </c>
    </row>
    <row r="3329" spans="1:39" x14ac:dyDescent="0.2">
      <c r="A3329" t="s">
        <v>3184</v>
      </c>
      <c r="B3329" t="s">
        <v>40</v>
      </c>
      <c r="C3329" t="s">
        <v>3168</v>
      </c>
      <c r="D3329" t="s">
        <v>42</v>
      </c>
      <c r="E3329" t="s">
        <v>43</v>
      </c>
      <c r="F3329" t="s">
        <v>44</v>
      </c>
      <c r="G3329" t="s">
        <v>45</v>
      </c>
      <c r="AH3329" t="s">
        <v>42</v>
      </c>
      <c r="AI3329" t="str">
        <f>"67822290390544"</f>
        <v>67822290390544</v>
      </c>
      <c r="AJ3329" t="str">
        <f>"20X11-10WANDA"</f>
        <v>20X11-10WANDA</v>
      </c>
      <c r="AK3329" t="s">
        <v>46</v>
      </c>
      <c r="AL3329" s="1">
        <v>44992.876192129632</v>
      </c>
      <c r="AM3329" t="s">
        <v>44</v>
      </c>
    </row>
    <row r="3330" spans="1:39" x14ac:dyDescent="0.2">
      <c r="A3330" t="s">
        <v>3184</v>
      </c>
      <c r="B3330" t="s">
        <v>40</v>
      </c>
      <c r="C3330" t="s">
        <v>3168</v>
      </c>
      <c r="D3330" t="s">
        <v>42</v>
      </c>
      <c r="E3330" t="s">
        <v>43</v>
      </c>
      <c r="F3330" t="s">
        <v>44</v>
      </c>
      <c r="G3330" t="s">
        <v>45</v>
      </c>
      <c r="AH3330" t="s">
        <v>42</v>
      </c>
      <c r="AI3330" t="str">
        <f>"67822290401810"</f>
        <v>67822290401810</v>
      </c>
      <c r="AJ3330" t="str">
        <f>"22X10-10WANDA"</f>
        <v>22X10-10WANDA</v>
      </c>
      <c r="AK3330" t="s">
        <v>46</v>
      </c>
      <c r="AL3330" s="1">
        <v>44992.876203703701</v>
      </c>
      <c r="AM3330" t="s">
        <v>44</v>
      </c>
    </row>
    <row r="3331" spans="1:39" x14ac:dyDescent="0.2">
      <c r="A3331" t="s">
        <v>3185</v>
      </c>
      <c r="B3331" t="s">
        <v>40</v>
      </c>
      <c r="C3331" t="s">
        <v>3168</v>
      </c>
      <c r="D3331" t="s">
        <v>42</v>
      </c>
      <c r="E3331" t="s">
        <v>43</v>
      </c>
      <c r="F3331" t="s">
        <v>44</v>
      </c>
      <c r="G3331" t="s">
        <v>45</v>
      </c>
      <c r="AH3331" t="s">
        <v>42</v>
      </c>
      <c r="AI3331" t="str">
        <f>"66298909868590"</f>
        <v>66298909868590</v>
      </c>
      <c r="AJ3331" t="str">
        <f>"20X10-10APEX"</f>
        <v>20X10-10APEX</v>
      </c>
      <c r="AK3331" t="s">
        <v>46</v>
      </c>
      <c r="AL3331" s="1">
        <v>44816.559004629627</v>
      </c>
      <c r="AM3331" t="s">
        <v>44</v>
      </c>
    </row>
    <row r="3332" spans="1:39" x14ac:dyDescent="0.2">
      <c r="A3332" t="s">
        <v>3186</v>
      </c>
      <c r="B3332" t="s">
        <v>40</v>
      </c>
      <c r="C3332" t="s">
        <v>3168</v>
      </c>
      <c r="D3332" t="s">
        <v>42</v>
      </c>
      <c r="E3332" t="s">
        <v>43</v>
      </c>
      <c r="F3332" t="s">
        <v>44</v>
      </c>
      <c r="G3332" t="s">
        <v>45</v>
      </c>
      <c r="AH3332" t="s">
        <v>42</v>
      </c>
      <c r="AI3332" t="str">
        <f>"66298909908040"</f>
        <v>66298909908040</v>
      </c>
      <c r="AJ3332" t="str">
        <f>"21X7-10APEX"</f>
        <v>21X7-10APEX</v>
      </c>
      <c r="AK3332" t="s">
        <v>46</v>
      </c>
      <c r="AL3332" s="1">
        <v>44816.559016203704</v>
      </c>
      <c r="AM3332" t="s">
        <v>44</v>
      </c>
    </row>
    <row r="3333" spans="1:39" x14ac:dyDescent="0.2">
      <c r="A3333" t="s">
        <v>3187</v>
      </c>
      <c r="B3333" t="s">
        <v>40</v>
      </c>
      <c r="C3333" t="s">
        <v>3168</v>
      </c>
      <c r="D3333" t="s">
        <v>42</v>
      </c>
      <c r="E3333" t="s">
        <v>43</v>
      </c>
      <c r="F3333" t="s">
        <v>44</v>
      </c>
      <c r="G3333" t="s">
        <v>45</v>
      </c>
      <c r="AH3333" t="s">
        <v>42</v>
      </c>
      <c r="AI3333" t="str">
        <f>"67822290483732"</f>
        <v>67822290483732</v>
      </c>
      <c r="AJ3333" t="str">
        <f>"23X8-11WANDA"</f>
        <v>23X8-11WANDA</v>
      </c>
      <c r="AK3333" t="s">
        <v>46</v>
      </c>
      <c r="AL3333" s="1">
        <v>44992.876203703701</v>
      </c>
      <c r="AM3333" t="s">
        <v>44</v>
      </c>
    </row>
    <row r="3334" spans="1:39" x14ac:dyDescent="0.2">
      <c r="A3334" t="s">
        <v>3187</v>
      </c>
      <c r="B3334" t="s">
        <v>40</v>
      </c>
      <c r="C3334" t="s">
        <v>3168</v>
      </c>
      <c r="D3334" t="s">
        <v>42</v>
      </c>
      <c r="E3334" t="s">
        <v>43</v>
      </c>
      <c r="F3334" t="s">
        <v>44</v>
      </c>
      <c r="G3334" t="s">
        <v>45</v>
      </c>
      <c r="AH3334" t="s">
        <v>42</v>
      </c>
      <c r="AI3334" t="str">
        <f>"67822290503017"</f>
        <v>67822290503017</v>
      </c>
      <c r="AJ3334" t="str">
        <f>"24X8-11WANDA"</f>
        <v>24X8-11WANDA</v>
      </c>
      <c r="AK3334" t="s">
        <v>46</v>
      </c>
      <c r="AL3334" s="1">
        <v>44992.876215277778</v>
      </c>
      <c r="AM3334" t="s">
        <v>44</v>
      </c>
    </row>
    <row r="3335" spans="1:39" x14ac:dyDescent="0.2">
      <c r="A3335" t="s">
        <v>3188</v>
      </c>
      <c r="B3335" t="s">
        <v>40</v>
      </c>
      <c r="C3335" t="s">
        <v>3168</v>
      </c>
      <c r="D3335" t="s">
        <v>42</v>
      </c>
      <c r="E3335" t="s">
        <v>43</v>
      </c>
      <c r="F3335" t="s">
        <v>44</v>
      </c>
      <c r="G3335" t="s">
        <v>45</v>
      </c>
      <c r="AH3335" t="s">
        <v>42</v>
      </c>
      <c r="AI3335" t="str">
        <f>"67822290509754"</f>
        <v>67822290509754</v>
      </c>
      <c r="AJ3335" t="str">
        <f>"25X10-11WANDA"</f>
        <v>25X10-11WANDA</v>
      </c>
      <c r="AK3335" t="s">
        <v>46</v>
      </c>
      <c r="AL3335" s="1">
        <v>44992.876215277778</v>
      </c>
      <c r="AM3335" t="s">
        <v>44</v>
      </c>
    </row>
    <row r="3336" spans="1:39" x14ac:dyDescent="0.2">
      <c r="A3336" t="s">
        <v>3189</v>
      </c>
      <c r="B3336" t="s">
        <v>40</v>
      </c>
      <c r="C3336" t="s">
        <v>3168</v>
      </c>
      <c r="D3336" t="s">
        <v>42</v>
      </c>
      <c r="E3336" t="s">
        <v>43</v>
      </c>
      <c r="F3336" t="s">
        <v>44</v>
      </c>
      <c r="G3336" t="s">
        <v>45</v>
      </c>
      <c r="AH3336" t="s">
        <v>42</v>
      </c>
      <c r="AI3336" t="str">
        <f>"66298909952735"</f>
        <v>66298909952735</v>
      </c>
      <c r="AJ3336" t="str">
        <f>"24X10-11APEX"</f>
        <v>24X10-11APEX</v>
      </c>
      <c r="AK3336" t="s">
        <v>46</v>
      </c>
      <c r="AL3336" s="1">
        <v>44816.559016203704</v>
      </c>
      <c r="AM3336" t="s">
        <v>44</v>
      </c>
    </row>
    <row r="3337" spans="1:39" x14ac:dyDescent="0.2">
      <c r="A3337" t="s">
        <v>3189</v>
      </c>
      <c r="B3337" t="s">
        <v>40</v>
      </c>
      <c r="C3337" t="s">
        <v>3168</v>
      </c>
      <c r="D3337" t="s">
        <v>42</v>
      </c>
      <c r="E3337" t="s">
        <v>43</v>
      </c>
      <c r="F3337" t="s">
        <v>44</v>
      </c>
      <c r="G3337" t="s">
        <v>45</v>
      </c>
      <c r="AH3337" t="s">
        <v>42</v>
      </c>
      <c r="AI3337" t="str">
        <f>"66298909958954"</f>
        <v>66298909958954</v>
      </c>
      <c r="AJ3337" t="str">
        <f>"22X7-11APEX"</f>
        <v>22X7-11APEX</v>
      </c>
      <c r="AK3337" t="s">
        <v>46</v>
      </c>
      <c r="AL3337" s="1">
        <v>44816.559016203704</v>
      </c>
      <c r="AM3337" t="s">
        <v>44</v>
      </c>
    </row>
    <row r="3338" spans="1:39" x14ac:dyDescent="0.2">
      <c r="A3338" t="s">
        <v>3190</v>
      </c>
      <c r="B3338" t="s">
        <v>40</v>
      </c>
      <c r="C3338" t="s">
        <v>3168</v>
      </c>
      <c r="D3338" t="s">
        <v>42</v>
      </c>
      <c r="E3338" t="s">
        <v>43</v>
      </c>
      <c r="F3338" t="s">
        <v>44</v>
      </c>
      <c r="G3338" t="s">
        <v>45</v>
      </c>
      <c r="AH3338" t="s">
        <v>42</v>
      </c>
      <c r="AI3338" t="str">
        <f>"67822290515858"</f>
        <v>67822290515858</v>
      </c>
      <c r="AJ3338" t="str">
        <f>"24X8-12WANDA"</f>
        <v>24X8-12WANDA</v>
      </c>
      <c r="AK3338" t="s">
        <v>46</v>
      </c>
      <c r="AL3338" s="1">
        <v>44992.876215277778</v>
      </c>
      <c r="AM3338" t="s">
        <v>44</v>
      </c>
    </row>
    <row r="3339" spans="1:39" x14ac:dyDescent="0.2">
      <c r="A3339" t="s">
        <v>3190</v>
      </c>
      <c r="B3339" t="s">
        <v>40</v>
      </c>
      <c r="C3339" t="s">
        <v>3168</v>
      </c>
      <c r="D3339" t="s">
        <v>42</v>
      </c>
      <c r="E3339" t="s">
        <v>43</v>
      </c>
      <c r="F3339" t="s">
        <v>44</v>
      </c>
      <c r="G3339" t="s">
        <v>45</v>
      </c>
      <c r="AH3339" t="s">
        <v>42</v>
      </c>
      <c r="AI3339" t="str">
        <f>"67822290528421"</f>
        <v>67822290528421</v>
      </c>
      <c r="AJ3339" t="str">
        <f>"25X10-12WANDA"</f>
        <v>25X10-12WANDA</v>
      </c>
      <c r="AK3339" t="s">
        <v>46</v>
      </c>
      <c r="AL3339" s="1">
        <v>44992.876215277778</v>
      </c>
      <c r="AM3339" t="s">
        <v>44</v>
      </c>
    </row>
    <row r="3340" spans="1:39" x14ac:dyDescent="0.2">
      <c r="A3340" t="s">
        <v>3190</v>
      </c>
      <c r="B3340" t="s">
        <v>40</v>
      </c>
      <c r="C3340" t="s">
        <v>3168</v>
      </c>
      <c r="D3340" t="s">
        <v>42</v>
      </c>
      <c r="E3340" t="s">
        <v>43</v>
      </c>
      <c r="F3340" t="s">
        <v>44</v>
      </c>
      <c r="G3340" t="s">
        <v>45</v>
      </c>
      <c r="AH3340" t="s">
        <v>42</v>
      </c>
      <c r="AI3340" t="str">
        <f>"67822290545945"</f>
        <v>67822290545945</v>
      </c>
      <c r="AJ3340" t="str">
        <f>"25X8-12WANDA"</f>
        <v>25X8-12WANDA</v>
      </c>
      <c r="AK3340" t="s">
        <v>46</v>
      </c>
      <c r="AL3340" s="1">
        <v>44992.876215277778</v>
      </c>
      <c r="AM3340" t="s">
        <v>44</v>
      </c>
    </row>
    <row r="3341" spans="1:39" x14ac:dyDescent="0.2">
      <c r="A3341" t="s">
        <v>3191</v>
      </c>
      <c r="B3341" t="s">
        <v>40</v>
      </c>
      <c r="C3341" t="s">
        <v>3168</v>
      </c>
      <c r="D3341" t="s">
        <v>42</v>
      </c>
      <c r="E3341" t="s">
        <v>43</v>
      </c>
      <c r="F3341" t="s">
        <v>44</v>
      </c>
      <c r="G3341" t="s">
        <v>45</v>
      </c>
      <c r="AH3341" t="s">
        <v>42</v>
      </c>
      <c r="AI3341" t="str">
        <f>"66298910020193"</f>
        <v>66298910020193</v>
      </c>
      <c r="AJ3341" t="str">
        <f>"24X8-12APEX"</f>
        <v>24X8-12APEX</v>
      </c>
      <c r="AK3341" t="s">
        <v>46</v>
      </c>
      <c r="AL3341" s="1">
        <v>44816.559027777781</v>
      </c>
      <c r="AM3341" t="s">
        <v>44</v>
      </c>
    </row>
    <row r="3342" spans="1:39" x14ac:dyDescent="0.2">
      <c r="A3342" t="s">
        <v>3191</v>
      </c>
      <c r="B3342" t="s">
        <v>40</v>
      </c>
      <c r="C3342" t="s">
        <v>3168</v>
      </c>
      <c r="D3342" t="s">
        <v>42</v>
      </c>
      <c r="E3342" t="s">
        <v>43</v>
      </c>
      <c r="F3342" t="s">
        <v>44</v>
      </c>
      <c r="G3342" t="s">
        <v>45</v>
      </c>
      <c r="AH3342" t="s">
        <v>42</v>
      </c>
      <c r="AI3342" t="str">
        <f>"66298910026488"</f>
        <v>66298910026488</v>
      </c>
      <c r="AJ3342" t="str">
        <f>"25X8-12APEX"</f>
        <v>25X8-12APEX</v>
      </c>
      <c r="AK3342" t="s">
        <v>46</v>
      </c>
      <c r="AL3342" s="1">
        <v>44816.559027777781</v>
      </c>
      <c r="AM3342" t="s">
        <v>44</v>
      </c>
    </row>
    <row r="3343" spans="1:39" x14ac:dyDescent="0.2">
      <c r="A3343" t="s">
        <v>3192</v>
      </c>
      <c r="B3343" t="s">
        <v>40</v>
      </c>
      <c r="C3343" t="s">
        <v>3168</v>
      </c>
      <c r="D3343" t="s">
        <v>42</v>
      </c>
      <c r="E3343" t="s">
        <v>43</v>
      </c>
      <c r="F3343" t="s">
        <v>44</v>
      </c>
      <c r="G3343" t="s">
        <v>45</v>
      </c>
      <c r="AH3343" t="s">
        <v>42</v>
      </c>
      <c r="AI3343" t="str">
        <f>"67822290326581"</f>
        <v>67822290326581</v>
      </c>
      <c r="AJ3343" t="str">
        <f>"145X70-6WANDA"</f>
        <v>145X70-6WANDA</v>
      </c>
      <c r="AK3343" t="s">
        <v>46</v>
      </c>
      <c r="AL3343" s="1">
        <v>44992.876192129632</v>
      </c>
      <c r="AM3343" t="s">
        <v>44</v>
      </c>
    </row>
    <row r="3344" spans="1:39" x14ac:dyDescent="0.2">
      <c r="A3344" t="s">
        <v>3193</v>
      </c>
      <c r="B3344" t="s">
        <v>40</v>
      </c>
      <c r="C3344" t="s">
        <v>3168</v>
      </c>
      <c r="D3344" t="s">
        <v>42</v>
      </c>
      <c r="E3344" t="s">
        <v>43</v>
      </c>
      <c r="F3344" t="s">
        <v>44</v>
      </c>
      <c r="G3344" t="s">
        <v>45</v>
      </c>
      <c r="AH3344" t="s">
        <v>42</v>
      </c>
      <c r="AI3344" t="str">
        <f>"67822290335334"</f>
        <v>67822290335334</v>
      </c>
      <c r="AJ3344" t="str">
        <f>"16X8-7WANDA"</f>
        <v>16X8-7WANDA</v>
      </c>
      <c r="AK3344" t="s">
        <v>46</v>
      </c>
      <c r="AL3344" s="1">
        <v>44992.876192129632</v>
      </c>
      <c r="AM3344" t="s">
        <v>44</v>
      </c>
    </row>
    <row r="3345" spans="1:39" x14ac:dyDescent="0.2">
      <c r="A3345" t="s">
        <v>3194</v>
      </c>
      <c r="B3345" t="s">
        <v>40</v>
      </c>
      <c r="C3345" t="s">
        <v>3168</v>
      </c>
      <c r="D3345" t="s">
        <v>42</v>
      </c>
      <c r="E3345" t="s">
        <v>43</v>
      </c>
      <c r="F3345" t="s">
        <v>44</v>
      </c>
      <c r="G3345" t="s">
        <v>45</v>
      </c>
      <c r="AH3345" t="s">
        <v>42</v>
      </c>
      <c r="AI3345" t="str">
        <f>"67822290365640"</f>
        <v>67822290365640</v>
      </c>
      <c r="AJ3345" t="str">
        <f>"19X7-8WANDA"</f>
        <v>19X7-8WANDA</v>
      </c>
      <c r="AK3345" t="s">
        <v>46</v>
      </c>
      <c r="AL3345" s="1">
        <v>44992.876192129632</v>
      </c>
      <c r="AM3345" t="s">
        <v>44</v>
      </c>
    </row>
    <row r="3346" spans="1:39" x14ac:dyDescent="0.2">
      <c r="A3346" t="s">
        <v>3195</v>
      </c>
      <c r="B3346" t="s">
        <v>40</v>
      </c>
      <c r="C3346" t="s">
        <v>3168</v>
      </c>
      <c r="D3346" t="s">
        <v>42</v>
      </c>
      <c r="E3346" t="s">
        <v>43</v>
      </c>
      <c r="F3346" t="s">
        <v>44</v>
      </c>
      <c r="G3346" t="s">
        <v>45</v>
      </c>
      <c r="AH3346" t="s">
        <v>42</v>
      </c>
      <c r="AI3346" t="str">
        <f>"67822290334886"</f>
        <v>67822290334886</v>
      </c>
      <c r="AJ3346" t="str">
        <f>"18X9.50-8WANDA"</f>
        <v>18X9.50-8WANDA</v>
      </c>
      <c r="AK3346" t="s">
        <v>46</v>
      </c>
      <c r="AL3346" s="1">
        <v>44992.876192129632</v>
      </c>
      <c r="AM3346" t="s">
        <v>44</v>
      </c>
    </row>
    <row r="3347" spans="1:39" x14ac:dyDescent="0.2">
      <c r="A3347" t="s">
        <v>3196</v>
      </c>
      <c r="B3347" t="s">
        <v>40</v>
      </c>
      <c r="C3347" t="s">
        <v>3168</v>
      </c>
      <c r="D3347" t="s">
        <v>42</v>
      </c>
      <c r="E3347" t="s">
        <v>43</v>
      </c>
      <c r="F3347" t="s">
        <v>44</v>
      </c>
      <c r="G3347" t="s">
        <v>45</v>
      </c>
      <c r="AH3347" t="s">
        <v>42</v>
      </c>
      <c r="AI3347" t="str">
        <f>"67822290397595"</f>
        <v>67822290397595</v>
      </c>
      <c r="AJ3347" t="str">
        <f>"20X7-8WANDA"</f>
        <v>20X7-8WANDA</v>
      </c>
      <c r="AK3347" t="s">
        <v>46</v>
      </c>
      <c r="AL3347" s="1">
        <v>44992.876192129632</v>
      </c>
      <c r="AM3347" t="s">
        <v>44</v>
      </c>
    </row>
    <row r="3348" spans="1:39" x14ac:dyDescent="0.2">
      <c r="A3348" t="s">
        <v>3196</v>
      </c>
      <c r="B3348" t="s">
        <v>40</v>
      </c>
      <c r="C3348" t="s">
        <v>3168</v>
      </c>
      <c r="D3348" t="s">
        <v>42</v>
      </c>
      <c r="E3348" t="s">
        <v>43</v>
      </c>
      <c r="F3348" t="s">
        <v>44</v>
      </c>
      <c r="G3348" t="s">
        <v>45</v>
      </c>
      <c r="AH3348" t="s">
        <v>42</v>
      </c>
      <c r="AI3348" t="str">
        <f>"67822290445970"</f>
        <v>67822290445970</v>
      </c>
      <c r="AJ3348" t="str">
        <f>"22X11-8WANDA"</f>
        <v>22X11-8WANDA</v>
      </c>
      <c r="AK3348" t="s">
        <v>46</v>
      </c>
      <c r="AL3348" s="1">
        <v>44992.876203703701</v>
      </c>
      <c r="AM3348" t="s">
        <v>44</v>
      </c>
    </row>
    <row r="3349" spans="1:39" x14ac:dyDescent="0.2">
      <c r="A3349" t="s">
        <v>3197</v>
      </c>
      <c r="B3349" t="s">
        <v>40</v>
      </c>
      <c r="C3349" t="s">
        <v>3168</v>
      </c>
      <c r="D3349" t="s">
        <v>42</v>
      </c>
      <c r="E3349" t="s">
        <v>43</v>
      </c>
      <c r="F3349" t="s">
        <v>44</v>
      </c>
      <c r="G3349" t="s">
        <v>45</v>
      </c>
      <c r="AH3349" t="s">
        <v>42</v>
      </c>
      <c r="AI3349" t="str">
        <f>"67822290366754"</f>
        <v>67822290366754</v>
      </c>
      <c r="AJ3349" t="str">
        <f>"20X10-9WANDA"</f>
        <v>20X10-9WANDA</v>
      </c>
      <c r="AK3349" t="s">
        <v>46</v>
      </c>
      <c r="AL3349" s="1">
        <v>44992.876192129632</v>
      </c>
      <c r="AM3349" t="s">
        <v>44</v>
      </c>
    </row>
    <row r="3350" spans="1:39" x14ac:dyDescent="0.2">
      <c r="A3350" t="s">
        <v>3198</v>
      </c>
      <c r="B3350" t="s">
        <v>40</v>
      </c>
      <c r="C3350" t="s">
        <v>3168</v>
      </c>
      <c r="D3350" t="s">
        <v>42</v>
      </c>
      <c r="E3350" t="s">
        <v>43</v>
      </c>
      <c r="F3350" t="s">
        <v>44</v>
      </c>
      <c r="G3350" t="s">
        <v>45</v>
      </c>
      <c r="AH3350" t="s">
        <v>42</v>
      </c>
      <c r="AI3350" t="str">
        <f>"67822290445801"</f>
        <v>67822290445801</v>
      </c>
      <c r="AJ3350" t="str">
        <f>"20X11X9WANDA"</f>
        <v>20X11X9WANDA</v>
      </c>
      <c r="AK3350" t="s">
        <v>46</v>
      </c>
      <c r="AL3350" s="1">
        <v>44992.876203703701</v>
      </c>
      <c r="AM3350" t="s">
        <v>44</v>
      </c>
    </row>
    <row r="3351" spans="1:39" x14ac:dyDescent="0.2">
      <c r="A3351" t="s">
        <v>3199</v>
      </c>
      <c r="B3351" t="s">
        <v>40</v>
      </c>
      <c r="C3351" t="s">
        <v>3168</v>
      </c>
      <c r="D3351" t="s">
        <v>42</v>
      </c>
      <c r="E3351" t="s">
        <v>43</v>
      </c>
      <c r="F3351" t="s">
        <v>44</v>
      </c>
      <c r="G3351" t="s">
        <v>45</v>
      </c>
      <c r="AH3351" t="s">
        <v>42</v>
      </c>
      <c r="AI3351" t="str">
        <f>"130/90-10TLCST"</f>
        <v>130/90-10TLCST</v>
      </c>
      <c r="AJ3351" t="str">
        <f>"130/90-10TLCST"</f>
        <v>130/90-10TLCST</v>
      </c>
      <c r="AK3351" t="s">
        <v>46</v>
      </c>
      <c r="AL3351" s="1">
        <v>45084.677835648145</v>
      </c>
      <c r="AM3351" t="s">
        <v>44</v>
      </c>
    </row>
    <row r="3352" spans="1:39" x14ac:dyDescent="0.2">
      <c r="A3352" t="s">
        <v>3200</v>
      </c>
      <c r="B3352" t="s">
        <v>40</v>
      </c>
      <c r="C3352" t="s">
        <v>3168</v>
      </c>
      <c r="D3352" t="s">
        <v>42</v>
      </c>
      <c r="E3352" t="s">
        <v>43</v>
      </c>
      <c r="F3352" t="s">
        <v>44</v>
      </c>
      <c r="G3352" t="s">
        <v>45</v>
      </c>
      <c r="AH3352" t="s">
        <v>42</v>
      </c>
      <c r="AI3352" t="str">
        <f>"350X10TLDURO"</f>
        <v>350X10TLDURO</v>
      </c>
      <c r="AJ3352" t="str">
        <f>"350X10TLDURO"</f>
        <v>350X10TLDURO</v>
      </c>
      <c r="AK3352" t="s">
        <v>46</v>
      </c>
      <c r="AL3352" s="1">
        <v>44965.855208333334</v>
      </c>
      <c r="AM3352" t="s">
        <v>44</v>
      </c>
    </row>
    <row r="3353" spans="1:39" x14ac:dyDescent="0.2">
      <c r="A3353" t="s">
        <v>3201</v>
      </c>
      <c r="B3353" t="s">
        <v>40</v>
      </c>
      <c r="C3353" t="s">
        <v>3168</v>
      </c>
      <c r="D3353" t="s">
        <v>42</v>
      </c>
      <c r="E3353" t="s">
        <v>43</v>
      </c>
      <c r="F3353" t="s">
        <v>44</v>
      </c>
      <c r="G3353" t="s">
        <v>45</v>
      </c>
      <c r="AH3353" t="s">
        <v>42</v>
      </c>
      <c r="AI3353" t="str">
        <f>"350/10TLDURO"</f>
        <v>350/10TLDURO</v>
      </c>
      <c r="AJ3353" t="str">
        <f>"350/10TLDURO"</f>
        <v>350/10TLDURO</v>
      </c>
      <c r="AK3353" t="s">
        <v>46</v>
      </c>
      <c r="AL3353" s="1">
        <v>44972.580381944441</v>
      </c>
      <c r="AM3353" t="s">
        <v>44</v>
      </c>
    </row>
    <row r="3354" spans="1:39" x14ac:dyDescent="0.2">
      <c r="A3354" t="s">
        <v>3202</v>
      </c>
      <c r="B3354" t="s">
        <v>40</v>
      </c>
      <c r="C3354" t="s">
        <v>3168</v>
      </c>
      <c r="D3354" t="s">
        <v>42</v>
      </c>
      <c r="E3354" t="s">
        <v>43</v>
      </c>
      <c r="F3354" t="s">
        <v>44</v>
      </c>
      <c r="G3354" t="s">
        <v>45</v>
      </c>
      <c r="AH3354" t="s">
        <v>42</v>
      </c>
      <c r="AI3354" t="str">
        <f>"66298910107981"</f>
        <v>66298910107981</v>
      </c>
      <c r="AJ3354" t="str">
        <f>"350-10TLDURO"</f>
        <v>350-10TLDURO</v>
      </c>
      <c r="AK3354" t="s">
        <v>46</v>
      </c>
      <c r="AL3354" s="1">
        <v>44816.559039351851</v>
      </c>
      <c r="AM3354" t="s">
        <v>44</v>
      </c>
    </row>
    <row r="3355" spans="1:39" x14ac:dyDescent="0.2">
      <c r="A3355" t="s">
        <v>3203</v>
      </c>
      <c r="B3355" t="s">
        <v>40</v>
      </c>
      <c r="C3355" t="s">
        <v>3168</v>
      </c>
      <c r="D3355" t="s">
        <v>42</v>
      </c>
      <c r="E3355" t="s">
        <v>43</v>
      </c>
      <c r="F3355" t="s">
        <v>44</v>
      </c>
      <c r="G3355" t="s">
        <v>45</v>
      </c>
      <c r="AH3355" t="s">
        <v>42</v>
      </c>
      <c r="AI3355" t="str">
        <f>"67822289891465"</f>
        <v>67822289891465</v>
      </c>
      <c r="AJ3355" t="str">
        <f>"350X10-TLJD"</f>
        <v>350X10-TLJD</v>
      </c>
      <c r="AK3355" t="s">
        <v>46</v>
      </c>
      <c r="AL3355" s="1">
        <v>44992.876134259262</v>
      </c>
      <c r="AM3355" t="s">
        <v>44</v>
      </c>
    </row>
    <row r="3356" spans="1:39" x14ac:dyDescent="0.2">
      <c r="A3356" t="s">
        <v>3204</v>
      </c>
      <c r="B3356" t="s">
        <v>40</v>
      </c>
      <c r="C3356" t="s">
        <v>3168</v>
      </c>
      <c r="D3356" t="s">
        <v>42</v>
      </c>
      <c r="E3356" t="s">
        <v>43</v>
      </c>
      <c r="F3356" t="s">
        <v>44</v>
      </c>
      <c r="G3356" t="s">
        <v>45</v>
      </c>
      <c r="AH3356" t="s">
        <v>42</v>
      </c>
      <c r="AI3356" t="str">
        <f>"350*10TLSR"</f>
        <v>350*10TLSR</v>
      </c>
      <c r="AJ3356" t="str">
        <f>"350*10TLSR"</f>
        <v>350*10TLSR</v>
      </c>
      <c r="AK3356" t="s">
        <v>46</v>
      </c>
      <c r="AL3356" s="1">
        <v>45041.671377314815</v>
      </c>
      <c r="AM3356" t="s">
        <v>44</v>
      </c>
    </row>
    <row r="3357" spans="1:39" x14ac:dyDescent="0.2">
      <c r="A3357" t="s">
        <v>3205</v>
      </c>
      <c r="B3357" t="s">
        <v>40</v>
      </c>
      <c r="C3357" t="s">
        <v>3168</v>
      </c>
      <c r="D3357" t="s">
        <v>42</v>
      </c>
      <c r="E3357" t="s">
        <v>43</v>
      </c>
      <c r="F3357" t="s">
        <v>44</v>
      </c>
      <c r="G3357" t="s">
        <v>45</v>
      </c>
      <c r="AH3357" t="s">
        <v>42</v>
      </c>
      <c r="AI3357" t="str">
        <f>"350X10TLSR"</f>
        <v>350X10TLSR</v>
      </c>
      <c r="AJ3357" t="str">
        <f>"350X10TLSR"</f>
        <v>350X10TLSR</v>
      </c>
      <c r="AK3357" t="s">
        <v>46</v>
      </c>
      <c r="AL3357" s="1">
        <v>45041.670902777776</v>
      </c>
      <c r="AM3357" t="s">
        <v>44</v>
      </c>
    </row>
    <row r="3358" spans="1:39" x14ac:dyDescent="0.2">
      <c r="A3358" t="s">
        <v>3206</v>
      </c>
      <c r="B3358" t="s">
        <v>40</v>
      </c>
      <c r="C3358" t="s">
        <v>3168</v>
      </c>
      <c r="D3358" t="s">
        <v>42</v>
      </c>
      <c r="E3358" t="s">
        <v>43</v>
      </c>
      <c r="F3358" t="s">
        <v>44</v>
      </c>
      <c r="G3358" t="s">
        <v>45</v>
      </c>
      <c r="AH3358" t="s">
        <v>42</v>
      </c>
      <c r="AI3358" t="str">
        <f>"350-10TLSR"</f>
        <v>350-10TLSR</v>
      </c>
      <c r="AJ3358" t="str">
        <f>"350-10TLSR"</f>
        <v>350-10TLSR</v>
      </c>
      <c r="AK3358" t="s">
        <v>46</v>
      </c>
      <c r="AL3358" s="1">
        <v>44919.580474537041</v>
      </c>
      <c r="AM3358" t="s">
        <v>44</v>
      </c>
    </row>
    <row r="3359" spans="1:39" x14ac:dyDescent="0.2">
      <c r="A3359" t="s">
        <v>3207</v>
      </c>
      <c r="B3359" t="s">
        <v>40</v>
      </c>
      <c r="C3359" t="s">
        <v>3168</v>
      </c>
      <c r="D3359" t="s">
        <v>42</v>
      </c>
      <c r="E3359" t="s">
        <v>43</v>
      </c>
      <c r="F3359" t="s">
        <v>44</v>
      </c>
      <c r="G3359" t="s">
        <v>45</v>
      </c>
      <c r="AH3359" t="s">
        <v>42</v>
      </c>
      <c r="AI3359" t="str">
        <f>"66298910182690"</f>
        <v>66298910182690</v>
      </c>
      <c r="AJ3359" t="str">
        <f>"90/90-12TLCEAT"</f>
        <v>90/90-12TLCEAT</v>
      </c>
      <c r="AK3359" t="s">
        <v>46</v>
      </c>
      <c r="AL3359" s="1">
        <v>44816.559039351851</v>
      </c>
      <c r="AM3359" t="s">
        <v>44</v>
      </c>
    </row>
    <row r="3360" spans="1:39" x14ac:dyDescent="0.2">
      <c r="A3360" t="s">
        <v>3208</v>
      </c>
      <c r="B3360" t="s">
        <v>40</v>
      </c>
      <c r="C3360" t="s">
        <v>3168</v>
      </c>
      <c r="D3360" t="s">
        <v>42</v>
      </c>
      <c r="E3360" t="s">
        <v>43</v>
      </c>
      <c r="F3360" t="s">
        <v>44</v>
      </c>
      <c r="G3360" t="s">
        <v>45</v>
      </c>
      <c r="AH3360" t="s">
        <v>42</v>
      </c>
      <c r="AI3360" t="str">
        <f>"90/90-12TLDURO"</f>
        <v>90/90-12TLDURO</v>
      </c>
      <c r="AJ3360" t="str">
        <f>"90/90-12TLDURO"</f>
        <v>90/90-12TLDURO</v>
      </c>
      <c r="AK3360" t="s">
        <v>46</v>
      </c>
      <c r="AL3360" s="1">
        <v>44858.723263888889</v>
      </c>
      <c r="AM3360" t="s">
        <v>44</v>
      </c>
    </row>
    <row r="3361" spans="1:39" x14ac:dyDescent="0.2">
      <c r="A3361" t="s">
        <v>3209</v>
      </c>
      <c r="B3361" t="s">
        <v>40</v>
      </c>
      <c r="C3361" t="s">
        <v>3168</v>
      </c>
      <c r="D3361" t="s">
        <v>42</v>
      </c>
      <c r="E3361" t="s">
        <v>43</v>
      </c>
      <c r="F3361" t="s">
        <v>44</v>
      </c>
      <c r="G3361" t="s">
        <v>45</v>
      </c>
      <c r="AH3361" t="s">
        <v>42</v>
      </c>
      <c r="AI3361" t="str">
        <f>"90/90-12TLGUANGBO"</f>
        <v>90/90-12TLGUANGBO</v>
      </c>
      <c r="AJ3361" t="str">
        <f>"90/90-12TLGUANGBO"</f>
        <v>90/90-12TLGUANGBO</v>
      </c>
      <c r="AK3361" t="s">
        <v>46</v>
      </c>
      <c r="AL3361" s="1">
        <v>44999.761886574073</v>
      </c>
      <c r="AM3361" t="s">
        <v>44</v>
      </c>
    </row>
    <row r="3362" spans="1:39" x14ac:dyDescent="0.2">
      <c r="A3362" t="s">
        <v>3210</v>
      </c>
      <c r="B3362" t="s">
        <v>40</v>
      </c>
      <c r="C3362" t="s">
        <v>3168</v>
      </c>
      <c r="D3362" t="s">
        <v>42</v>
      </c>
      <c r="E3362" t="s">
        <v>43</v>
      </c>
      <c r="F3362" t="s">
        <v>44</v>
      </c>
      <c r="G3362" t="s">
        <v>45</v>
      </c>
      <c r="AH3362" t="s">
        <v>42</v>
      </c>
      <c r="AI3362" t="str">
        <f>"66298910250041"</f>
        <v>66298910250041</v>
      </c>
      <c r="AJ3362" t="str">
        <f>"90/90X12TLMI"</f>
        <v>90/90X12TLMI</v>
      </c>
      <c r="AK3362" t="s">
        <v>46</v>
      </c>
      <c r="AL3362" s="1">
        <v>44816.559050925927</v>
      </c>
      <c r="AM3362" t="s">
        <v>44</v>
      </c>
    </row>
    <row r="3363" spans="1:39" x14ac:dyDescent="0.2">
      <c r="A3363" t="s">
        <v>3211</v>
      </c>
      <c r="B3363" t="s">
        <v>40</v>
      </c>
      <c r="C3363" t="s">
        <v>3168</v>
      </c>
      <c r="D3363" t="s">
        <v>42</v>
      </c>
      <c r="E3363" t="s">
        <v>43</v>
      </c>
      <c r="F3363" t="s">
        <v>44</v>
      </c>
      <c r="G3363" t="s">
        <v>45</v>
      </c>
      <c r="AH3363" t="s">
        <v>42</v>
      </c>
      <c r="AI3363" t="str">
        <f>"90/90-12TLSRUN"</f>
        <v>90/90-12TLSRUN</v>
      </c>
      <c r="AJ3363" t="str">
        <f>"90/90-12TLSRUN"</f>
        <v>90/90-12TLSRUN</v>
      </c>
      <c r="AK3363" t="s">
        <v>46</v>
      </c>
      <c r="AL3363" s="1">
        <v>44919.581412037034</v>
      </c>
      <c r="AM3363" t="s">
        <v>44</v>
      </c>
    </row>
    <row r="3364" spans="1:39" x14ac:dyDescent="0.2">
      <c r="A3364" t="s">
        <v>3212</v>
      </c>
      <c r="B3364" t="s">
        <v>40</v>
      </c>
      <c r="C3364" t="s">
        <v>3168</v>
      </c>
      <c r="D3364" t="s">
        <v>42</v>
      </c>
      <c r="E3364" t="s">
        <v>43</v>
      </c>
      <c r="F3364" t="s">
        <v>44</v>
      </c>
      <c r="G3364" t="s">
        <v>45</v>
      </c>
      <c r="AH3364" t="s">
        <v>42</v>
      </c>
      <c r="AI3364" t="str">
        <f>"66298910294778"</f>
        <v>66298910294778</v>
      </c>
      <c r="AJ3364" t="str">
        <f>"120/70-12TLSR"</f>
        <v>120/70-12TLSR</v>
      </c>
      <c r="AK3364" t="s">
        <v>46</v>
      </c>
      <c r="AL3364" s="1">
        <v>44816.559050925927</v>
      </c>
      <c r="AM3364" t="s">
        <v>44</v>
      </c>
    </row>
    <row r="3365" spans="1:39" x14ac:dyDescent="0.2">
      <c r="A3365" t="s">
        <v>3213</v>
      </c>
      <c r="B3365" t="s">
        <v>40</v>
      </c>
      <c r="C3365" t="s">
        <v>3168</v>
      </c>
      <c r="D3365" t="s">
        <v>42</v>
      </c>
      <c r="E3365" t="s">
        <v>43</v>
      </c>
      <c r="F3365" t="s">
        <v>44</v>
      </c>
      <c r="G3365" t="s">
        <v>45</v>
      </c>
      <c r="AH3365" t="s">
        <v>42</v>
      </c>
      <c r="AI3365" t="str">
        <f>"66298910338806"</f>
        <v>66298910338806</v>
      </c>
      <c r="AJ3365" t="str">
        <f>"130/60-13TLSR"</f>
        <v>130/60-13TLSR</v>
      </c>
      <c r="AK3365" t="s">
        <v>46</v>
      </c>
      <c r="AL3365" s="1">
        <v>44816.559062499997</v>
      </c>
      <c r="AM3365" t="s">
        <v>44</v>
      </c>
    </row>
    <row r="3366" spans="1:39" x14ac:dyDescent="0.2">
      <c r="A3366" t="s">
        <v>3214</v>
      </c>
      <c r="B3366" t="s">
        <v>40</v>
      </c>
      <c r="C3366" t="s">
        <v>3168</v>
      </c>
      <c r="D3366" t="s">
        <v>42</v>
      </c>
      <c r="E3366" t="s">
        <v>43</v>
      </c>
      <c r="F3366" t="s">
        <v>44</v>
      </c>
      <c r="G3366" t="s">
        <v>45</v>
      </c>
      <c r="AH3366" t="s">
        <v>42</v>
      </c>
      <c r="AI3366" t="str">
        <f>"67822290244669"</f>
        <v>67822290244669</v>
      </c>
      <c r="AJ3366" t="str">
        <f>"130/60X13-TLWA"</f>
        <v>130/60X13-TLWA</v>
      </c>
      <c r="AK3366" t="s">
        <v>46</v>
      </c>
      <c r="AL3366" s="1">
        <v>44992.876180555555</v>
      </c>
      <c r="AM3366" t="s">
        <v>44</v>
      </c>
    </row>
    <row r="3367" spans="1:39" x14ac:dyDescent="0.2">
      <c r="A3367" t="s">
        <v>3215</v>
      </c>
      <c r="B3367" t="s">
        <v>40</v>
      </c>
      <c r="C3367" t="s">
        <v>3168</v>
      </c>
      <c r="D3367" t="s">
        <v>42</v>
      </c>
      <c r="E3367" t="s">
        <v>43</v>
      </c>
      <c r="F3367" t="s">
        <v>44</v>
      </c>
      <c r="G3367" t="s">
        <v>45</v>
      </c>
      <c r="AH3367" t="s">
        <v>42</v>
      </c>
      <c r="AI3367" t="str">
        <f>"275X14CHINO"</f>
        <v>275X14CHINO</v>
      </c>
      <c r="AJ3367" t="str">
        <f>"275X14CHINO"</f>
        <v>275X14CHINO</v>
      </c>
      <c r="AK3367" t="s">
        <v>46</v>
      </c>
      <c r="AL3367" s="1">
        <v>44980.843518518515</v>
      </c>
      <c r="AM3367" t="s">
        <v>44</v>
      </c>
    </row>
    <row r="3368" spans="1:39" x14ac:dyDescent="0.2">
      <c r="A3368" t="s">
        <v>3216</v>
      </c>
      <c r="B3368" t="s">
        <v>40</v>
      </c>
      <c r="C3368" t="s">
        <v>3168</v>
      </c>
      <c r="D3368" t="s">
        <v>42</v>
      </c>
      <c r="E3368" t="s">
        <v>43</v>
      </c>
      <c r="F3368" t="s">
        <v>44</v>
      </c>
      <c r="G3368" t="s">
        <v>45</v>
      </c>
      <c r="AH3368" t="s">
        <v>42</v>
      </c>
      <c r="AI3368" t="str">
        <f>"130/90-15TLDURO"</f>
        <v>130/90-15TLDURO</v>
      </c>
      <c r="AJ3368" t="str">
        <f>"130/90-15TLDURO"</f>
        <v>130/90-15TLDURO</v>
      </c>
      <c r="AK3368" t="s">
        <v>46</v>
      </c>
      <c r="AL3368" s="1">
        <v>44858.717037037037</v>
      </c>
      <c r="AM3368" t="s">
        <v>44</v>
      </c>
    </row>
    <row r="3369" spans="1:39" x14ac:dyDescent="0.2">
      <c r="A3369" t="s">
        <v>3217</v>
      </c>
      <c r="B3369" t="s">
        <v>40</v>
      </c>
      <c r="C3369" t="s">
        <v>3168</v>
      </c>
      <c r="D3369" t="s">
        <v>42</v>
      </c>
      <c r="E3369" t="s">
        <v>43</v>
      </c>
      <c r="F3369" t="s">
        <v>44</v>
      </c>
      <c r="G3369" t="s">
        <v>45</v>
      </c>
      <c r="AH3369" t="s">
        <v>42</v>
      </c>
      <c r="AI3369" t="str">
        <f>"130/90-15TLSR"</f>
        <v>130/90-15TLSR</v>
      </c>
      <c r="AJ3369" t="str">
        <f>"130/90-15TLSR"</f>
        <v>130/90-15TLSR</v>
      </c>
      <c r="AK3369" t="s">
        <v>46</v>
      </c>
      <c r="AL3369" s="1">
        <v>44987.562847222223</v>
      </c>
      <c r="AM3369" t="s">
        <v>44</v>
      </c>
    </row>
    <row r="3370" spans="1:39" x14ac:dyDescent="0.2">
      <c r="A3370" t="s">
        <v>3218</v>
      </c>
      <c r="B3370" t="s">
        <v>40</v>
      </c>
      <c r="C3370" t="s">
        <v>3168</v>
      </c>
      <c r="D3370" t="s">
        <v>42</v>
      </c>
      <c r="E3370" t="s">
        <v>43</v>
      </c>
      <c r="F3370" t="s">
        <v>44</v>
      </c>
      <c r="G3370" t="s">
        <v>45</v>
      </c>
      <c r="AH3370" t="s">
        <v>42</v>
      </c>
      <c r="AI3370" t="str">
        <f>"67822290552761"</f>
        <v>67822290552761</v>
      </c>
      <c r="AJ3370" t="str">
        <f>"130/90X15-TLWA"</f>
        <v>130/90X15-TLWA</v>
      </c>
      <c r="AK3370" t="s">
        <v>46</v>
      </c>
      <c r="AL3370" s="1">
        <v>44992.876215277778</v>
      </c>
      <c r="AM3370" t="s">
        <v>44</v>
      </c>
    </row>
    <row r="3371" spans="1:39" x14ac:dyDescent="0.2">
      <c r="A3371" t="s">
        <v>3219</v>
      </c>
      <c r="B3371" t="s">
        <v>40</v>
      </c>
      <c r="C3371" t="s">
        <v>3168</v>
      </c>
      <c r="D3371" t="s">
        <v>42</v>
      </c>
      <c r="E3371" t="s">
        <v>43</v>
      </c>
      <c r="F3371" t="s">
        <v>44</v>
      </c>
      <c r="G3371" t="s">
        <v>45</v>
      </c>
      <c r="AH3371" t="s">
        <v>42</v>
      </c>
      <c r="AI3371" t="str">
        <f>"66298910383364"</f>
        <v>66298910383364</v>
      </c>
      <c r="AJ3371" t="str">
        <f>"120/80-16TLCEAT"</f>
        <v>120/80-16TLCEAT</v>
      </c>
      <c r="AK3371" t="s">
        <v>46</v>
      </c>
      <c r="AL3371" s="1">
        <v>44816.559062499997</v>
      </c>
      <c r="AM3371" t="s">
        <v>44</v>
      </c>
    </row>
    <row r="3372" spans="1:39" x14ac:dyDescent="0.2">
      <c r="A3372" t="s">
        <v>3220</v>
      </c>
      <c r="B3372" t="s">
        <v>40</v>
      </c>
      <c r="C3372" t="s">
        <v>3168</v>
      </c>
      <c r="D3372" t="s">
        <v>42</v>
      </c>
      <c r="E3372" t="s">
        <v>43</v>
      </c>
      <c r="F3372" t="s">
        <v>44</v>
      </c>
      <c r="G3372" t="s">
        <v>45</v>
      </c>
      <c r="AH3372" t="s">
        <v>42</v>
      </c>
      <c r="AI3372" t="str">
        <f>"66298910426596"</f>
        <v>66298910426596</v>
      </c>
      <c r="AJ3372" t="str">
        <f>"110/90-16TLCEAT"</f>
        <v>110/90-16TLCEAT</v>
      </c>
      <c r="AK3372" t="s">
        <v>46</v>
      </c>
      <c r="AL3372" s="1">
        <v>44816.559074074074</v>
      </c>
      <c r="AM3372" t="s">
        <v>44</v>
      </c>
    </row>
    <row r="3373" spans="1:39" x14ac:dyDescent="0.2">
      <c r="A3373" t="s">
        <v>3221</v>
      </c>
      <c r="B3373" t="s">
        <v>40</v>
      </c>
      <c r="C3373" t="s">
        <v>3168</v>
      </c>
      <c r="D3373" t="s">
        <v>42</v>
      </c>
      <c r="E3373" t="s">
        <v>43</v>
      </c>
      <c r="F3373" t="s">
        <v>44</v>
      </c>
      <c r="G3373" t="s">
        <v>45</v>
      </c>
      <c r="AH3373" t="s">
        <v>42</v>
      </c>
      <c r="AI3373" t="str">
        <f>"66298910474265"</f>
        <v>66298910474265</v>
      </c>
      <c r="AJ3373" t="str">
        <f>"150/80-16SK"</f>
        <v>150/80-16SK</v>
      </c>
      <c r="AK3373" t="s">
        <v>46</v>
      </c>
      <c r="AL3373" s="1">
        <v>44816.559074074074</v>
      </c>
      <c r="AM3373" t="s">
        <v>44</v>
      </c>
    </row>
    <row r="3374" spans="1:39" x14ac:dyDescent="0.2">
      <c r="A3374" t="s">
        <v>3221</v>
      </c>
      <c r="B3374" t="s">
        <v>40</v>
      </c>
      <c r="C3374" t="s">
        <v>3168</v>
      </c>
      <c r="D3374" t="s">
        <v>42</v>
      </c>
      <c r="E3374" t="s">
        <v>43</v>
      </c>
      <c r="F3374" t="s">
        <v>44</v>
      </c>
      <c r="G3374" t="s">
        <v>45</v>
      </c>
      <c r="AH3374" t="s">
        <v>42</v>
      </c>
      <c r="AI3374" t="str">
        <f>"66298910483943"</f>
        <v>66298910483943</v>
      </c>
      <c r="AJ3374" t="str">
        <f>"180/65B-16TLSK"</f>
        <v>180/65B-16TLSK</v>
      </c>
      <c r="AK3374" t="s">
        <v>46</v>
      </c>
      <c r="AL3374" s="1">
        <v>44816.559074074074</v>
      </c>
      <c r="AM3374" t="s">
        <v>44</v>
      </c>
    </row>
    <row r="3375" spans="1:39" x14ac:dyDescent="0.2">
      <c r="A3375" t="s">
        <v>3222</v>
      </c>
      <c r="B3375" t="s">
        <v>40</v>
      </c>
      <c r="C3375" t="s">
        <v>3168</v>
      </c>
      <c r="D3375" t="s">
        <v>42</v>
      </c>
      <c r="E3375" t="s">
        <v>43</v>
      </c>
      <c r="F3375" t="s">
        <v>44</v>
      </c>
      <c r="G3375" t="s">
        <v>45</v>
      </c>
      <c r="AH3375" t="s">
        <v>42</v>
      </c>
      <c r="AI3375" t="str">
        <f>"66298910538091"</f>
        <v>66298910538091</v>
      </c>
      <c r="AJ3375" t="str">
        <f>"130/90-16WWSK"</f>
        <v>130/90-16WWSK</v>
      </c>
      <c r="AK3375" t="s">
        <v>46</v>
      </c>
      <c r="AL3375" s="1">
        <v>44816.55908564815</v>
      </c>
      <c r="AM3375" t="s">
        <v>44</v>
      </c>
    </row>
    <row r="3376" spans="1:39" x14ac:dyDescent="0.2">
      <c r="A3376" t="s">
        <v>3223</v>
      </c>
      <c r="B3376" t="s">
        <v>40</v>
      </c>
      <c r="C3376" t="s">
        <v>3168</v>
      </c>
      <c r="D3376" t="s">
        <v>42</v>
      </c>
      <c r="E3376" t="s">
        <v>43</v>
      </c>
      <c r="F3376" t="s">
        <v>44</v>
      </c>
      <c r="G3376" t="s">
        <v>45</v>
      </c>
      <c r="AH3376" t="s">
        <v>42</v>
      </c>
      <c r="AI3376" t="str">
        <f>"110/90-16TLSR"</f>
        <v>110/90-16TLSR</v>
      </c>
      <c r="AJ3376" t="str">
        <f>"110/90-16TLSR"</f>
        <v>110/90-16TLSR</v>
      </c>
      <c r="AK3376" t="s">
        <v>46</v>
      </c>
      <c r="AL3376" s="1">
        <v>45002.777222222219</v>
      </c>
      <c r="AM3376" t="s">
        <v>44</v>
      </c>
    </row>
    <row r="3377" spans="1:39" x14ac:dyDescent="0.2">
      <c r="A3377" t="s">
        <v>3224</v>
      </c>
      <c r="B3377" t="s">
        <v>40</v>
      </c>
      <c r="C3377" t="s">
        <v>3168</v>
      </c>
      <c r="D3377" t="s">
        <v>42</v>
      </c>
      <c r="E3377" t="s">
        <v>43</v>
      </c>
      <c r="F3377" t="s">
        <v>44</v>
      </c>
      <c r="G3377" t="s">
        <v>45</v>
      </c>
      <c r="AH3377" t="s">
        <v>42</v>
      </c>
      <c r="AI3377" t="str">
        <f>"67822290513992"</f>
        <v>67822290513992</v>
      </c>
      <c r="AJ3377" t="str">
        <f>"110/90X16DSWA"</f>
        <v>110/90X16DSWA</v>
      </c>
      <c r="AK3377" t="s">
        <v>46</v>
      </c>
      <c r="AL3377" s="1">
        <v>44992.876215277778</v>
      </c>
      <c r="AM3377" t="s">
        <v>44</v>
      </c>
    </row>
    <row r="3378" spans="1:39" x14ac:dyDescent="0.2">
      <c r="A3378" t="s">
        <v>3225</v>
      </c>
      <c r="B3378" t="s">
        <v>40</v>
      </c>
      <c r="C3378" t="s">
        <v>3168</v>
      </c>
      <c r="D3378" t="s">
        <v>42</v>
      </c>
      <c r="E3378" t="s">
        <v>43</v>
      </c>
      <c r="F3378" t="s">
        <v>44</v>
      </c>
      <c r="G3378" t="s">
        <v>45</v>
      </c>
      <c r="AH3378" t="s">
        <v>42</v>
      </c>
      <c r="AI3378" t="str">
        <f>"100/80-17TLCEAT"</f>
        <v>100/80-17TLCEAT</v>
      </c>
      <c r="AJ3378" t="str">
        <f>"100/80-17TLCEAT"</f>
        <v>100/80-17TLCEAT</v>
      </c>
      <c r="AK3378" t="s">
        <v>46</v>
      </c>
      <c r="AL3378" s="1">
        <v>44919.572106481479</v>
      </c>
      <c r="AM3378" t="s">
        <v>44</v>
      </c>
    </row>
    <row r="3379" spans="1:39" x14ac:dyDescent="0.2">
      <c r="A3379" t="s">
        <v>3226</v>
      </c>
      <c r="B3379" t="s">
        <v>40</v>
      </c>
      <c r="C3379" t="s">
        <v>3168</v>
      </c>
      <c r="D3379" t="s">
        <v>42</v>
      </c>
      <c r="E3379" t="s">
        <v>43</v>
      </c>
      <c r="F3379" t="s">
        <v>44</v>
      </c>
      <c r="G3379" t="s">
        <v>45</v>
      </c>
      <c r="AH3379" t="s">
        <v>42</v>
      </c>
      <c r="AI3379" t="str">
        <f>"66298910694903"</f>
        <v>66298910694903</v>
      </c>
      <c r="AJ3379" t="str">
        <f>"110/70-17TLCEAT"</f>
        <v>110/70-17TLCEAT</v>
      </c>
      <c r="AK3379" t="s">
        <v>46</v>
      </c>
      <c r="AL3379" s="1">
        <v>44816.55909722222</v>
      </c>
      <c r="AM3379" t="s">
        <v>44</v>
      </c>
    </row>
    <row r="3380" spans="1:39" x14ac:dyDescent="0.2">
      <c r="A3380" t="s">
        <v>3226</v>
      </c>
      <c r="B3380" t="s">
        <v>40</v>
      </c>
      <c r="C3380" t="s">
        <v>3168</v>
      </c>
      <c r="D3380" t="s">
        <v>42</v>
      </c>
      <c r="E3380" t="s">
        <v>43</v>
      </c>
      <c r="F3380" t="s">
        <v>44</v>
      </c>
      <c r="G3380" t="s">
        <v>45</v>
      </c>
      <c r="AH3380" t="s">
        <v>42</v>
      </c>
      <c r="AI3380" t="str">
        <f>"150/60-17TLCEAT"</f>
        <v>150/60-17TLCEAT</v>
      </c>
      <c r="AJ3380" t="str">
        <f>"150/60-17TLCEAT"</f>
        <v>150/60-17TLCEAT</v>
      </c>
      <c r="AK3380" t="s">
        <v>46</v>
      </c>
      <c r="AL3380" s="1">
        <v>44987.559108796297</v>
      </c>
      <c r="AM3380" t="s">
        <v>44</v>
      </c>
    </row>
    <row r="3381" spans="1:39" x14ac:dyDescent="0.2">
      <c r="A3381" t="s">
        <v>3227</v>
      </c>
      <c r="B3381" t="s">
        <v>40</v>
      </c>
      <c r="C3381" t="s">
        <v>3168</v>
      </c>
      <c r="D3381" t="s">
        <v>42</v>
      </c>
      <c r="E3381" t="s">
        <v>43</v>
      </c>
      <c r="F3381" t="s">
        <v>44</v>
      </c>
      <c r="G3381" t="s">
        <v>45</v>
      </c>
      <c r="AH3381" t="s">
        <v>42</v>
      </c>
      <c r="AI3381" t="str">
        <f>"66298910624970"</f>
        <v>66298910624970</v>
      </c>
      <c r="AJ3381" t="str">
        <f>"140/60-17TLCEAT"</f>
        <v>140/60-17TLCEAT</v>
      </c>
      <c r="AK3381" t="s">
        <v>46</v>
      </c>
      <c r="AL3381" s="1">
        <v>44816.55909722222</v>
      </c>
      <c r="AM3381" t="s">
        <v>44</v>
      </c>
    </row>
    <row r="3382" spans="1:39" x14ac:dyDescent="0.2">
      <c r="A3382" t="s">
        <v>3227</v>
      </c>
      <c r="B3382" t="s">
        <v>40</v>
      </c>
      <c r="C3382" t="s">
        <v>3168</v>
      </c>
      <c r="D3382" t="s">
        <v>42</v>
      </c>
      <c r="E3382" t="s">
        <v>43</v>
      </c>
      <c r="F3382" t="s">
        <v>44</v>
      </c>
      <c r="G3382" t="s">
        <v>45</v>
      </c>
      <c r="AH3382" t="s">
        <v>42</v>
      </c>
      <c r="AI3382" t="str">
        <f>"66298910632902"</f>
        <v>66298910632902</v>
      </c>
      <c r="AJ3382" t="str">
        <f>"130/70-17TLCET"</f>
        <v>130/70-17TLCET</v>
      </c>
      <c r="AK3382" t="s">
        <v>46</v>
      </c>
      <c r="AL3382" s="1">
        <v>44816.55909722222</v>
      </c>
      <c r="AM3382" t="s">
        <v>44</v>
      </c>
    </row>
    <row r="3383" spans="1:39" x14ac:dyDescent="0.2">
      <c r="A3383" t="s">
        <v>3228</v>
      </c>
      <c r="B3383" t="s">
        <v>40</v>
      </c>
      <c r="C3383" t="s">
        <v>3168</v>
      </c>
      <c r="D3383" t="s">
        <v>42</v>
      </c>
      <c r="E3383" t="s">
        <v>43</v>
      </c>
      <c r="F3383" t="s">
        <v>44</v>
      </c>
      <c r="G3383" t="s">
        <v>45</v>
      </c>
      <c r="AH3383" t="s">
        <v>42</v>
      </c>
      <c r="AI3383" t="str">
        <f>"66298910733901"</f>
        <v>66298910733901</v>
      </c>
      <c r="AJ3383" t="str">
        <f>"140/70-17TLCEAT"</f>
        <v>140/70-17TLCEAT</v>
      </c>
      <c r="AK3383" t="s">
        <v>46</v>
      </c>
      <c r="AL3383" s="1">
        <v>44816.559108796297</v>
      </c>
      <c r="AM3383" t="s">
        <v>44</v>
      </c>
    </row>
    <row r="3384" spans="1:39" x14ac:dyDescent="0.2">
      <c r="A3384" t="s">
        <v>3228</v>
      </c>
      <c r="B3384" t="s">
        <v>40</v>
      </c>
      <c r="C3384" t="s">
        <v>3168</v>
      </c>
      <c r="D3384" t="s">
        <v>42</v>
      </c>
      <c r="E3384" t="s">
        <v>43</v>
      </c>
      <c r="F3384" t="s">
        <v>44</v>
      </c>
      <c r="G3384" t="s">
        <v>45</v>
      </c>
      <c r="AH3384" t="s">
        <v>42</v>
      </c>
      <c r="AI3384" t="str">
        <f>"130/70-17TLCEATZ"</f>
        <v>130/70-17TLCEATZ</v>
      </c>
      <c r="AJ3384" t="str">
        <f>"130/70-17TLCEATZ"</f>
        <v>130/70-17TLCEATZ</v>
      </c>
      <c r="AK3384" t="s">
        <v>46</v>
      </c>
      <c r="AL3384" s="1">
        <v>44919.574293981481</v>
      </c>
      <c r="AM3384" t="s">
        <v>44</v>
      </c>
    </row>
    <row r="3385" spans="1:39" x14ac:dyDescent="0.2">
      <c r="A3385" t="s">
        <v>3229</v>
      </c>
      <c r="B3385" t="s">
        <v>40</v>
      </c>
      <c r="C3385" t="s">
        <v>3168</v>
      </c>
      <c r="D3385" t="s">
        <v>42</v>
      </c>
      <c r="E3385" t="s">
        <v>43</v>
      </c>
      <c r="F3385" t="s">
        <v>44</v>
      </c>
      <c r="G3385" t="s">
        <v>45</v>
      </c>
      <c r="AH3385" t="s">
        <v>42</v>
      </c>
      <c r="AI3385" t="str">
        <f>"66298910577073"</f>
        <v>66298910577073</v>
      </c>
      <c r="AJ3385" t="str">
        <f>"120/80-17TLCEAT"</f>
        <v>120/80-17TLCEAT</v>
      </c>
      <c r="AK3385" t="s">
        <v>46</v>
      </c>
      <c r="AL3385" s="1">
        <v>44816.55908564815</v>
      </c>
      <c r="AM3385" t="s">
        <v>44</v>
      </c>
    </row>
    <row r="3386" spans="1:39" x14ac:dyDescent="0.2">
      <c r="A3386" t="s">
        <v>3229</v>
      </c>
      <c r="B3386" t="s">
        <v>40</v>
      </c>
      <c r="C3386" t="s">
        <v>3168</v>
      </c>
      <c r="D3386" t="s">
        <v>42</v>
      </c>
      <c r="E3386" t="s">
        <v>43</v>
      </c>
      <c r="F3386" t="s">
        <v>44</v>
      </c>
      <c r="G3386" t="s">
        <v>45</v>
      </c>
      <c r="AH3386" t="s">
        <v>42</v>
      </c>
      <c r="AI3386" t="str">
        <f>"90/90-17TLCEAT"</f>
        <v>90/90-17TLCEAT</v>
      </c>
      <c r="AJ3386" t="str">
        <f>"90/90-17TLCEAT"</f>
        <v>90/90-17TLCEAT</v>
      </c>
      <c r="AK3386" t="s">
        <v>46</v>
      </c>
      <c r="AL3386" s="1">
        <v>44919.571273148147</v>
      </c>
      <c r="AM3386" t="s">
        <v>44</v>
      </c>
    </row>
    <row r="3387" spans="1:39" x14ac:dyDescent="0.2">
      <c r="A3387" t="s">
        <v>3230</v>
      </c>
      <c r="B3387" t="s">
        <v>40</v>
      </c>
      <c r="C3387" t="s">
        <v>3168</v>
      </c>
      <c r="D3387" t="s">
        <v>42</v>
      </c>
      <c r="E3387" t="s">
        <v>43</v>
      </c>
      <c r="F3387" t="s">
        <v>44</v>
      </c>
      <c r="G3387" t="s">
        <v>45</v>
      </c>
      <c r="AH3387" t="s">
        <v>42</v>
      </c>
      <c r="AI3387" t="str">
        <f>"120/90-17TTCHY"</f>
        <v>120/90-17TTCHY</v>
      </c>
      <c r="AJ3387" t="str">
        <f>"120/90-17TTCHY"</f>
        <v>120/90-17TTCHY</v>
      </c>
      <c r="AK3387" t="s">
        <v>46</v>
      </c>
      <c r="AL3387" s="1">
        <v>45062.915532407409</v>
      </c>
      <c r="AM3387" t="s">
        <v>44</v>
      </c>
    </row>
    <row r="3388" spans="1:39" x14ac:dyDescent="0.2">
      <c r="A3388" t="s">
        <v>3231</v>
      </c>
      <c r="B3388" t="s">
        <v>40</v>
      </c>
      <c r="C3388" t="s">
        <v>3168</v>
      </c>
      <c r="D3388" t="s">
        <v>42</v>
      </c>
      <c r="E3388" t="s">
        <v>43</v>
      </c>
      <c r="F3388" t="s">
        <v>44</v>
      </c>
      <c r="G3388" t="s">
        <v>45</v>
      </c>
      <c r="AH3388" t="s">
        <v>42</v>
      </c>
      <c r="AI3388" t="str">
        <f>"250-17DURO"</f>
        <v>250-17DURO</v>
      </c>
      <c r="AJ3388" t="str">
        <f>"250-17DURO"</f>
        <v>250-17DURO</v>
      </c>
      <c r="AK3388" t="s">
        <v>46</v>
      </c>
      <c r="AL3388" s="1">
        <v>44858.720138888886</v>
      </c>
      <c r="AM3388" t="s">
        <v>44</v>
      </c>
    </row>
    <row r="3389" spans="1:39" x14ac:dyDescent="0.2">
      <c r="A3389" t="s">
        <v>3232</v>
      </c>
      <c r="B3389" t="s">
        <v>40</v>
      </c>
      <c r="C3389" t="s">
        <v>3168</v>
      </c>
      <c r="D3389" t="s">
        <v>42</v>
      </c>
      <c r="E3389" t="s">
        <v>43</v>
      </c>
      <c r="F3389" t="s">
        <v>44</v>
      </c>
      <c r="G3389" t="s">
        <v>45</v>
      </c>
      <c r="AH3389" t="s">
        <v>42</v>
      </c>
      <c r="AI3389" t="str">
        <f>"120/80-17DURO"</f>
        <v>120/80-17DURO</v>
      </c>
      <c r="AJ3389" t="str">
        <f>"120/80-17DURO"</f>
        <v>120/80-17DURO</v>
      </c>
      <c r="AK3389" t="s">
        <v>46</v>
      </c>
      <c r="AL3389" s="1">
        <v>44858.715011574073</v>
      </c>
      <c r="AM3389" t="s">
        <v>44</v>
      </c>
    </row>
    <row r="3390" spans="1:39" x14ac:dyDescent="0.2">
      <c r="A3390" t="s">
        <v>3233</v>
      </c>
      <c r="B3390" t="s">
        <v>40</v>
      </c>
      <c r="C3390" t="s">
        <v>3168</v>
      </c>
      <c r="D3390" t="s">
        <v>42</v>
      </c>
      <c r="E3390" t="s">
        <v>43</v>
      </c>
      <c r="F3390" t="s">
        <v>44</v>
      </c>
      <c r="G3390" t="s">
        <v>45</v>
      </c>
      <c r="AH3390" t="s">
        <v>42</v>
      </c>
      <c r="AI3390" t="str">
        <f>"140/70X17DURO"</f>
        <v>140/70X17DURO</v>
      </c>
      <c r="AJ3390" t="str">
        <f>"140/70X17DURO"</f>
        <v>140/70X17DURO</v>
      </c>
      <c r="AK3390" t="s">
        <v>46</v>
      </c>
      <c r="AL3390" s="1">
        <v>44858.718877314815</v>
      </c>
      <c r="AM3390" t="s">
        <v>44</v>
      </c>
    </row>
    <row r="3391" spans="1:39" x14ac:dyDescent="0.2">
      <c r="A3391" t="s">
        <v>3233</v>
      </c>
      <c r="B3391" t="s">
        <v>40</v>
      </c>
      <c r="C3391" t="s">
        <v>3168</v>
      </c>
      <c r="D3391" t="s">
        <v>42</v>
      </c>
      <c r="E3391" t="s">
        <v>43</v>
      </c>
      <c r="F3391" t="s">
        <v>44</v>
      </c>
      <c r="G3391" t="s">
        <v>45</v>
      </c>
      <c r="AH3391" t="s">
        <v>42</v>
      </c>
      <c r="AI3391" t="str">
        <f>"90/90X17DURO"</f>
        <v>90/90X17DURO</v>
      </c>
      <c r="AJ3391" t="str">
        <f>"90/90X17DURO"</f>
        <v>90/90X17DURO</v>
      </c>
      <c r="AK3391" t="s">
        <v>46</v>
      </c>
      <c r="AL3391" s="1">
        <v>45093.960810185185</v>
      </c>
      <c r="AM3391" t="s">
        <v>44</v>
      </c>
    </row>
    <row r="3392" spans="1:39" x14ac:dyDescent="0.2">
      <c r="A3392" t="s">
        <v>3233</v>
      </c>
      <c r="B3392" t="s">
        <v>40</v>
      </c>
      <c r="C3392" t="s">
        <v>3168</v>
      </c>
      <c r="D3392" t="s">
        <v>42</v>
      </c>
      <c r="E3392" t="s">
        <v>43</v>
      </c>
      <c r="F3392" t="s">
        <v>44</v>
      </c>
      <c r="G3392" t="s">
        <v>45</v>
      </c>
      <c r="AH3392" t="s">
        <v>42</v>
      </c>
      <c r="AI3392" t="str">
        <f>"110/70X17DURO"</f>
        <v>110/70X17DURO</v>
      </c>
      <c r="AJ3392" t="str">
        <f>"110/70X17DURO"</f>
        <v>110/70X17DURO</v>
      </c>
      <c r="AK3392" t="s">
        <v>46</v>
      </c>
      <c r="AL3392" s="1">
        <v>45093.972395833334</v>
      </c>
      <c r="AM3392" t="s">
        <v>44</v>
      </c>
    </row>
    <row r="3393" spans="1:39" x14ac:dyDescent="0.2">
      <c r="A3393" t="s">
        <v>3234</v>
      </c>
      <c r="B3393" t="s">
        <v>40</v>
      </c>
      <c r="C3393" t="s">
        <v>3168</v>
      </c>
      <c r="D3393" t="s">
        <v>42</v>
      </c>
      <c r="E3393" t="s">
        <v>43</v>
      </c>
      <c r="F3393" t="s">
        <v>44</v>
      </c>
      <c r="G3393" t="s">
        <v>45</v>
      </c>
      <c r="AH3393" t="s">
        <v>42</v>
      </c>
      <c r="AI3393" t="str">
        <f>"67822289827561"</f>
        <v>67822289827561</v>
      </c>
      <c r="AJ3393" t="str">
        <f>"110/70X17-TLIRC"</f>
        <v>110/70X17-TLIRC</v>
      </c>
      <c r="AK3393" t="s">
        <v>46</v>
      </c>
      <c r="AL3393" s="1">
        <v>44992.876134259262</v>
      </c>
      <c r="AM3393" t="s">
        <v>44</v>
      </c>
    </row>
    <row r="3394" spans="1:39" x14ac:dyDescent="0.2">
      <c r="A3394" t="s">
        <v>3234</v>
      </c>
      <c r="B3394" t="s">
        <v>40</v>
      </c>
      <c r="C3394" t="s">
        <v>3168</v>
      </c>
      <c r="D3394" t="s">
        <v>42</v>
      </c>
      <c r="E3394" t="s">
        <v>43</v>
      </c>
      <c r="F3394" t="s">
        <v>44</v>
      </c>
      <c r="G3394" t="s">
        <v>45</v>
      </c>
      <c r="AH3394" t="s">
        <v>42</v>
      </c>
      <c r="AI3394" t="str">
        <f>"67822289837967"</f>
        <v>67822289837967</v>
      </c>
      <c r="AJ3394" t="str">
        <f>"120/70X17-TLIRC"</f>
        <v>120/70X17-TLIRC</v>
      </c>
      <c r="AK3394" t="s">
        <v>46</v>
      </c>
      <c r="AL3394" s="1">
        <v>44992.876134259262</v>
      </c>
      <c r="AM3394" t="s">
        <v>44</v>
      </c>
    </row>
    <row r="3395" spans="1:39" x14ac:dyDescent="0.2">
      <c r="A3395" t="s">
        <v>3234</v>
      </c>
      <c r="B3395" t="s">
        <v>40</v>
      </c>
      <c r="C3395" t="s">
        <v>3168</v>
      </c>
      <c r="D3395" t="s">
        <v>42</v>
      </c>
      <c r="E3395" t="s">
        <v>43</v>
      </c>
      <c r="F3395" t="s">
        <v>44</v>
      </c>
      <c r="G3395" t="s">
        <v>45</v>
      </c>
      <c r="AH3395" t="s">
        <v>42</v>
      </c>
      <c r="AI3395" t="str">
        <f>"67822289847368"</f>
        <v>67822289847368</v>
      </c>
      <c r="AJ3395" t="str">
        <f>"140/70X17-TLIRC"</f>
        <v>140/70X17-TLIRC</v>
      </c>
      <c r="AK3395" t="s">
        <v>46</v>
      </c>
      <c r="AL3395" s="1">
        <v>44992.876134259262</v>
      </c>
      <c r="AM3395" t="s">
        <v>44</v>
      </c>
    </row>
    <row r="3396" spans="1:39" x14ac:dyDescent="0.2">
      <c r="A3396" t="s">
        <v>3234</v>
      </c>
      <c r="B3396" t="s">
        <v>40</v>
      </c>
      <c r="C3396" t="s">
        <v>3168</v>
      </c>
      <c r="D3396" t="s">
        <v>42</v>
      </c>
      <c r="E3396" t="s">
        <v>43</v>
      </c>
      <c r="F3396" t="s">
        <v>44</v>
      </c>
      <c r="G3396" t="s">
        <v>45</v>
      </c>
      <c r="AH3396" t="s">
        <v>42</v>
      </c>
      <c r="AI3396" t="str">
        <f>"67822289852807"</f>
        <v>67822289852807</v>
      </c>
      <c r="AJ3396" t="str">
        <f>"150/70X17-TLIRC"</f>
        <v>150/70X17-TLIRC</v>
      </c>
      <c r="AK3396" t="s">
        <v>46</v>
      </c>
      <c r="AL3396" s="1">
        <v>44992.876134259262</v>
      </c>
      <c r="AM3396" t="s">
        <v>44</v>
      </c>
    </row>
    <row r="3397" spans="1:39" x14ac:dyDescent="0.2">
      <c r="A3397" t="s">
        <v>3234</v>
      </c>
      <c r="B3397" t="s">
        <v>40</v>
      </c>
      <c r="C3397" t="s">
        <v>3168</v>
      </c>
      <c r="D3397" t="s">
        <v>42</v>
      </c>
      <c r="E3397" t="s">
        <v>43</v>
      </c>
      <c r="F3397" t="s">
        <v>44</v>
      </c>
      <c r="G3397" t="s">
        <v>45</v>
      </c>
      <c r="AH3397" t="s">
        <v>42</v>
      </c>
      <c r="AI3397" t="str">
        <f>"67822289860312"</f>
        <v>67822289860312</v>
      </c>
      <c r="AJ3397" t="str">
        <f>"160/60X17-TLIRC"</f>
        <v>160/60X17-TLIRC</v>
      </c>
      <c r="AK3397" t="s">
        <v>46</v>
      </c>
      <c r="AL3397" s="1">
        <v>44992.876134259262</v>
      </c>
      <c r="AM3397" t="s">
        <v>44</v>
      </c>
    </row>
    <row r="3398" spans="1:39" x14ac:dyDescent="0.2">
      <c r="A3398" t="s">
        <v>3235</v>
      </c>
      <c r="B3398" t="s">
        <v>40</v>
      </c>
      <c r="C3398" t="s">
        <v>3168</v>
      </c>
      <c r="D3398" t="s">
        <v>42</v>
      </c>
      <c r="E3398" t="s">
        <v>43</v>
      </c>
      <c r="F3398" t="s">
        <v>44</v>
      </c>
      <c r="G3398" t="s">
        <v>45</v>
      </c>
      <c r="AH3398" t="s">
        <v>42</v>
      </c>
      <c r="AI3398" t="str">
        <f>"120/70ZR-17/K-905"</f>
        <v>120/70ZR-17/K-905</v>
      </c>
      <c r="AJ3398" t="str">
        <f>"120/70ZR-17/K-905"</f>
        <v>120/70ZR-17/K-905</v>
      </c>
      <c r="AK3398" t="s">
        <v>46</v>
      </c>
      <c r="AL3398" s="1">
        <v>45030.859120370369</v>
      </c>
      <c r="AM3398" t="s">
        <v>44</v>
      </c>
    </row>
    <row r="3399" spans="1:39" x14ac:dyDescent="0.2">
      <c r="A3399" t="s">
        <v>3235</v>
      </c>
      <c r="B3399" t="s">
        <v>40</v>
      </c>
      <c r="C3399" t="s">
        <v>3168</v>
      </c>
      <c r="D3399" t="s">
        <v>42</v>
      </c>
      <c r="E3399" t="s">
        <v>43</v>
      </c>
      <c r="F3399" t="s">
        <v>44</v>
      </c>
      <c r="G3399" t="s">
        <v>45</v>
      </c>
      <c r="AH3399" t="s">
        <v>42</v>
      </c>
      <c r="AI3399" t="str">
        <f>"180/55ZR-17/K-905"</f>
        <v>180/55ZR-17/K-905</v>
      </c>
      <c r="AJ3399" t="str">
        <f>"180/55ZR-17/K-905"</f>
        <v>180/55ZR-17/K-905</v>
      </c>
      <c r="AK3399" t="s">
        <v>46</v>
      </c>
      <c r="AL3399" s="1">
        <v>45030.860717592594</v>
      </c>
      <c r="AM3399" t="s">
        <v>44</v>
      </c>
    </row>
    <row r="3400" spans="1:39" x14ac:dyDescent="0.2">
      <c r="A3400" t="s">
        <v>3236</v>
      </c>
      <c r="B3400" t="s">
        <v>40</v>
      </c>
      <c r="C3400" t="s">
        <v>3168</v>
      </c>
      <c r="D3400" t="s">
        <v>42</v>
      </c>
      <c r="E3400" t="s">
        <v>43</v>
      </c>
      <c r="F3400" t="s">
        <v>44</v>
      </c>
      <c r="G3400" t="s">
        <v>45</v>
      </c>
      <c r="AH3400" t="s">
        <v>42</v>
      </c>
      <c r="AI3400" t="str">
        <f>"110/70ZR-17/K-97"</f>
        <v>110/70ZR-17/K-97</v>
      </c>
      <c r="AJ3400" t="str">
        <f>"110/70ZR-17/K-97"</f>
        <v>110/70ZR-17/K-97</v>
      </c>
      <c r="AK3400" t="s">
        <v>46</v>
      </c>
      <c r="AL3400" s="1">
        <v>45030.851099537038</v>
      </c>
      <c r="AM3400" t="s">
        <v>44</v>
      </c>
    </row>
    <row r="3401" spans="1:39" x14ac:dyDescent="0.2">
      <c r="A3401" t="s">
        <v>3236</v>
      </c>
      <c r="B3401" t="s">
        <v>40</v>
      </c>
      <c r="C3401" t="s">
        <v>3168</v>
      </c>
      <c r="D3401" t="s">
        <v>42</v>
      </c>
      <c r="E3401" t="s">
        <v>43</v>
      </c>
      <c r="F3401" t="s">
        <v>44</v>
      </c>
      <c r="G3401" t="s">
        <v>45</v>
      </c>
      <c r="AH3401" t="s">
        <v>42</v>
      </c>
      <c r="AI3401" t="str">
        <f>"140/70ZR-17/K-97"</f>
        <v>140/70ZR-17/K-97</v>
      </c>
      <c r="AJ3401" t="str">
        <f>"140/70ZR-17/K-97"</f>
        <v>140/70ZR-17/K-97</v>
      </c>
      <c r="AK3401" t="s">
        <v>46</v>
      </c>
      <c r="AL3401" s="1">
        <v>45030.853171296294</v>
      </c>
      <c r="AM3401" t="s">
        <v>44</v>
      </c>
    </row>
    <row r="3402" spans="1:39" x14ac:dyDescent="0.2">
      <c r="A3402" t="s">
        <v>3236</v>
      </c>
      <c r="B3402" t="s">
        <v>40</v>
      </c>
      <c r="C3402" t="s">
        <v>3168</v>
      </c>
      <c r="D3402" t="s">
        <v>42</v>
      </c>
      <c r="E3402" t="s">
        <v>43</v>
      </c>
      <c r="F3402" t="s">
        <v>44</v>
      </c>
      <c r="G3402" t="s">
        <v>45</v>
      </c>
      <c r="AH3402" t="s">
        <v>42</v>
      </c>
      <c r="AI3402" t="str">
        <f>"150/60ZR-17/K-97"</f>
        <v>150/60ZR-17/K-97</v>
      </c>
      <c r="AJ3402" t="str">
        <f>"150/60ZR-17/K-97"</f>
        <v>150/60ZR-17/K-97</v>
      </c>
      <c r="AK3402" t="s">
        <v>46</v>
      </c>
      <c r="AL3402" s="1">
        <v>45030.855833333335</v>
      </c>
      <c r="AM3402" t="s">
        <v>44</v>
      </c>
    </row>
    <row r="3403" spans="1:39" x14ac:dyDescent="0.2">
      <c r="A3403" t="s">
        <v>3236</v>
      </c>
      <c r="B3403" t="s">
        <v>40</v>
      </c>
      <c r="C3403" t="s">
        <v>3168</v>
      </c>
      <c r="D3403" t="s">
        <v>42</v>
      </c>
      <c r="E3403" t="s">
        <v>43</v>
      </c>
      <c r="F3403" t="s">
        <v>44</v>
      </c>
      <c r="G3403" t="s">
        <v>45</v>
      </c>
      <c r="AH3403" t="s">
        <v>42</v>
      </c>
      <c r="AI3403" t="str">
        <f>"160/60ZR-17/K-97"</f>
        <v>160/60ZR-17/K-97</v>
      </c>
      <c r="AJ3403" t="str">
        <f>"160/60ZR-17/K-97"</f>
        <v>160/60ZR-17/K-97</v>
      </c>
      <c r="AK3403" t="s">
        <v>46</v>
      </c>
      <c r="AL3403" s="1">
        <v>45030.857094907406</v>
      </c>
      <c r="AM3403" t="s">
        <v>44</v>
      </c>
    </row>
    <row r="3404" spans="1:39" x14ac:dyDescent="0.2">
      <c r="A3404" t="s">
        <v>3237</v>
      </c>
      <c r="B3404" t="s">
        <v>40</v>
      </c>
      <c r="C3404" t="s">
        <v>3168</v>
      </c>
      <c r="D3404" t="s">
        <v>42</v>
      </c>
      <c r="E3404" t="s">
        <v>43</v>
      </c>
      <c r="F3404" t="s">
        <v>44</v>
      </c>
      <c r="G3404" t="s">
        <v>45</v>
      </c>
      <c r="H3404" t="s">
        <v>3238</v>
      </c>
      <c r="AH3404" t="s">
        <v>42</v>
      </c>
      <c r="AI3404" t="str">
        <f>"100/80-17TLMI"</f>
        <v>100/80-17TLMI</v>
      </c>
      <c r="AJ3404" t="str">
        <f>"100/80-17TLMI"</f>
        <v>100/80-17TLMI</v>
      </c>
      <c r="AK3404" t="s">
        <v>46</v>
      </c>
      <c r="AL3404" s="1">
        <v>44818.861562500002</v>
      </c>
      <c r="AM3404" t="s">
        <v>44</v>
      </c>
    </row>
    <row r="3405" spans="1:39" x14ac:dyDescent="0.2">
      <c r="A3405" t="s">
        <v>3239</v>
      </c>
      <c r="B3405" t="s">
        <v>40</v>
      </c>
      <c r="C3405" t="s">
        <v>3168</v>
      </c>
      <c r="D3405" t="s">
        <v>42</v>
      </c>
      <c r="E3405" t="s">
        <v>43</v>
      </c>
      <c r="F3405" t="s">
        <v>44</v>
      </c>
      <c r="G3405" t="s">
        <v>45</v>
      </c>
      <c r="H3405" t="s">
        <v>3240</v>
      </c>
      <c r="AH3405" t="s">
        <v>42</v>
      </c>
      <c r="AI3405" t="str">
        <f>"140/60X17TLMI"</f>
        <v>140/60X17TLMI</v>
      </c>
      <c r="AJ3405" t="str">
        <f>"140/60X17TLMI"</f>
        <v>140/60X17TLMI</v>
      </c>
      <c r="AK3405" t="s">
        <v>46</v>
      </c>
      <c r="AL3405" s="1">
        <v>44818.851423611108</v>
      </c>
      <c r="AM3405" t="s">
        <v>44</v>
      </c>
    </row>
    <row r="3406" spans="1:39" x14ac:dyDescent="0.2">
      <c r="A3406" t="s">
        <v>3239</v>
      </c>
      <c r="B3406" t="s">
        <v>40</v>
      </c>
      <c r="C3406" t="s">
        <v>3168</v>
      </c>
      <c r="D3406" t="s">
        <v>42</v>
      </c>
      <c r="E3406" t="s">
        <v>43</v>
      </c>
      <c r="F3406" t="s">
        <v>44</v>
      </c>
      <c r="G3406" t="s">
        <v>45</v>
      </c>
      <c r="H3406" t="s">
        <v>3240</v>
      </c>
      <c r="AH3406" t="s">
        <v>42</v>
      </c>
      <c r="AI3406" t="str">
        <f>"130/70X17TLMI"</f>
        <v>130/70X17TLMI</v>
      </c>
      <c r="AJ3406" t="str">
        <f>"130/70X17TLMI"</f>
        <v>130/70X17TLMI</v>
      </c>
      <c r="AK3406" t="s">
        <v>46</v>
      </c>
      <c r="AL3406" s="1">
        <v>44818.855578703704</v>
      </c>
      <c r="AM3406" t="s">
        <v>44</v>
      </c>
    </row>
    <row r="3407" spans="1:39" x14ac:dyDescent="0.2">
      <c r="A3407" t="s">
        <v>3241</v>
      </c>
      <c r="B3407" t="s">
        <v>40</v>
      </c>
      <c r="C3407" t="s">
        <v>3168</v>
      </c>
      <c r="D3407" t="s">
        <v>42</v>
      </c>
      <c r="E3407" t="s">
        <v>43</v>
      </c>
      <c r="F3407" t="s">
        <v>44</v>
      </c>
      <c r="G3407" t="s">
        <v>45</v>
      </c>
      <c r="H3407" t="s">
        <v>3240</v>
      </c>
      <c r="AH3407" t="s">
        <v>42</v>
      </c>
      <c r="AI3407" t="str">
        <f>"140/70*17TLMI"</f>
        <v>140/70*17TLMI</v>
      </c>
      <c r="AJ3407" t="str">
        <f>"140/70*17TLMI"</f>
        <v>140/70*17TLMI</v>
      </c>
      <c r="AK3407" t="s">
        <v>46</v>
      </c>
      <c r="AL3407" s="1">
        <v>44818.86310185185</v>
      </c>
      <c r="AM3407" t="s">
        <v>44</v>
      </c>
    </row>
    <row r="3408" spans="1:39" x14ac:dyDescent="0.2">
      <c r="A3408" t="s">
        <v>3242</v>
      </c>
      <c r="B3408" t="s">
        <v>40</v>
      </c>
      <c r="C3408" t="s">
        <v>3168</v>
      </c>
      <c r="D3408" t="s">
        <v>42</v>
      </c>
      <c r="E3408" t="s">
        <v>43</v>
      </c>
      <c r="F3408" t="s">
        <v>44</v>
      </c>
      <c r="G3408" t="s">
        <v>45</v>
      </c>
      <c r="AH3408" t="s">
        <v>42</v>
      </c>
      <c r="AI3408" t="str">
        <f>"66298910774575"</f>
        <v>66298910774575</v>
      </c>
      <c r="AJ3408" t="str">
        <f>"110/90-17TLMI"</f>
        <v>110/90-17TLMI</v>
      </c>
      <c r="AK3408" t="s">
        <v>46</v>
      </c>
      <c r="AL3408" s="1">
        <v>44816.559108796297</v>
      </c>
      <c r="AM3408" t="s">
        <v>44</v>
      </c>
    </row>
    <row r="3409" spans="1:39" x14ac:dyDescent="0.2">
      <c r="A3409" t="s">
        <v>3243</v>
      </c>
      <c r="B3409" t="s">
        <v>40</v>
      </c>
      <c r="C3409" t="s">
        <v>3168</v>
      </c>
      <c r="D3409" t="s">
        <v>42</v>
      </c>
      <c r="E3409" t="s">
        <v>43</v>
      </c>
      <c r="F3409" t="s">
        <v>44</v>
      </c>
      <c r="G3409" t="s">
        <v>45</v>
      </c>
      <c r="AH3409" t="s">
        <v>42</v>
      </c>
      <c r="AI3409" t="str">
        <f>"110/90X17-DSPT"</f>
        <v>110/90X17-DSPT</v>
      </c>
      <c r="AJ3409" t="str">
        <f>"110/90X17-DSPT"</f>
        <v>110/90X17-DSPT</v>
      </c>
      <c r="AK3409" t="s">
        <v>46</v>
      </c>
      <c r="AL3409" s="1">
        <v>44907.805821759262</v>
      </c>
      <c r="AM3409" t="s">
        <v>44</v>
      </c>
    </row>
    <row r="3410" spans="1:39" x14ac:dyDescent="0.2">
      <c r="A3410" t="s">
        <v>3244</v>
      </c>
      <c r="B3410" t="s">
        <v>40</v>
      </c>
      <c r="C3410" t="s">
        <v>3168</v>
      </c>
      <c r="D3410" t="s">
        <v>42</v>
      </c>
      <c r="E3410" t="s">
        <v>43</v>
      </c>
      <c r="F3410" t="s">
        <v>44</v>
      </c>
      <c r="G3410" t="s">
        <v>45</v>
      </c>
      <c r="AH3410" t="s">
        <v>42</v>
      </c>
      <c r="AI3410" t="str">
        <f>"67822289922581"</f>
        <v>67822289922581</v>
      </c>
      <c r="AJ3410" t="str">
        <f>"110/70X17-TLPT"</f>
        <v>110/70X17-TLPT</v>
      </c>
      <c r="AK3410" t="s">
        <v>46</v>
      </c>
      <c r="AL3410" s="1">
        <v>44992.876145833332</v>
      </c>
      <c r="AM3410" t="s">
        <v>44</v>
      </c>
    </row>
    <row r="3411" spans="1:39" x14ac:dyDescent="0.2">
      <c r="A3411" t="s">
        <v>3244</v>
      </c>
      <c r="B3411" t="s">
        <v>40</v>
      </c>
      <c r="C3411" t="s">
        <v>3168</v>
      </c>
      <c r="D3411" t="s">
        <v>42</v>
      </c>
      <c r="E3411" t="s">
        <v>43</v>
      </c>
      <c r="F3411" t="s">
        <v>44</v>
      </c>
      <c r="G3411" t="s">
        <v>45</v>
      </c>
      <c r="AH3411" t="s">
        <v>42</v>
      </c>
      <c r="AI3411" t="str">
        <f>"67822289955877"</f>
        <v>67822289955877</v>
      </c>
      <c r="AJ3411" t="str">
        <f>"130/70X17-TLPT"</f>
        <v>130/70X17-TLPT</v>
      </c>
      <c r="AK3411" t="s">
        <v>46</v>
      </c>
      <c r="AL3411" s="1">
        <v>44992.876145833332</v>
      </c>
      <c r="AM3411" t="s">
        <v>44</v>
      </c>
    </row>
    <row r="3412" spans="1:39" x14ac:dyDescent="0.2">
      <c r="A3412" t="s">
        <v>3244</v>
      </c>
      <c r="B3412" t="s">
        <v>40</v>
      </c>
      <c r="C3412" t="s">
        <v>3168</v>
      </c>
      <c r="D3412" t="s">
        <v>42</v>
      </c>
      <c r="E3412" t="s">
        <v>43</v>
      </c>
      <c r="F3412" t="s">
        <v>44</v>
      </c>
      <c r="G3412" t="s">
        <v>45</v>
      </c>
      <c r="AH3412" t="s">
        <v>42</v>
      </c>
      <c r="AI3412" t="str">
        <f>"67822289964723"</f>
        <v>67822289964723</v>
      </c>
      <c r="AJ3412" t="str">
        <f>"140/70X17-TLPT"</f>
        <v>140/70X17-TLPT</v>
      </c>
      <c r="AK3412" t="s">
        <v>46</v>
      </c>
      <c r="AL3412" s="1">
        <v>44992.876145833332</v>
      </c>
      <c r="AM3412" t="s">
        <v>44</v>
      </c>
    </row>
    <row r="3413" spans="1:39" x14ac:dyDescent="0.2">
      <c r="A3413" t="s">
        <v>3244</v>
      </c>
      <c r="B3413" t="s">
        <v>40</v>
      </c>
      <c r="C3413" t="s">
        <v>3168</v>
      </c>
      <c r="D3413" t="s">
        <v>42</v>
      </c>
      <c r="E3413" t="s">
        <v>43</v>
      </c>
      <c r="F3413" t="s">
        <v>44</v>
      </c>
      <c r="G3413" t="s">
        <v>45</v>
      </c>
      <c r="AH3413" t="s">
        <v>42</v>
      </c>
      <c r="AI3413" t="str">
        <f>"67822289972278"</f>
        <v>67822289972278</v>
      </c>
      <c r="AJ3413" t="str">
        <f>"150/70X17-TLPT"</f>
        <v>150/70X17-TLPT</v>
      </c>
      <c r="AK3413" t="s">
        <v>46</v>
      </c>
      <c r="AL3413" s="1">
        <v>44992.876145833332</v>
      </c>
      <c r="AM3413" t="s">
        <v>44</v>
      </c>
    </row>
    <row r="3414" spans="1:39" x14ac:dyDescent="0.2">
      <c r="A3414" t="s">
        <v>3245</v>
      </c>
      <c r="B3414" t="s">
        <v>40</v>
      </c>
      <c r="C3414" t="s">
        <v>3168</v>
      </c>
      <c r="D3414" t="s">
        <v>42</v>
      </c>
      <c r="E3414" t="s">
        <v>43</v>
      </c>
      <c r="F3414" t="s">
        <v>44</v>
      </c>
      <c r="G3414" t="s">
        <v>45</v>
      </c>
      <c r="AH3414" t="s">
        <v>42</v>
      </c>
      <c r="AI3414" t="str">
        <f>"67822289981489"</f>
        <v>67822289981489</v>
      </c>
      <c r="AJ3414" t="str">
        <f>"110/70-17-TLPT"</f>
        <v>110/70-17-TLPT</v>
      </c>
      <c r="AK3414" t="s">
        <v>46</v>
      </c>
      <c r="AL3414" s="1">
        <v>44992.876145833332</v>
      </c>
      <c r="AM3414" t="s">
        <v>44</v>
      </c>
    </row>
    <row r="3415" spans="1:39" x14ac:dyDescent="0.2">
      <c r="A3415" t="s">
        <v>3245</v>
      </c>
      <c r="B3415" t="s">
        <v>40</v>
      </c>
      <c r="C3415" t="s">
        <v>3168</v>
      </c>
      <c r="D3415" t="s">
        <v>42</v>
      </c>
      <c r="E3415" t="s">
        <v>43</v>
      </c>
      <c r="F3415" t="s">
        <v>44</v>
      </c>
      <c r="G3415" t="s">
        <v>45</v>
      </c>
      <c r="AH3415" t="s">
        <v>42</v>
      </c>
      <c r="AI3415" t="str">
        <f>"67822290018577"</f>
        <v>67822290018577</v>
      </c>
      <c r="AJ3415" t="str">
        <f>"140/70-17-TLPT"</f>
        <v>140/70-17-TLPT</v>
      </c>
      <c r="AK3415" t="s">
        <v>46</v>
      </c>
      <c r="AL3415" s="1">
        <v>44992.876157407409</v>
      </c>
      <c r="AM3415" t="s">
        <v>44</v>
      </c>
    </row>
    <row r="3416" spans="1:39" x14ac:dyDescent="0.2">
      <c r="A3416" t="s">
        <v>3246</v>
      </c>
      <c r="B3416" t="s">
        <v>40</v>
      </c>
      <c r="C3416" t="s">
        <v>3168</v>
      </c>
      <c r="D3416" t="s">
        <v>42</v>
      </c>
      <c r="E3416" t="s">
        <v>43</v>
      </c>
      <c r="F3416" t="s">
        <v>44</v>
      </c>
      <c r="G3416" t="s">
        <v>45</v>
      </c>
      <c r="AH3416" t="s">
        <v>42</v>
      </c>
      <c r="AI3416" t="str">
        <f>"67822289998130"</f>
        <v>67822289998130</v>
      </c>
      <c r="AJ3416" t="str">
        <f>"120/70X17-TLPT"</f>
        <v>120/70X17-TLPT</v>
      </c>
      <c r="AK3416" t="s">
        <v>46</v>
      </c>
      <c r="AL3416" s="1">
        <v>44992.876145833332</v>
      </c>
      <c r="AM3416" t="s">
        <v>44</v>
      </c>
    </row>
    <row r="3417" spans="1:39" x14ac:dyDescent="0.2">
      <c r="A3417" t="s">
        <v>3246</v>
      </c>
      <c r="B3417" t="s">
        <v>40</v>
      </c>
      <c r="C3417" t="s">
        <v>3168</v>
      </c>
      <c r="D3417" t="s">
        <v>42</v>
      </c>
      <c r="E3417" t="s">
        <v>43</v>
      </c>
      <c r="F3417" t="s">
        <v>44</v>
      </c>
      <c r="G3417" t="s">
        <v>45</v>
      </c>
      <c r="AH3417" t="s">
        <v>42</v>
      </c>
      <c r="AI3417" t="str">
        <f>"67822290016574"</f>
        <v>67822290016574</v>
      </c>
      <c r="AJ3417" t="str">
        <f>"160/60X17-TLPT"</f>
        <v>160/60X17-TLPT</v>
      </c>
      <c r="AK3417" t="s">
        <v>46</v>
      </c>
      <c r="AL3417" s="1">
        <v>44992.876157407409</v>
      </c>
      <c r="AM3417" t="s">
        <v>44</v>
      </c>
    </row>
    <row r="3418" spans="1:39" x14ac:dyDescent="0.2">
      <c r="A3418" t="s">
        <v>3247</v>
      </c>
      <c r="B3418" t="s">
        <v>40</v>
      </c>
      <c r="C3418" t="s">
        <v>3168</v>
      </c>
      <c r="D3418" t="s">
        <v>42</v>
      </c>
      <c r="E3418" t="s">
        <v>43</v>
      </c>
      <c r="F3418" t="s">
        <v>44</v>
      </c>
      <c r="G3418" t="s">
        <v>45</v>
      </c>
      <c r="AH3418" t="s">
        <v>42</v>
      </c>
      <c r="AI3418" t="str">
        <f>"100/80X17-TLPT"</f>
        <v>100/80X17-TLPT</v>
      </c>
      <c r="AJ3418" t="str">
        <f>"100/80X17-TLPT"</f>
        <v>100/80X17-TLPT</v>
      </c>
      <c r="AK3418" t="s">
        <v>46</v>
      </c>
      <c r="AL3418" s="1">
        <v>44890.657083333332</v>
      </c>
      <c r="AM3418" t="s">
        <v>44</v>
      </c>
    </row>
    <row r="3419" spans="1:39" x14ac:dyDescent="0.2">
      <c r="A3419" t="s">
        <v>3248</v>
      </c>
      <c r="B3419" t="s">
        <v>40</v>
      </c>
      <c r="C3419" t="s">
        <v>3168</v>
      </c>
      <c r="D3419" t="s">
        <v>42</v>
      </c>
      <c r="E3419" t="s">
        <v>43</v>
      </c>
      <c r="F3419" t="s">
        <v>44</v>
      </c>
      <c r="G3419" t="s">
        <v>45</v>
      </c>
      <c r="AH3419" t="s">
        <v>42</v>
      </c>
      <c r="AI3419" t="str">
        <f>"66298910818500"</f>
        <v>66298910818500</v>
      </c>
      <c r="AJ3419" t="str">
        <f>"120/70ZR17TLSK"</f>
        <v>120/70ZR17TLSK</v>
      </c>
      <c r="AK3419" t="s">
        <v>46</v>
      </c>
      <c r="AL3419" s="1">
        <v>44816.559120370373</v>
      </c>
      <c r="AM3419" t="s">
        <v>44</v>
      </c>
    </row>
    <row r="3420" spans="1:39" x14ac:dyDescent="0.2">
      <c r="A3420" t="s">
        <v>3249</v>
      </c>
      <c r="B3420" t="s">
        <v>40</v>
      </c>
      <c r="C3420" t="s">
        <v>3168</v>
      </c>
      <c r="D3420" t="s">
        <v>42</v>
      </c>
      <c r="E3420" t="s">
        <v>43</v>
      </c>
      <c r="F3420" t="s">
        <v>44</v>
      </c>
      <c r="G3420" t="s">
        <v>45</v>
      </c>
      <c r="AH3420" t="s">
        <v>42</v>
      </c>
      <c r="AI3420" t="str">
        <f>"66298910860656"</f>
        <v>66298910860656</v>
      </c>
      <c r="AJ3420" t="str">
        <f>"160/60ZR17TLSK"</f>
        <v>160/60ZR17TLSK</v>
      </c>
      <c r="AK3420" t="s">
        <v>46</v>
      </c>
      <c r="AL3420" s="1">
        <v>44816.559120370373</v>
      </c>
      <c r="AM3420" t="s">
        <v>44</v>
      </c>
    </row>
    <row r="3421" spans="1:39" x14ac:dyDescent="0.2">
      <c r="A3421" t="s">
        <v>3250</v>
      </c>
      <c r="B3421" t="s">
        <v>40</v>
      </c>
      <c r="C3421" t="s">
        <v>3168</v>
      </c>
      <c r="D3421" t="s">
        <v>42</v>
      </c>
      <c r="E3421" t="s">
        <v>43</v>
      </c>
      <c r="F3421" t="s">
        <v>44</v>
      </c>
      <c r="G3421" t="s">
        <v>45</v>
      </c>
      <c r="AH3421" t="s">
        <v>42</v>
      </c>
      <c r="AI3421" t="str">
        <f>"66298910904618"</f>
        <v>66298910904618</v>
      </c>
      <c r="AJ3421" t="str">
        <f>"140/80-17TBSK"</f>
        <v>140/80-17TBSK</v>
      </c>
      <c r="AK3421" t="s">
        <v>46</v>
      </c>
      <c r="AL3421" s="1">
        <v>44816.559131944443</v>
      </c>
      <c r="AM3421" t="s">
        <v>44</v>
      </c>
    </row>
    <row r="3422" spans="1:39" x14ac:dyDescent="0.2">
      <c r="A3422" t="s">
        <v>3251</v>
      </c>
      <c r="B3422" t="s">
        <v>40</v>
      </c>
      <c r="C3422" t="s">
        <v>3168</v>
      </c>
      <c r="D3422" t="s">
        <v>42</v>
      </c>
      <c r="E3422" t="s">
        <v>43</v>
      </c>
      <c r="F3422" t="s">
        <v>44</v>
      </c>
      <c r="G3422" t="s">
        <v>45</v>
      </c>
      <c r="AH3422" t="s">
        <v>42</v>
      </c>
      <c r="AI3422" t="str">
        <f>"120/80-17TLSR"</f>
        <v>120/80-17TLSR</v>
      </c>
      <c r="AJ3422" t="str">
        <f>"120/80-17TLSR"</f>
        <v>120/80-17TLSR</v>
      </c>
      <c r="AK3422" t="s">
        <v>46</v>
      </c>
      <c r="AL3422" s="1">
        <v>45119.716504629629</v>
      </c>
      <c r="AM3422" t="s">
        <v>44</v>
      </c>
    </row>
    <row r="3423" spans="1:39" x14ac:dyDescent="0.2">
      <c r="A3423" t="s">
        <v>3252</v>
      </c>
      <c r="B3423" t="s">
        <v>40</v>
      </c>
      <c r="C3423" t="s">
        <v>3168</v>
      </c>
      <c r="D3423" t="s">
        <v>42</v>
      </c>
      <c r="E3423" t="s">
        <v>43</v>
      </c>
      <c r="F3423" t="s">
        <v>44</v>
      </c>
      <c r="G3423" t="s">
        <v>45</v>
      </c>
      <c r="AH3423" t="s">
        <v>42</v>
      </c>
      <c r="AI3423" t="str">
        <f>"110/90-17TLSR"</f>
        <v>110/90-17TLSR</v>
      </c>
      <c r="AJ3423" t="str">
        <f>"110/90-17TLSR"</f>
        <v>110/90-17TLSR</v>
      </c>
      <c r="AK3423" t="s">
        <v>46</v>
      </c>
      <c r="AL3423" s="1">
        <v>44987.564444444448</v>
      </c>
      <c r="AM3423" t="s">
        <v>44</v>
      </c>
    </row>
    <row r="3424" spans="1:39" x14ac:dyDescent="0.2">
      <c r="A3424" t="s">
        <v>3253</v>
      </c>
      <c r="B3424" t="s">
        <v>40</v>
      </c>
      <c r="C3424" t="s">
        <v>3168</v>
      </c>
      <c r="D3424" t="s">
        <v>42</v>
      </c>
      <c r="E3424" t="s">
        <v>43</v>
      </c>
      <c r="F3424" t="s">
        <v>44</v>
      </c>
      <c r="G3424" t="s">
        <v>45</v>
      </c>
      <c r="AH3424" t="s">
        <v>42</v>
      </c>
      <c r="AI3424" t="str">
        <f>"110/90X17TLSR"</f>
        <v>110/90X17TLSR</v>
      </c>
      <c r="AJ3424" t="str">
        <f>"110/90X17TLSR"</f>
        <v>110/90X17TLSR</v>
      </c>
      <c r="AK3424" t="s">
        <v>46</v>
      </c>
      <c r="AL3424" s="1">
        <v>45170.935243055559</v>
      </c>
      <c r="AM3424" t="s">
        <v>44</v>
      </c>
    </row>
    <row r="3425" spans="1:39" x14ac:dyDescent="0.2">
      <c r="A3425" t="s">
        <v>3254</v>
      </c>
      <c r="B3425" t="s">
        <v>40</v>
      </c>
      <c r="C3425" t="s">
        <v>3168</v>
      </c>
      <c r="D3425" t="s">
        <v>42</v>
      </c>
      <c r="E3425" t="s">
        <v>43</v>
      </c>
      <c r="F3425" t="s">
        <v>44</v>
      </c>
      <c r="G3425" t="s">
        <v>45</v>
      </c>
      <c r="AH3425" t="s">
        <v>42</v>
      </c>
      <c r="AI3425" t="str">
        <f>"100/80-17TLSR"</f>
        <v>100/80-17TLSR</v>
      </c>
      <c r="AJ3425" t="str">
        <f>"100/80-17TLSR"</f>
        <v>100/80-17TLSR</v>
      </c>
      <c r="AK3425" t="s">
        <v>46</v>
      </c>
      <c r="AL3425" s="1">
        <v>44947.6252662037</v>
      </c>
      <c r="AM3425" t="s">
        <v>44</v>
      </c>
    </row>
    <row r="3426" spans="1:39" x14ac:dyDescent="0.2">
      <c r="A3426" t="s">
        <v>3255</v>
      </c>
      <c r="B3426" t="s">
        <v>40</v>
      </c>
      <c r="C3426" t="s">
        <v>3168</v>
      </c>
      <c r="D3426" t="s">
        <v>42</v>
      </c>
      <c r="E3426" t="s">
        <v>43</v>
      </c>
      <c r="F3426" t="s">
        <v>44</v>
      </c>
      <c r="G3426" t="s">
        <v>45</v>
      </c>
      <c r="AH3426" t="s">
        <v>42</v>
      </c>
      <c r="AI3426" t="str">
        <f>"140/70-17TLSR"</f>
        <v>140/70-17TLSR</v>
      </c>
      <c r="AJ3426" t="str">
        <f>"140/70-17TLSR"</f>
        <v>140/70-17TLSR</v>
      </c>
      <c r="AK3426" t="s">
        <v>46</v>
      </c>
      <c r="AL3426" s="1">
        <v>44987.55810185185</v>
      </c>
      <c r="AM3426" t="s">
        <v>44</v>
      </c>
    </row>
    <row r="3427" spans="1:39" x14ac:dyDescent="0.2">
      <c r="A3427" t="s">
        <v>3256</v>
      </c>
      <c r="B3427" t="s">
        <v>40</v>
      </c>
      <c r="C3427" t="s">
        <v>3168</v>
      </c>
      <c r="D3427" t="s">
        <v>42</v>
      </c>
      <c r="E3427" t="s">
        <v>43</v>
      </c>
      <c r="F3427" t="s">
        <v>44</v>
      </c>
      <c r="G3427" t="s">
        <v>45</v>
      </c>
      <c r="AH3427" t="s">
        <v>42</v>
      </c>
      <c r="AI3427" t="str">
        <f>"66298910949130"</f>
        <v>66298910949130</v>
      </c>
      <c r="AJ3427" t="str">
        <f>"130/70-17TLSR"</f>
        <v>130/70-17TLSR</v>
      </c>
      <c r="AK3427" t="s">
        <v>46</v>
      </c>
      <c r="AL3427" s="1">
        <v>44816.559131944443</v>
      </c>
      <c r="AM3427" t="s">
        <v>44</v>
      </c>
    </row>
    <row r="3428" spans="1:39" x14ac:dyDescent="0.2">
      <c r="A3428" t="s">
        <v>3256</v>
      </c>
      <c r="B3428" t="s">
        <v>40</v>
      </c>
      <c r="C3428" t="s">
        <v>3168</v>
      </c>
      <c r="D3428" t="s">
        <v>42</v>
      </c>
      <c r="E3428" t="s">
        <v>43</v>
      </c>
      <c r="F3428" t="s">
        <v>44</v>
      </c>
      <c r="G3428" t="s">
        <v>45</v>
      </c>
      <c r="AH3428" t="s">
        <v>42</v>
      </c>
      <c r="AI3428" t="str">
        <f>"140/70X17TLSR"</f>
        <v>140/70X17TLSR</v>
      </c>
      <c r="AJ3428" t="str">
        <f>"140/70X17TLSR"</f>
        <v>140/70X17TLSR</v>
      </c>
      <c r="AK3428" t="s">
        <v>46</v>
      </c>
      <c r="AL3428" s="1">
        <v>45170.936921296299</v>
      </c>
      <c r="AM3428" t="s">
        <v>44</v>
      </c>
    </row>
    <row r="3429" spans="1:39" x14ac:dyDescent="0.2">
      <c r="A3429" t="s">
        <v>3257</v>
      </c>
      <c r="B3429" t="s">
        <v>40</v>
      </c>
      <c r="C3429" t="s">
        <v>3168</v>
      </c>
      <c r="D3429" t="s">
        <v>42</v>
      </c>
      <c r="E3429" t="s">
        <v>43</v>
      </c>
      <c r="F3429" t="s">
        <v>44</v>
      </c>
      <c r="G3429" t="s">
        <v>45</v>
      </c>
      <c r="AH3429" t="s">
        <v>42</v>
      </c>
      <c r="AI3429" t="str">
        <f>"90/90X17TLSR"</f>
        <v>90/90X17TLSR</v>
      </c>
      <c r="AJ3429" t="str">
        <f>"90/90X17TLSR"</f>
        <v>90/90X17TLSR</v>
      </c>
      <c r="AK3429" t="s">
        <v>46</v>
      </c>
      <c r="AL3429" s="1">
        <v>44919.586747685185</v>
      </c>
      <c r="AM3429" t="s">
        <v>44</v>
      </c>
    </row>
    <row r="3430" spans="1:39" x14ac:dyDescent="0.2">
      <c r="A3430" t="s">
        <v>3258</v>
      </c>
      <c r="B3430" t="s">
        <v>40</v>
      </c>
      <c r="C3430" t="s">
        <v>3168</v>
      </c>
      <c r="D3430" t="s">
        <v>42</v>
      </c>
      <c r="E3430" t="s">
        <v>43</v>
      </c>
      <c r="F3430" t="s">
        <v>44</v>
      </c>
      <c r="G3430" t="s">
        <v>45</v>
      </c>
      <c r="AH3430" t="s">
        <v>42</v>
      </c>
      <c r="AI3430" t="str">
        <f>"67822290588541"</f>
        <v>67822290588541</v>
      </c>
      <c r="AJ3430" t="str">
        <f>"140/70X17-TLWA"</f>
        <v>140/70X17-TLWA</v>
      </c>
      <c r="AK3430" t="s">
        <v>46</v>
      </c>
      <c r="AL3430" s="1">
        <v>44992.876215277778</v>
      </c>
      <c r="AM3430" t="s">
        <v>44</v>
      </c>
    </row>
    <row r="3431" spans="1:39" x14ac:dyDescent="0.2">
      <c r="A3431" t="s">
        <v>3259</v>
      </c>
      <c r="B3431" t="s">
        <v>40</v>
      </c>
      <c r="C3431" t="s">
        <v>3168</v>
      </c>
      <c r="D3431" t="s">
        <v>42</v>
      </c>
      <c r="E3431" t="s">
        <v>43</v>
      </c>
      <c r="F3431" t="s">
        <v>44</v>
      </c>
      <c r="G3431" t="s">
        <v>45</v>
      </c>
      <c r="AH3431" t="s">
        <v>42</v>
      </c>
      <c r="AI3431" t="str">
        <f>"67822290528351"</f>
        <v>67822290528351</v>
      </c>
      <c r="AJ3431" t="str">
        <f>"130/70X17-TLWA"</f>
        <v>130/70X17-TLWA</v>
      </c>
      <c r="AK3431" t="s">
        <v>46</v>
      </c>
      <c r="AL3431" s="1">
        <v>44992.876215277778</v>
      </c>
      <c r="AM3431" t="s">
        <v>44</v>
      </c>
    </row>
    <row r="3432" spans="1:39" x14ac:dyDescent="0.2">
      <c r="A3432" t="s">
        <v>3260</v>
      </c>
      <c r="B3432" t="s">
        <v>40</v>
      </c>
      <c r="C3432" t="s">
        <v>3168</v>
      </c>
      <c r="D3432" t="s">
        <v>42</v>
      </c>
      <c r="E3432" t="s">
        <v>43</v>
      </c>
      <c r="F3432" t="s">
        <v>44</v>
      </c>
      <c r="G3432" t="s">
        <v>45</v>
      </c>
      <c r="AH3432" t="s">
        <v>42</v>
      </c>
      <c r="AI3432" t="str">
        <f>"67822290224019"</f>
        <v>67822290224019</v>
      </c>
      <c r="AJ3432" t="str">
        <f>"110/80X17-TLWA"</f>
        <v>110/80X17-TLWA</v>
      </c>
      <c r="AK3432" t="s">
        <v>46</v>
      </c>
      <c r="AL3432" s="1">
        <v>44992.876180555555</v>
      </c>
      <c r="AM3432" t="s">
        <v>44</v>
      </c>
    </row>
    <row r="3433" spans="1:39" x14ac:dyDescent="0.2">
      <c r="A3433" t="s">
        <v>3261</v>
      </c>
      <c r="B3433" t="s">
        <v>40</v>
      </c>
      <c r="C3433" t="s">
        <v>3168</v>
      </c>
      <c r="D3433" t="s">
        <v>42</v>
      </c>
      <c r="E3433" t="s">
        <v>43</v>
      </c>
      <c r="F3433" t="s">
        <v>44</v>
      </c>
      <c r="G3433" t="s">
        <v>45</v>
      </c>
      <c r="AH3433" t="s">
        <v>42</v>
      </c>
      <c r="AI3433" t="str">
        <f>"67822290525001"</f>
        <v>67822290525001</v>
      </c>
      <c r="AJ3433" t="str">
        <f>"110/70X17-TLWA"</f>
        <v>110/70X17-TLWA</v>
      </c>
      <c r="AK3433" t="s">
        <v>46</v>
      </c>
      <c r="AL3433" s="1">
        <v>44992.876215277778</v>
      </c>
      <c r="AM3433" t="s">
        <v>44</v>
      </c>
    </row>
    <row r="3434" spans="1:39" x14ac:dyDescent="0.2">
      <c r="A3434" t="s">
        <v>3262</v>
      </c>
      <c r="B3434" t="s">
        <v>40</v>
      </c>
      <c r="C3434" t="s">
        <v>3168</v>
      </c>
      <c r="D3434" t="s">
        <v>42</v>
      </c>
      <c r="E3434" t="s">
        <v>43</v>
      </c>
      <c r="F3434" t="s">
        <v>44</v>
      </c>
      <c r="G3434" t="s">
        <v>45</v>
      </c>
      <c r="AH3434" t="s">
        <v>42</v>
      </c>
      <c r="AI3434" t="str">
        <f>"300-18TLCEAT"</f>
        <v>300-18TLCEAT</v>
      </c>
      <c r="AJ3434" t="str">
        <f>"300-18TLCEAT"</f>
        <v>300-18TLCEAT</v>
      </c>
      <c r="AK3434" t="s">
        <v>46</v>
      </c>
      <c r="AL3434" s="1">
        <v>44947.639131944445</v>
      </c>
      <c r="AM3434" t="s">
        <v>44</v>
      </c>
    </row>
    <row r="3435" spans="1:39" x14ac:dyDescent="0.2">
      <c r="A3435" t="s">
        <v>3263</v>
      </c>
      <c r="B3435" t="s">
        <v>40</v>
      </c>
      <c r="C3435" t="s">
        <v>3168</v>
      </c>
      <c r="D3435" t="s">
        <v>42</v>
      </c>
      <c r="E3435" t="s">
        <v>43</v>
      </c>
      <c r="F3435" t="s">
        <v>44</v>
      </c>
      <c r="G3435" t="s">
        <v>45</v>
      </c>
      <c r="AH3435" t="s">
        <v>42</v>
      </c>
      <c r="AI3435" t="str">
        <f>"66298910986803"</f>
        <v>66298910986803</v>
      </c>
      <c r="AJ3435" t="str">
        <f>"275-18TTCEAT"</f>
        <v>275-18TTCEAT</v>
      </c>
      <c r="AK3435" t="s">
        <v>46</v>
      </c>
      <c r="AL3435" s="1">
        <v>44816.559131944443</v>
      </c>
      <c r="AM3435" t="s">
        <v>44</v>
      </c>
    </row>
    <row r="3436" spans="1:39" x14ac:dyDescent="0.2">
      <c r="A3436" t="s">
        <v>3264</v>
      </c>
      <c r="B3436" t="s">
        <v>40</v>
      </c>
      <c r="C3436" t="s">
        <v>3168</v>
      </c>
      <c r="D3436" t="s">
        <v>42</v>
      </c>
      <c r="E3436" t="s">
        <v>43</v>
      </c>
      <c r="F3436" t="s">
        <v>44</v>
      </c>
      <c r="G3436" t="s">
        <v>45</v>
      </c>
      <c r="AH3436" t="s">
        <v>42</v>
      </c>
      <c r="AI3436" t="str">
        <f>"90/90-18TLCEAT"</f>
        <v>90/90-18TLCEAT</v>
      </c>
      <c r="AJ3436" t="str">
        <f>"90/90-18TLCEAT"</f>
        <v>90/90-18TLCEAT</v>
      </c>
      <c r="AK3436" t="s">
        <v>46</v>
      </c>
      <c r="AL3436" s="1">
        <v>44919.575949074075</v>
      </c>
      <c r="AM3436" t="s">
        <v>44</v>
      </c>
    </row>
    <row r="3437" spans="1:39" x14ac:dyDescent="0.2">
      <c r="A3437" t="s">
        <v>3265</v>
      </c>
      <c r="B3437" t="s">
        <v>40</v>
      </c>
      <c r="C3437" t="s">
        <v>3168</v>
      </c>
      <c r="D3437" t="s">
        <v>42</v>
      </c>
      <c r="E3437" t="s">
        <v>43</v>
      </c>
      <c r="F3437" t="s">
        <v>44</v>
      </c>
      <c r="G3437" t="s">
        <v>45</v>
      </c>
      <c r="AH3437" t="s">
        <v>42</v>
      </c>
      <c r="AI3437" t="str">
        <f>"66298911026113"</f>
        <v>66298911026113</v>
      </c>
      <c r="AJ3437" t="str">
        <f>"110/90-18TLCEAT"</f>
        <v>110/90-18TLCEAT</v>
      </c>
      <c r="AK3437" t="s">
        <v>46</v>
      </c>
      <c r="AL3437" s="1">
        <v>44816.55914351852</v>
      </c>
      <c r="AM3437" t="s">
        <v>44</v>
      </c>
    </row>
    <row r="3438" spans="1:39" x14ac:dyDescent="0.2">
      <c r="A3438" t="s">
        <v>3266</v>
      </c>
      <c r="B3438" t="s">
        <v>40</v>
      </c>
      <c r="C3438" t="s">
        <v>3168</v>
      </c>
      <c r="D3438" t="s">
        <v>42</v>
      </c>
      <c r="E3438" t="s">
        <v>43</v>
      </c>
      <c r="F3438" t="s">
        <v>44</v>
      </c>
      <c r="G3438" t="s">
        <v>45</v>
      </c>
      <c r="AH3438" t="s">
        <v>42</v>
      </c>
      <c r="AI3438" t="str">
        <f>"110/90-18TLCHY"</f>
        <v>110/90-18TLCHY</v>
      </c>
      <c r="AJ3438" t="str">
        <f>"110/90-18TLCHY"</f>
        <v>110/90-18TLCHY</v>
      </c>
      <c r="AK3438" t="s">
        <v>46</v>
      </c>
      <c r="AL3438" s="1">
        <v>45062.917430555557</v>
      </c>
      <c r="AM3438" t="s">
        <v>44</v>
      </c>
    </row>
    <row r="3439" spans="1:39" x14ac:dyDescent="0.2">
      <c r="A3439" t="s">
        <v>3267</v>
      </c>
      <c r="B3439" t="s">
        <v>40</v>
      </c>
      <c r="C3439" t="s">
        <v>3168</v>
      </c>
      <c r="D3439" t="s">
        <v>42</v>
      </c>
      <c r="E3439" t="s">
        <v>43</v>
      </c>
      <c r="F3439" t="s">
        <v>44</v>
      </c>
      <c r="G3439" t="s">
        <v>45</v>
      </c>
      <c r="AH3439" t="s">
        <v>42</v>
      </c>
      <c r="AI3439" t="str">
        <f>"90/90-18TLCST"</f>
        <v>90/90-18TLCST</v>
      </c>
      <c r="AJ3439" t="str">
        <f>"90/90-18TLCST"</f>
        <v>90/90-18TLCST</v>
      </c>
      <c r="AK3439" t="s">
        <v>46</v>
      </c>
      <c r="AL3439" s="1">
        <v>45134.647256944445</v>
      </c>
      <c r="AM3439" t="s">
        <v>44</v>
      </c>
    </row>
    <row r="3440" spans="1:39" x14ac:dyDescent="0.2">
      <c r="A3440" t="s">
        <v>3268</v>
      </c>
      <c r="B3440" t="s">
        <v>40</v>
      </c>
      <c r="C3440" t="s">
        <v>3168</v>
      </c>
      <c r="D3440" t="s">
        <v>42</v>
      </c>
      <c r="E3440" t="s">
        <v>43</v>
      </c>
      <c r="F3440" t="s">
        <v>44</v>
      </c>
      <c r="G3440" t="s">
        <v>45</v>
      </c>
      <c r="AH3440" t="s">
        <v>42</v>
      </c>
      <c r="AI3440" t="str">
        <f>"80/100X18DURO"</f>
        <v>80/100X18DURO</v>
      </c>
      <c r="AJ3440" t="str">
        <f>"80/100X18DURO"</f>
        <v>80/100X18DURO</v>
      </c>
      <c r="AK3440" t="s">
        <v>46</v>
      </c>
      <c r="AL3440" s="1">
        <v>45093.959421296298</v>
      </c>
      <c r="AM3440" t="s">
        <v>44</v>
      </c>
    </row>
    <row r="3441" spans="1:39" x14ac:dyDescent="0.2">
      <c r="A3441" t="s">
        <v>3269</v>
      </c>
      <c r="B3441" t="s">
        <v>40</v>
      </c>
      <c r="C3441" t="s">
        <v>3168</v>
      </c>
      <c r="D3441" t="s">
        <v>42</v>
      </c>
      <c r="E3441" t="s">
        <v>43</v>
      </c>
      <c r="F3441" t="s">
        <v>44</v>
      </c>
      <c r="G3441" t="s">
        <v>45</v>
      </c>
      <c r="AH3441" t="s">
        <v>42</v>
      </c>
      <c r="AI3441" t="str">
        <f>"275XDURO"</f>
        <v>275XDURO</v>
      </c>
      <c r="AJ3441" t="str">
        <f>"275X18DURO"</f>
        <v>275X18DURO</v>
      </c>
      <c r="AK3441" t="s">
        <v>46</v>
      </c>
      <c r="AL3441" s="1">
        <v>44858.721342592595</v>
      </c>
      <c r="AM3441" t="s">
        <v>44</v>
      </c>
    </row>
    <row r="3442" spans="1:39" x14ac:dyDescent="0.2">
      <c r="A3442" t="s">
        <v>3270</v>
      </c>
      <c r="B3442" t="s">
        <v>40</v>
      </c>
      <c r="C3442" t="s">
        <v>3168</v>
      </c>
      <c r="D3442" t="s">
        <v>42</v>
      </c>
      <c r="E3442" t="s">
        <v>43</v>
      </c>
      <c r="F3442" t="s">
        <v>44</v>
      </c>
      <c r="G3442" t="s">
        <v>45</v>
      </c>
      <c r="AH3442" t="s">
        <v>42</v>
      </c>
      <c r="AI3442" t="str">
        <f>"66298911066044"</f>
        <v>66298911066044</v>
      </c>
      <c r="AJ3442" t="str">
        <f>"110/90-18TLDURO"</f>
        <v>110/90-18TLDURO</v>
      </c>
      <c r="AK3442" t="s">
        <v>46</v>
      </c>
      <c r="AL3442" s="1">
        <v>44816.55914351852</v>
      </c>
      <c r="AM3442" t="s">
        <v>44</v>
      </c>
    </row>
    <row r="3443" spans="1:39" x14ac:dyDescent="0.2">
      <c r="A3443" t="s">
        <v>3271</v>
      </c>
      <c r="B3443" t="s">
        <v>40</v>
      </c>
      <c r="C3443" t="s">
        <v>3168</v>
      </c>
      <c r="D3443" t="s">
        <v>42</v>
      </c>
      <c r="E3443" t="s">
        <v>43</v>
      </c>
      <c r="F3443" t="s">
        <v>44</v>
      </c>
      <c r="G3443" t="s">
        <v>45</v>
      </c>
      <c r="H3443" t="s">
        <v>3272</v>
      </c>
      <c r="AH3443" t="s">
        <v>42</v>
      </c>
      <c r="AI3443" t="str">
        <f>"90/90-18TLMI"</f>
        <v>90/90-18TLMI</v>
      </c>
      <c r="AJ3443" t="str">
        <f>"90/90-18TLMI"</f>
        <v>90/90-18TLMI</v>
      </c>
      <c r="AK3443" t="s">
        <v>46</v>
      </c>
      <c r="AL3443" s="1">
        <v>44818.860358796293</v>
      </c>
      <c r="AM3443" t="s">
        <v>44</v>
      </c>
    </row>
    <row r="3444" spans="1:39" x14ac:dyDescent="0.2">
      <c r="A3444" t="s">
        <v>3273</v>
      </c>
      <c r="B3444" t="s">
        <v>40</v>
      </c>
      <c r="C3444" t="s">
        <v>3168</v>
      </c>
      <c r="D3444" t="s">
        <v>42</v>
      </c>
      <c r="E3444" t="s">
        <v>43</v>
      </c>
      <c r="F3444" t="s">
        <v>44</v>
      </c>
      <c r="G3444" t="s">
        <v>45</v>
      </c>
      <c r="H3444" t="s">
        <v>3272</v>
      </c>
      <c r="AH3444" t="s">
        <v>42</v>
      </c>
      <c r="AI3444" t="str">
        <f>"100/90-18TLMI"</f>
        <v>100/90-18TLMI</v>
      </c>
      <c r="AJ3444" t="str">
        <f>"100/90-18TLMI"</f>
        <v>100/90-18TLMI</v>
      </c>
      <c r="AK3444" t="s">
        <v>46</v>
      </c>
      <c r="AL3444" s="1">
        <v>44818.865694444445</v>
      </c>
      <c r="AM3444" t="s">
        <v>44</v>
      </c>
    </row>
    <row r="3445" spans="1:39" x14ac:dyDescent="0.2">
      <c r="A3445" t="s">
        <v>3274</v>
      </c>
      <c r="B3445" t="s">
        <v>40</v>
      </c>
      <c r="C3445" t="s">
        <v>3168</v>
      </c>
      <c r="D3445" t="s">
        <v>42</v>
      </c>
      <c r="E3445" t="s">
        <v>43</v>
      </c>
      <c r="F3445" t="s">
        <v>44</v>
      </c>
      <c r="G3445" t="s">
        <v>45</v>
      </c>
      <c r="AH3445" t="s">
        <v>42</v>
      </c>
      <c r="AI3445" t="str">
        <f>"80/100X18-TLPT"</f>
        <v>80/100X18-TLPT</v>
      </c>
      <c r="AJ3445" t="str">
        <f>"80/100X18-TLPT"</f>
        <v>80/100X18-TLPT</v>
      </c>
      <c r="AK3445" t="s">
        <v>46</v>
      </c>
      <c r="AL3445" s="1">
        <v>44874.742523148147</v>
      </c>
      <c r="AM3445" t="s">
        <v>44</v>
      </c>
    </row>
    <row r="3446" spans="1:39" x14ac:dyDescent="0.2">
      <c r="A3446" t="s">
        <v>3274</v>
      </c>
      <c r="B3446" t="s">
        <v>40</v>
      </c>
      <c r="C3446" t="s">
        <v>3168</v>
      </c>
      <c r="D3446" t="s">
        <v>42</v>
      </c>
      <c r="E3446" t="s">
        <v>43</v>
      </c>
      <c r="F3446" t="s">
        <v>44</v>
      </c>
      <c r="G3446" t="s">
        <v>45</v>
      </c>
      <c r="AH3446" t="s">
        <v>42</v>
      </c>
      <c r="AI3446" t="str">
        <f>"90/90-18-TLPT"</f>
        <v>90/90-18-TLPT</v>
      </c>
      <c r="AJ3446" t="str">
        <f>"90/90-18-TLPT"</f>
        <v>90/90-18-TLPT</v>
      </c>
      <c r="AK3446" t="s">
        <v>46</v>
      </c>
      <c r="AL3446" s="1">
        <v>44881.614108796297</v>
      </c>
      <c r="AM3446" t="s">
        <v>44</v>
      </c>
    </row>
    <row r="3447" spans="1:39" x14ac:dyDescent="0.2">
      <c r="A3447" t="s">
        <v>3274</v>
      </c>
      <c r="B3447" t="s">
        <v>40</v>
      </c>
      <c r="C3447" t="s">
        <v>3168</v>
      </c>
      <c r="D3447" t="s">
        <v>42</v>
      </c>
      <c r="E3447" t="s">
        <v>43</v>
      </c>
      <c r="F3447" t="s">
        <v>44</v>
      </c>
      <c r="G3447" t="s">
        <v>45</v>
      </c>
      <c r="AH3447" t="s">
        <v>42</v>
      </c>
      <c r="AI3447" t="str">
        <f>"67822289943847"</f>
        <v>67822289943847</v>
      </c>
      <c r="AJ3447" t="str">
        <f>"100/90X18-TLPT"</f>
        <v>100/90X18-TLPT</v>
      </c>
      <c r="AK3447" t="s">
        <v>46</v>
      </c>
      <c r="AL3447" s="1">
        <v>44992.876145833332</v>
      </c>
      <c r="AM3447" t="s">
        <v>44</v>
      </c>
    </row>
    <row r="3448" spans="1:39" x14ac:dyDescent="0.2">
      <c r="A3448" t="s">
        <v>3274</v>
      </c>
      <c r="B3448" t="s">
        <v>40</v>
      </c>
      <c r="C3448" t="s">
        <v>3168</v>
      </c>
      <c r="D3448" t="s">
        <v>42</v>
      </c>
      <c r="E3448" t="s">
        <v>43</v>
      </c>
      <c r="F3448" t="s">
        <v>44</v>
      </c>
      <c r="G3448" t="s">
        <v>45</v>
      </c>
      <c r="AH3448" t="s">
        <v>42</v>
      </c>
      <c r="AI3448" t="str">
        <f>"67822289970259"</f>
        <v>67822289970259</v>
      </c>
      <c r="AJ3448" t="str">
        <f>"275X18-TLPT"</f>
        <v>275X18-TLPT</v>
      </c>
      <c r="AK3448" t="s">
        <v>46</v>
      </c>
      <c r="AL3448" s="1">
        <v>44992.876145833332</v>
      </c>
      <c r="AM3448" t="s">
        <v>44</v>
      </c>
    </row>
    <row r="3449" spans="1:39" x14ac:dyDescent="0.2">
      <c r="A3449" t="s">
        <v>3274</v>
      </c>
      <c r="B3449" t="s">
        <v>40</v>
      </c>
      <c r="C3449" t="s">
        <v>3168</v>
      </c>
      <c r="D3449" t="s">
        <v>42</v>
      </c>
      <c r="E3449" t="s">
        <v>43</v>
      </c>
      <c r="F3449" t="s">
        <v>44</v>
      </c>
      <c r="G3449" t="s">
        <v>45</v>
      </c>
      <c r="AH3449" t="s">
        <v>42</v>
      </c>
      <c r="AI3449" t="str">
        <f>"67822289984405"</f>
        <v>67822289984405</v>
      </c>
      <c r="AJ3449" t="str">
        <f>"300X18-TLPT"</f>
        <v>300X18-TLPT</v>
      </c>
      <c r="AK3449" t="s">
        <v>46</v>
      </c>
      <c r="AL3449" s="1">
        <v>44992.876145833332</v>
      </c>
      <c r="AM3449" t="s">
        <v>44</v>
      </c>
    </row>
    <row r="3450" spans="1:39" x14ac:dyDescent="0.2">
      <c r="A3450" t="s">
        <v>3274</v>
      </c>
      <c r="B3450" t="s">
        <v>40</v>
      </c>
      <c r="C3450" t="s">
        <v>3168</v>
      </c>
      <c r="D3450" t="s">
        <v>42</v>
      </c>
      <c r="E3450" t="s">
        <v>43</v>
      </c>
      <c r="F3450" t="s">
        <v>44</v>
      </c>
      <c r="G3450" t="s">
        <v>45</v>
      </c>
      <c r="AH3450" t="s">
        <v>42</v>
      </c>
      <c r="AI3450" t="str">
        <f>"67822289995279"</f>
        <v>67822289995279</v>
      </c>
      <c r="AJ3450" t="str">
        <f>"90/90X18-TTPT"</f>
        <v>90/90X18-TTPT</v>
      </c>
      <c r="AK3450" t="s">
        <v>46</v>
      </c>
      <c r="AL3450" s="1">
        <v>44992.876145833332</v>
      </c>
      <c r="AM3450" t="s">
        <v>44</v>
      </c>
    </row>
    <row r="3451" spans="1:39" x14ac:dyDescent="0.2">
      <c r="A3451" t="s">
        <v>3275</v>
      </c>
      <c r="B3451" t="s">
        <v>40</v>
      </c>
      <c r="C3451" t="s">
        <v>3168</v>
      </c>
      <c r="D3451" t="s">
        <v>42</v>
      </c>
      <c r="E3451" t="s">
        <v>43</v>
      </c>
      <c r="F3451" t="s">
        <v>44</v>
      </c>
      <c r="G3451" t="s">
        <v>45</v>
      </c>
      <c r="AH3451" t="s">
        <v>42</v>
      </c>
      <c r="AI3451" t="str">
        <f>"90/90*18-TLPT"</f>
        <v>90/90*18-TLPT</v>
      </c>
      <c r="AJ3451" t="str">
        <f>"90/90*18-TLPT"</f>
        <v>90/90*18-TLPT</v>
      </c>
      <c r="AK3451" t="s">
        <v>46</v>
      </c>
      <c r="AL3451" s="1">
        <v>45022.689074074071</v>
      </c>
      <c r="AM3451" t="s">
        <v>44</v>
      </c>
    </row>
    <row r="3452" spans="1:39" x14ac:dyDescent="0.2">
      <c r="A3452" t="s">
        <v>3275</v>
      </c>
      <c r="B3452" t="s">
        <v>40</v>
      </c>
      <c r="C3452" t="s">
        <v>3168</v>
      </c>
      <c r="D3452" t="s">
        <v>42</v>
      </c>
      <c r="E3452" t="s">
        <v>43</v>
      </c>
      <c r="F3452" t="s">
        <v>44</v>
      </c>
      <c r="G3452" t="s">
        <v>45</v>
      </c>
      <c r="AH3452" t="s">
        <v>42</v>
      </c>
      <c r="AI3452" t="str">
        <f>"80/100-18-TLPT"</f>
        <v>80/100-18-TLPT</v>
      </c>
      <c r="AJ3452" t="str">
        <f>"80/100-18-TLPT"</f>
        <v>80/100-18-TLPT</v>
      </c>
      <c r="AK3452" t="s">
        <v>46</v>
      </c>
      <c r="AL3452" s="1">
        <v>45105.855416666665</v>
      </c>
      <c r="AM3452" t="s">
        <v>44</v>
      </c>
    </row>
    <row r="3453" spans="1:39" x14ac:dyDescent="0.2">
      <c r="A3453" t="s">
        <v>3276</v>
      </c>
      <c r="B3453" t="s">
        <v>40</v>
      </c>
      <c r="C3453" t="s">
        <v>3168</v>
      </c>
      <c r="D3453" t="s">
        <v>42</v>
      </c>
      <c r="E3453" t="s">
        <v>43</v>
      </c>
      <c r="F3453" t="s">
        <v>44</v>
      </c>
      <c r="G3453" t="s">
        <v>45</v>
      </c>
      <c r="AH3453" t="s">
        <v>42</v>
      </c>
      <c r="AI3453" t="str">
        <f>"67822289958555"</f>
        <v>67822289958555</v>
      </c>
      <c r="AJ3453" t="str">
        <f>"100/90-18-TLPT"</f>
        <v>100/90-18-TLPT</v>
      </c>
      <c r="AK3453" t="s">
        <v>46</v>
      </c>
      <c r="AL3453" s="1">
        <v>44992.876145833332</v>
      </c>
      <c r="AM3453" t="s">
        <v>44</v>
      </c>
    </row>
    <row r="3454" spans="1:39" x14ac:dyDescent="0.2">
      <c r="A3454" t="s">
        <v>3276</v>
      </c>
      <c r="B3454" t="s">
        <v>40</v>
      </c>
      <c r="C3454" t="s">
        <v>3168</v>
      </c>
      <c r="D3454" t="s">
        <v>42</v>
      </c>
      <c r="E3454" t="s">
        <v>43</v>
      </c>
      <c r="F3454" t="s">
        <v>44</v>
      </c>
      <c r="G3454" t="s">
        <v>45</v>
      </c>
      <c r="AH3454" t="s">
        <v>42</v>
      </c>
      <c r="AI3454" t="str">
        <f>"67822289969931"</f>
        <v>67822289969931</v>
      </c>
      <c r="AJ3454" t="str">
        <f>"275-18TLPT"</f>
        <v>275-18TLPT</v>
      </c>
      <c r="AK3454" t="s">
        <v>46</v>
      </c>
      <c r="AL3454" s="1">
        <v>44992.876145833332</v>
      </c>
      <c r="AM3454" t="s">
        <v>44</v>
      </c>
    </row>
    <row r="3455" spans="1:39" x14ac:dyDescent="0.2">
      <c r="A3455" t="s">
        <v>3276</v>
      </c>
      <c r="B3455" t="s">
        <v>40</v>
      </c>
      <c r="C3455" t="s">
        <v>3168</v>
      </c>
      <c r="D3455" t="s">
        <v>42</v>
      </c>
      <c r="E3455" t="s">
        <v>43</v>
      </c>
      <c r="F3455" t="s">
        <v>44</v>
      </c>
      <c r="G3455" t="s">
        <v>45</v>
      </c>
      <c r="AH3455" t="s">
        <v>42</v>
      </c>
      <c r="AI3455" t="str">
        <f>"67822289978343"</f>
        <v>67822289978343</v>
      </c>
      <c r="AJ3455" t="str">
        <f>"90/90X18-TLPT"</f>
        <v>90/90X18-TLPT</v>
      </c>
      <c r="AK3455" t="s">
        <v>46</v>
      </c>
      <c r="AL3455" s="1">
        <v>44992.876145833332</v>
      </c>
      <c r="AM3455" t="s">
        <v>44</v>
      </c>
    </row>
    <row r="3456" spans="1:39" x14ac:dyDescent="0.2">
      <c r="A3456" t="s">
        <v>3277</v>
      </c>
      <c r="B3456" t="s">
        <v>40</v>
      </c>
      <c r="C3456" t="s">
        <v>3168</v>
      </c>
      <c r="D3456" t="s">
        <v>42</v>
      </c>
      <c r="E3456" t="s">
        <v>43</v>
      </c>
      <c r="F3456" t="s">
        <v>44</v>
      </c>
      <c r="G3456" t="s">
        <v>45</v>
      </c>
      <c r="AH3456" t="s">
        <v>42</v>
      </c>
      <c r="AI3456" t="str">
        <f>"275X18SR"</f>
        <v>275X18SR</v>
      </c>
      <c r="AJ3456" t="str">
        <f>"275X18SR"</f>
        <v>275X18SR</v>
      </c>
      <c r="AK3456" t="s">
        <v>46</v>
      </c>
      <c r="AL3456" s="1">
        <v>45093.967939814815</v>
      </c>
      <c r="AM3456" t="s">
        <v>44</v>
      </c>
    </row>
    <row r="3457" spans="1:39" x14ac:dyDescent="0.2">
      <c r="A3457" t="s">
        <v>3277</v>
      </c>
      <c r="B3457" t="s">
        <v>40</v>
      </c>
      <c r="C3457" t="s">
        <v>3168</v>
      </c>
      <c r="D3457" t="s">
        <v>42</v>
      </c>
      <c r="E3457" t="s">
        <v>43</v>
      </c>
      <c r="F3457" t="s">
        <v>44</v>
      </c>
      <c r="G3457" t="s">
        <v>45</v>
      </c>
      <c r="AH3457" t="s">
        <v>42</v>
      </c>
      <c r="AI3457" t="str">
        <f>"300*18SR"</f>
        <v>300*18SR</v>
      </c>
      <c r="AJ3457" t="str">
        <f>"300*18SR"</f>
        <v>300*18SR</v>
      </c>
      <c r="AK3457" t="s">
        <v>46</v>
      </c>
      <c r="AL3457" s="1">
        <v>45093.968692129631</v>
      </c>
      <c r="AM3457" t="s">
        <v>44</v>
      </c>
    </row>
    <row r="3458" spans="1:39" x14ac:dyDescent="0.2">
      <c r="A3458" t="s">
        <v>3278</v>
      </c>
      <c r="B3458" t="s">
        <v>40</v>
      </c>
      <c r="C3458" t="s">
        <v>3168</v>
      </c>
      <c r="D3458" t="s">
        <v>42</v>
      </c>
      <c r="E3458" t="s">
        <v>43</v>
      </c>
      <c r="F3458" t="s">
        <v>44</v>
      </c>
      <c r="G3458" t="s">
        <v>45</v>
      </c>
      <c r="AH3458" t="s">
        <v>42</v>
      </c>
      <c r="AI3458" t="str">
        <f>"100/90-18TLSR"</f>
        <v>100/90-18TLSR</v>
      </c>
      <c r="AJ3458" t="str">
        <f>"100/90-18TLSR"</f>
        <v>100/90-18TLSR</v>
      </c>
      <c r="AK3458" t="s">
        <v>46</v>
      </c>
      <c r="AL3458" s="1">
        <v>44987.56554398148</v>
      </c>
      <c r="AM3458" t="s">
        <v>44</v>
      </c>
    </row>
    <row r="3459" spans="1:39" x14ac:dyDescent="0.2">
      <c r="A3459" t="s">
        <v>3279</v>
      </c>
      <c r="B3459" t="s">
        <v>40</v>
      </c>
      <c r="C3459" t="s">
        <v>3168</v>
      </c>
      <c r="D3459" t="s">
        <v>42</v>
      </c>
      <c r="E3459" t="s">
        <v>43</v>
      </c>
      <c r="F3459" t="s">
        <v>44</v>
      </c>
      <c r="G3459" t="s">
        <v>45</v>
      </c>
      <c r="AH3459" t="s">
        <v>42</v>
      </c>
      <c r="AI3459" t="str">
        <f>"90/90-18TLSR"</f>
        <v>90/90-18TLSR</v>
      </c>
      <c r="AJ3459" t="str">
        <f>"90/90-18TLSR"</f>
        <v>90/90-18TLSR</v>
      </c>
      <c r="AK3459" t="s">
        <v>46</v>
      </c>
      <c r="AL3459" s="1">
        <v>45093.963159722225</v>
      </c>
      <c r="AM3459" t="s">
        <v>44</v>
      </c>
    </row>
    <row r="3460" spans="1:39" x14ac:dyDescent="0.2">
      <c r="A3460" t="s">
        <v>3280</v>
      </c>
      <c r="B3460" t="s">
        <v>40</v>
      </c>
      <c r="C3460" t="s">
        <v>3168</v>
      </c>
      <c r="D3460" t="s">
        <v>42</v>
      </c>
      <c r="E3460" t="s">
        <v>43</v>
      </c>
      <c r="F3460" t="s">
        <v>44</v>
      </c>
      <c r="G3460" t="s">
        <v>45</v>
      </c>
      <c r="AH3460" t="s">
        <v>42</v>
      </c>
      <c r="AI3460" t="str">
        <f>"300X18SR"</f>
        <v>300X18SR</v>
      </c>
      <c r="AJ3460" t="str">
        <f>"300X18SR"</f>
        <v>300X18SR</v>
      </c>
      <c r="AK3460" t="s">
        <v>46</v>
      </c>
      <c r="AL3460" s="1">
        <v>45093.96607638889</v>
      </c>
      <c r="AM3460" t="s">
        <v>44</v>
      </c>
    </row>
    <row r="3461" spans="1:39" x14ac:dyDescent="0.2">
      <c r="A3461" t="s">
        <v>3281</v>
      </c>
      <c r="B3461" t="s">
        <v>40</v>
      </c>
      <c r="C3461" t="s">
        <v>3168</v>
      </c>
      <c r="D3461" t="s">
        <v>42</v>
      </c>
      <c r="E3461" t="s">
        <v>43</v>
      </c>
      <c r="F3461" t="s">
        <v>44</v>
      </c>
      <c r="G3461" t="s">
        <v>45</v>
      </c>
      <c r="AH3461" t="s">
        <v>42</v>
      </c>
      <c r="AI3461" t="str">
        <f>"300-18SR"</f>
        <v>300-18SR</v>
      </c>
      <c r="AJ3461" t="str">
        <f>"300-18SR"</f>
        <v>300-18SR</v>
      </c>
      <c r="AK3461" t="s">
        <v>46</v>
      </c>
      <c r="AL3461" s="1">
        <v>45093.966817129629</v>
      </c>
      <c r="AM3461" t="s">
        <v>44</v>
      </c>
    </row>
    <row r="3462" spans="1:39" x14ac:dyDescent="0.2">
      <c r="A3462" t="s">
        <v>3282</v>
      </c>
      <c r="B3462" t="s">
        <v>40</v>
      </c>
      <c r="C3462" t="s">
        <v>3168</v>
      </c>
      <c r="D3462" t="s">
        <v>42</v>
      </c>
      <c r="E3462" t="s">
        <v>43</v>
      </c>
      <c r="F3462" t="s">
        <v>44</v>
      </c>
      <c r="G3462" t="s">
        <v>45</v>
      </c>
      <c r="AH3462" t="s">
        <v>42</v>
      </c>
      <c r="AI3462" t="str">
        <f>"67822290289062"</f>
        <v>67822290289062</v>
      </c>
      <c r="AJ3462" t="str">
        <f>"325X18-TLWA"</f>
        <v>325X18-TLWA</v>
      </c>
      <c r="AK3462" t="s">
        <v>46</v>
      </c>
      <c r="AL3462" s="1">
        <v>44992.876180555555</v>
      </c>
      <c r="AM3462" t="s">
        <v>44</v>
      </c>
    </row>
    <row r="3463" spans="1:39" x14ac:dyDescent="0.2">
      <c r="A3463" t="s">
        <v>3283</v>
      </c>
      <c r="B3463" t="s">
        <v>40</v>
      </c>
      <c r="C3463" t="s">
        <v>3168</v>
      </c>
      <c r="D3463" t="s">
        <v>42</v>
      </c>
      <c r="E3463" t="s">
        <v>43</v>
      </c>
      <c r="F3463" t="s">
        <v>44</v>
      </c>
      <c r="G3463" t="s">
        <v>45</v>
      </c>
      <c r="AH3463" t="s">
        <v>42</v>
      </c>
      <c r="AI3463" t="str">
        <f>"67822290524363"</f>
        <v>67822290524363</v>
      </c>
      <c r="AJ3463" t="str">
        <f>"110/90X18-TLWA"</f>
        <v>110/90X18-TLWA</v>
      </c>
      <c r="AK3463" t="s">
        <v>46</v>
      </c>
      <c r="AL3463" s="1">
        <v>44992.876215277778</v>
      </c>
      <c r="AM3463" t="s">
        <v>44</v>
      </c>
    </row>
    <row r="3464" spans="1:39" x14ac:dyDescent="0.2">
      <c r="A3464" t="s">
        <v>3284</v>
      </c>
      <c r="B3464" t="s">
        <v>40</v>
      </c>
      <c r="C3464" t="s">
        <v>3168</v>
      </c>
      <c r="D3464" t="s">
        <v>42</v>
      </c>
      <c r="E3464" t="s">
        <v>43</v>
      </c>
      <c r="F3464" t="s">
        <v>44</v>
      </c>
      <c r="G3464" t="s">
        <v>45</v>
      </c>
      <c r="AH3464" t="s">
        <v>42</v>
      </c>
      <c r="AI3464" t="str">
        <f>"67822290593427"</f>
        <v>67822290593427</v>
      </c>
      <c r="AJ3464" t="str">
        <f>"90/90X18-TLWA"</f>
        <v>90/90X18-TLWA</v>
      </c>
      <c r="AK3464" t="s">
        <v>46</v>
      </c>
      <c r="AL3464" s="1">
        <v>44992.876215277778</v>
      </c>
      <c r="AM3464" t="s">
        <v>44</v>
      </c>
    </row>
    <row r="3465" spans="1:39" x14ac:dyDescent="0.2">
      <c r="A3465" t="s">
        <v>3285</v>
      </c>
      <c r="B3465" t="s">
        <v>40</v>
      </c>
      <c r="C3465" t="s">
        <v>3168</v>
      </c>
      <c r="D3465" t="s">
        <v>42</v>
      </c>
      <c r="E3465" t="s">
        <v>43</v>
      </c>
      <c r="F3465" t="s">
        <v>44</v>
      </c>
      <c r="G3465" t="s">
        <v>45</v>
      </c>
      <c r="AH3465" t="s">
        <v>42</v>
      </c>
      <c r="AI3465" t="str">
        <f>"67822290276584"</f>
        <v>67822290276584</v>
      </c>
      <c r="AJ3465" t="str">
        <f>"300X18-TLWA"</f>
        <v>300X18-TLWA</v>
      </c>
      <c r="AK3465" t="s">
        <v>46</v>
      </c>
      <c r="AL3465" s="1">
        <v>44992.876180555555</v>
      </c>
      <c r="AM3465" t="s">
        <v>44</v>
      </c>
    </row>
    <row r="3466" spans="1:39" x14ac:dyDescent="0.2">
      <c r="A3466" t="s">
        <v>3286</v>
      </c>
      <c r="B3466" t="s">
        <v>40</v>
      </c>
      <c r="C3466" t="s">
        <v>3168</v>
      </c>
      <c r="D3466" t="s">
        <v>42</v>
      </c>
      <c r="E3466" t="s">
        <v>43</v>
      </c>
      <c r="F3466" t="s">
        <v>44</v>
      </c>
      <c r="G3466" t="s">
        <v>45</v>
      </c>
      <c r="AH3466" t="s">
        <v>42</v>
      </c>
      <c r="AI3466" t="str">
        <f>"67822290289161"</f>
        <v>67822290289161</v>
      </c>
      <c r="AJ3466" t="str">
        <f>"325-18-TLWA"</f>
        <v>325-18-TLWA</v>
      </c>
      <c r="AK3466" t="s">
        <v>46</v>
      </c>
      <c r="AL3466" s="1">
        <v>44992.876180555555</v>
      </c>
      <c r="AM3466" t="s">
        <v>44</v>
      </c>
    </row>
    <row r="3467" spans="1:39" x14ac:dyDescent="0.2">
      <c r="A3467" t="s">
        <v>3287</v>
      </c>
      <c r="B3467" t="s">
        <v>40</v>
      </c>
      <c r="C3467" t="s">
        <v>3168</v>
      </c>
      <c r="D3467" t="s">
        <v>42</v>
      </c>
      <c r="E3467" t="s">
        <v>43</v>
      </c>
      <c r="F3467" t="s">
        <v>44</v>
      </c>
      <c r="G3467" t="s">
        <v>45</v>
      </c>
      <c r="AH3467" t="s">
        <v>42</v>
      </c>
      <c r="AI3467" t="str">
        <f>"90/90-19TTCEAT"</f>
        <v>90/90-19TTCEAT</v>
      </c>
      <c r="AJ3467" t="str">
        <f>"90/90-19TTCEAT"</f>
        <v>90/90-19TTCEAT</v>
      </c>
      <c r="AK3467" t="s">
        <v>46</v>
      </c>
      <c r="AL3467" s="1">
        <v>44919.577569444446</v>
      </c>
      <c r="AM3467" t="s">
        <v>44</v>
      </c>
    </row>
    <row r="3468" spans="1:39" x14ac:dyDescent="0.2">
      <c r="A3468" t="s">
        <v>3288</v>
      </c>
      <c r="B3468" t="s">
        <v>40</v>
      </c>
      <c r="C3468" t="s">
        <v>3168</v>
      </c>
      <c r="D3468" t="s">
        <v>42</v>
      </c>
      <c r="E3468" t="s">
        <v>43</v>
      </c>
      <c r="F3468" t="s">
        <v>44</v>
      </c>
      <c r="G3468" t="s">
        <v>45</v>
      </c>
      <c r="AH3468" t="s">
        <v>42</v>
      </c>
      <c r="AI3468" t="str">
        <f>"90/90-19TTCHY"</f>
        <v>90/90-19TTCHY</v>
      </c>
      <c r="AJ3468" t="str">
        <f>"90/90-19TTCHY"</f>
        <v>90/90-19TTCHY</v>
      </c>
      <c r="AK3468" t="s">
        <v>46</v>
      </c>
      <c r="AL3468" s="1">
        <v>45062.918287037035</v>
      </c>
      <c r="AM3468" t="s">
        <v>44</v>
      </c>
    </row>
    <row r="3469" spans="1:39" x14ac:dyDescent="0.2">
      <c r="A3469" t="s">
        <v>3289</v>
      </c>
      <c r="B3469" t="s">
        <v>40</v>
      </c>
      <c r="C3469" t="s">
        <v>3168</v>
      </c>
      <c r="D3469" t="s">
        <v>42</v>
      </c>
      <c r="E3469" t="s">
        <v>43</v>
      </c>
      <c r="F3469" t="s">
        <v>44</v>
      </c>
      <c r="G3469" t="s">
        <v>45</v>
      </c>
      <c r="AH3469" t="s">
        <v>42</v>
      </c>
      <c r="AI3469" t="str">
        <f>"67822289878078"</f>
        <v>67822289878078</v>
      </c>
      <c r="AJ3469" t="str">
        <f>"90/100X14-CRIRC"</f>
        <v>90/100X14-CRIRC</v>
      </c>
      <c r="AK3469" t="s">
        <v>46</v>
      </c>
      <c r="AL3469" s="1">
        <v>44992.876134259262</v>
      </c>
      <c r="AM3469" t="s">
        <v>44</v>
      </c>
    </row>
    <row r="3470" spans="1:39" x14ac:dyDescent="0.2">
      <c r="A3470" t="s">
        <v>3290</v>
      </c>
      <c r="B3470" t="s">
        <v>40</v>
      </c>
      <c r="C3470" t="s">
        <v>3168</v>
      </c>
      <c r="D3470" t="s">
        <v>42</v>
      </c>
      <c r="E3470" t="s">
        <v>43</v>
      </c>
      <c r="F3470" t="s">
        <v>44</v>
      </c>
      <c r="G3470" t="s">
        <v>45</v>
      </c>
      <c r="AH3470" t="s">
        <v>42</v>
      </c>
      <c r="AI3470" t="str">
        <f>"90/100*14MX"</f>
        <v>90/100*14MX</v>
      </c>
      <c r="AJ3470" t="str">
        <f>"90/100*14MX"</f>
        <v>90/100*14MX</v>
      </c>
      <c r="AK3470" t="s">
        <v>46</v>
      </c>
      <c r="AL3470" s="1">
        <v>44858.577627314815</v>
      </c>
      <c r="AM3470" t="s">
        <v>44</v>
      </c>
    </row>
    <row r="3471" spans="1:39" x14ac:dyDescent="0.2">
      <c r="A3471" t="s">
        <v>3291</v>
      </c>
      <c r="B3471" t="s">
        <v>40</v>
      </c>
      <c r="C3471" t="s">
        <v>3168</v>
      </c>
      <c r="D3471" t="s">
        <v>42</v>
      </c>
      <c r="E3471" t="s">
        <v>43</v>
      </c>
      <c r="F3471" t="s">
        <v>44</v>
      </c>
      <c r="G3471" t="s">
        <v>45</v>
      </c>
      <c r="AH3471" t="s">
        <v>42</v>
      </c>
      <c r="AI3471" t="str">
        <f>"67822289889263"</f>
        <v>67822289889263</v>
      </c>
      <c r="AJ3471" t="str">
        <f>"90/100X16-CRIRC"</f>
        <v>90/100X16-CRIRC</v>
      </c>
      <c r="AK3471" t="s">
        <v>46</v>
      </c>
      <c r="AL3471" s="1">
        <v>44992.876134259262</v>
      </c>
      <c r="AM3471" t="s">
        <v>44</v>
      </c>
    </row>
    <row r="3472" spans="1:39" x14ac:dyDescent="0.2">
      <c r="A3472" t="s">
        <v>3292</v>
      </c>
      <c r="B3472" t="s">
        <v>40</v>
      </c>
      <c r="C3472" t="s">
        <v>3168</v>
      </c>
      <c r="D3472" t="s">
        <v>42</v>
      </c>
      <c r="E3472" t="s">
        <v>43</v>
      </c>
      <c r="F3472" t="s">
        <v>44</v>
      </c>
      <c r="G3472" t="s">
        <v>45</v>
      </c>
      <c r="AH3472" t="s">
        <v>42</v>
      </c>
      <c r="AI3472" t="str">
        <f>"300-16CR"</f>
        <v>300-16CR</v>
      </c>
      <c r="AJ3472" t="str">
        <f>"300-16CR"</f>
        <v>300-16CR</v>
      </c>
      <c r="AK3472" t="s">
        <v>46</v>
      </c>
      <c r="AL3472" s="1">
        <v>44858.576423611114</v>
      </c>
      <c r="AM3472" t="s">
        <v>44</v>
      </c>
    </row>
    <row r="3473" spans="1:39" x14ac:dyDescent="0.2">
      <c r="A3473" t="s">
        <v>3293</v>
      </c>
      <c r="B3473" t="s">
        <v>40</v>
      </c>
      <c r="C3473" t="s">
        <v>3168</v>
      </c>
      <c r="D3473" t="s">
        <v>42</v>
      </c>
      <c r="E3473" t="s">
        <v>43</v>
      </c>
      <c r="F3473" t="s">
        <v>44</v>
      </c>
      <c r="G3473" t="s">
        <v>45</v>
      </c>
      <c r="AH3473" t="s">
        <v>42</v>
      </c>
      <c r="AI3473" t="str">
        <f>"67822289824924"</f>
        <v>67822289824924</v>
      </c>
      <c r="AJ3473" t="str">
        <f>"70/100X17-CRIRC"</f>
        <v>70/100X17-CRIRC</v>
      </c>
      <c r="AK3473" t="s">
        <v>46</v>
      </c>
      <c r="AL3473" s="1">
        <v>44992.876134259262</v>
      </c>
      <c r="AM3473" t="s">
        <v>44</v>
      </c>
    </row>
    <row r="3474" spans="1:39" x14ac:dyDescent="0.2">
      <c r="A3474" t="s">
        <v>3294</v>
      </c>
      <c r="B3474" t="s">
        <v>40</v>
      </c>
      <c r="C3474" t="s">
        <v>3168</v>
      </c>
      <c r="D3474" t="s">
        <v>42</v>
      </c>
      <c r="E3474" t="s">
        <v>43</v>
      </c>
      <c r="F3474" t="s">
        <v>44</v>
      </c>
      <c r="G3474" t="s">
        <v>45</v>
      </c>
      <c r="AH3474" t="s">
        <v>42</v>
      </c>
      <c r="AI3474" t="str">
        <f>"67822289828863"</f>
        <v>67822289828863</v>
      </c>
      <c r="AJ3474" t="str">
        <f>"100/100X17-CRIRC"</f>
        <v>100/100X17-CRIRC</v>
      </c>
      <c r="AK3474" t="s">
        <v>46</v>
      </c>
      <c r="AL3474" s="1">
        <v>44992.876134259262</v>
      </c>
      <c r="AM3474" t="s">
        <v>44</v>
      </c>
    </row>
    <row r="3475" spans="1:39" x14ac:dyDescent="0.2">
      <c r="A3475" t="s">
        <v>3295</v>
      </c>
      <c r="B3475" t="s">
        <v>40</v>
      </c>
      <c r="C3475" t="s">
        <v>3168</v>
      </c>
      <c r="D3475" t="s">
        <v>42</v>
      </c>
      <c r="E3475" t="s">
        <v>43</v>
      </c>
      <c r="F3475" t="s">
        <v>44</v>
      </c>
      <c r="G3475" t="s">
        <v>45</v>
      </c>
      <c r="AH3475" t="s">
        <v>42</v>
      </c>
      <c r="AI3475" t="str">
        <f>"66298911107621"</f>
        <v>66298911107621</v>
      </c>
      <c r="AJ3475" t="str">
        <f>"410X18CRDURO"</f>
        <v>410X18CRDURO</v>
      </c>
      <c r="AK3475" t="s">
        <v>46</v>
      </c>
      <c r="AL3475" s="1">
        <v>44816.559155092589</v>
      </c>
      <c r="AM3475" t="s">
        <v>44</v>
      </c>
    </row>
    <row r="3476" spans="1:39" x14ac:dyDescent="0.2">
      <c r="A3476" t="s">
        <v>3296</v>
      </c>
      <c r="B3476" t="s">
        <v>40</v>
      </c>
      <c r="C3476" t="s">
        <v>3168</v>
      </c>
      <c r="D3476" t="s">
        <v>42</v>
      </c>
      <c r="E3476" t="s">
        <v>43</v>
      </c>
      <c r="F3476" t="s">
        <v>44</v>
      </c>
      <c r="G3476" t="s">
        <v>45</v>
      </c>
      <c r="AH3476" t="s">
        <v>42</v>
      </c>
      <c r="AI3476" t="str">
        <f>"67822289823281"</f>
        <v>67822289823281</v>
      </c>
      <c r="AJ3476" t="str">
        <f>"110/100X18-CRIRC"</f>
        <v>110/100X18-CRIRC</v>
      </c>
      <c r="AK3476" t="s">
        <v>46</v>
      </c>
      <c r="AL3476" s="1">
        <v>44992.876134259262</v>
      </c>
      <c r="AM3476" t="s">
        <v>44</v>
      </c>
    </row>
    <row r="3477" spans="1:39" x14ac:dyDescent="0.2">
      <c r="A3477" t="s">
        <v>3296</v>
      </c>
      <c r="B3477" t="s">
        <v>40</v>
      </c>
      <c r="C3477" t="s">
        <v>3168</v>
      </c>
      <c r="D3477" t="s">
        <v>42</v>
      </c>
      <c r="E3477" t="s">
        <v>43</v>
      </c>
      <c r="F3477" t="s">
        <v>44</v>
      </c>
      <c r="G3477" t="s">
        <v>45</v>
      </c>
      <c r="AH3477" t="s">
        <v>42</v>
      </c>
      <c r="AI3477" t="str">
        <f>"67822289833804"</f>
        <v>67822289833804</v>
      </c>
      <c r="AJ3477" t="str">
        <f>"410X18-CRIRC"</f>
        <v>410X18-CRIRC</v>
      </c>
      <c r="AK3477" t="s">
        <v>46</v>
      </c>
      <c r="AL3477" s="1">
        <v>44992.876134259262</v>
      </c>
      <c r="AM3477" t="s">
        <v>44</v>
      </c>
    </row>
    <row r="3478" spans="1:39" x14ac:dyDescent="0.2">
      <c r="A3478" t="s">
        <v>3296</v>
      </c>
      <c r="B3478" t="s">
        <v>40</v>
      </c>
      <c r="C3478" t="s">
        <v>3168</v>
      </c>
      <c r="D3478" t="s">
        <v>42</v>
      </c>
      <c r="E3478" t="s">
        <v>43</v>
      </c>
      <c r="F3478" t="s">
        <v>44</v>
      </c>
      <c r="G3478" t="s">
        <v>45</v>
      </c>
      <c r="AH3478" t="s">
        <v>42</v>
      </c>
      <c r="AI3478" t="str">
        <f>"67822289849332"</f>
        <v>67822289849332</v>
      </c>
      <c r="AJ3478" t="str">
        <f>"510X18-CRIRC"</f>
        <v>510X18-CRIRC</v>
      </c>
      <c r="AK3478" t="s">
        <v>46</v>
      </c>
      <c r="AL3478" s="1">
        <v>44992.876134259262</v>
      </c>
      <c r="AM3478" t="s">
        <v>44</v>
      </c>
    </row>
    <row r="3479" spans="1:39" x14ac:dyDescent="0.2">
      <c r="A3479" t="s">
        <v>3297</v>
      </c>
      <c r="B3479" t="s">
        <v>40</v>
      </c>
      <c r="C3479" t="s">
        <v>3168</v>
      </c>
      <c r="D3479" t="s">
        <v>42</v>
      </c>
      <c r="E3479" t="s">
        <v>43</v>
      </c>
      <c r="F3479" t="s">
        <v>44</v>
      </c>
      <c r="G3479" t="s">
        <v>45</v>
      </c>
      <c r="AH3479" t="s">
        <v>42</v>
      </c>
      <c r="AI3479" t="str">
        <f>"67822289975052"</f>
        <v>67822289975052</v>
      </c>
      <c r="AJ3479" t="str">
        <f>"110/100X18-CRPT"</f>
        <v>110/100X18-CRPT</v>
      </c>
      <c r="AK3479" t="s">
        <v>46</v>
      </c>
      <c r="AL3479" s="1">
        <v>44992.876145833332</v>
      </c>
      <c r="AM3479" t="s">
        <v>44</v>
      </c>
    </row>
    <row r="3480" spans="1:39" x14ac:dyDescent="0.2">
      <c r="A3480" t="s">
        <v>3298</v>
      </c>
      <c r="B3480" t="s">
        <v>40</v>
      </c>
      <c r="C3480" t="s">
        <v>3168</v>
      </c>
      <c r="D3480" t="s">
        <v>42</v>
      </c>
      <c r="E3480" t="s">
        <v>43</v>
      </c>
      <c r="F3480" t="s">
        <v>44</v>
      </c>
      <c r="G3480" t="s">
        <v>45</v>
      </c>
      <c r="AH3480" t="s">
        <v>42</v>
      </c>
      <c r="AI3480" t="str">
        <f>"67822290184461"</f>
        <v>67822290184461</v>
      </c>
      <c r="AJ3480" t="str">
        <f>"460X18-CRWA"</f>
        <v>460X18-CRWA</v>
      </c>
      <c r="AK3480" t="s">
        <v>46</v>
      </c>
      <c r="AL3480" s="1">
        <v>44992.876168981478</v>
      </c>
      <c r="AM3480" t="s">
        <v>44</v>
      </c>
    </row>
    <row r="3481" spans="1:39" x14ac:dyDescent="0.2">
      <c r="A3481" t="s">
        <v>3298</v>
      </c>
      <c r="B3481" t="s">
        <v>40</v>
      </c>
      <c r="C3481" t="s">
        <v>3168</v>
      </c>
      <c r="D3481" t="s">
        <v>42</v>
      </c>
      <c r="E3481" t="s">
        <v>43</v>
      </c>
      <c r="F3481" t="s">
        <v>44</v>
      </c>
      <c r="G3481" t="s">
        <v>45</v>
      </c>
      <c r="AH3481" t="s">
        <v>42</v>
      </c>
      <c r="AI3481" t="str">
        <f>"67822290198091"</f>
        <v>67822290198091</v>
      </c>
      <c r="AJ3481" t="str">
        <f>"510X18-CRWA"</f>
        <v>510X18-CRWA</v>
      </c>
      <c r="AK3481" t="s">
        <v>46</v>
      </c>
      <c r="AL3481" s="1">
        <v>44992.876168981478</v>
      </c>
      <c r="AM3481" t="s">
        <v>44</v>
      </c>
    </row>
    <row r="3482" spans="1:39" x14ac:dyDescent="0.2">
      <c r="A3482" t="s">
        <v>3299</v>
      </c>
      <c r="B3482" t="s">
        <v>40</v>
      </c>
      <c r="C3482" t="s">
        <v>3168</v>
      </c>
      <c r="D3482" t="s">
        <v>42</v>
      </c>
      <c r="E3482" t="s">
        <v>43</v>
      </c>
      <c r="F3482" t="s">
        <v>44</v>
      </c>
      <c r="G3482" t="s">
        <v>45</v>
      </c>
      <c r="AH3482" t="s">
        <v>42</v>
      </c>
      <c r="AI3482" t="str">
        <f>"67822290192681"</f>
        <v>67822290192681</v>
      </c>
      <c r="AJ3482" t="str">
        <f>"110/100X18-CRWA"</f>
        <v>110/100X18-CRWA</v>
      </c>
      <c r="AK3482" t="s">
        <v>46</v>
      </c>
      <c r="AL3482" s="1">
        <v>44992.876168981478</v>
      </c>
      <c r="AM3482" t="s">
        <v>44</v>
      </c>
    </row>
    <row r="3483" spans="1:39" x14ac:dyDescent="0.2">
      <c r="A3483" t="s">
        <v>3299</v>
      </c>
      <c r="B3483" t="s">
        <v>40</v>
      </c>
      <c r="C3483" t="s">
        <v>3168</v>
      </c>
      <c r="D3483" t="s">
        <v>42</v>
      </c>
      <c r="E3483" t="s">
        <v>43</v>
      </c>
      <c r="F3483" t="s">
        <v>44</v>
      </c>
      <c r="G3483" t="s">
        <v>45</v>
      </c>
      <c r="AH3483" t="s">
        <v>42</v>
      </c>
      <c r="AI3483" t="str">
        <f>"67822290215135"</f>
        <v>67822290215135</v>
      </c>
      <c r="AJ3483" t="str">
        <f>"120/100X18-CRWA"</f>
        <v>120/100X18-CRWA</v>
      </c>
      <c r="AK3483" t="s">
        <v>46</v>
      </c>
      <c r="AL3483" s="1">
        <v>44992.876180555555</v>
      </c>
      <c r="AM3483" t="s">
        <v>44</v>
      </c>
    </row>
    <row r="3484" spans="1:39" x14ac:dyDescent="0.2">
      <c r="A3484" t="s">
        <v>3300</v>
      </c>
      <c r="B3484" t="s">
        <v>40</v>
      </c>
      <c r="C3484" t="s">
        <v>3168</v>
      </c>
      <c r="D3484" t="s">
        <v>42</v>
      </c>
      <c r="E3484" t="s">
        <v>43</v>
      </c>
      <c r="F3484" t="s">
        <v>44</v>
      </c>
      <c r="G3484" t="s">
        <v>45</v>
      </c>
      <c r="AH3484" t="s">
        <v>42</v>
      </c>
      <c r="AI3484" t="str">
        <f>"67822290193854"</f>
        <v>67822290193854</v>
      </c>
      <c r="AJ3484" t="str">
        <f>"110/100X18-TTWA"</f>
        <v>110/100X18-TTWA</v>
      </c>
      <c r="AK3484" t="s">
        <v>46</v>
      </c>
      <c r="AL3484" s="1">
        <v>44992.876168981478</v>
      </c>
      <c r="AM3484" t="s">
        <v>44</v>
      </c>
    </row>
    <row r="3485" spans="1:39" x14ac:dyDescent="0.2">
      <c r="A3485" t="s">
        <v>3301</v>
      </c>
      <c r="B3485" t="s">
        <v>40</v>
      </c>
      <c r="C3485" t="s">
        <v>3168</v>
      </c>
      <c r="D3485" t="s">
        <v>42</v>
      </c>
      <c r="E3485" t="s">
        <v>43</v>
      </c>
      <c r="F3485" t="s">
        <v>44</v>
      </c>
      <c r="G3485" t="s">
        <v>45</v>
      </c>
      <c r="AH3485" t="s">
        <v>42</v>
      </c>
      <c r="AI3485" t="str">
        <f>"67822289826714"</f>
        <v>67822289826714</v>
      </c>
      <c r="AJ3485" t="str">
        <f>"70/100X19-CRIRC"</f>
        <v>70/100X19-CRIRC</v>
      </c>
      <c r="AK3485" t="s">
        <v>46</v>
      </c>
      <c r="AL3485" s="1">
        <v>44992.876134259262</v>
      </c>
      <c r="AM3485" t="s">
        <v>44</v>
      </c>
    </row>
    <row r="3486" spans="1:39" x14ac:dyDescent="0.2">
      <c r="A3486" t="s">
        <v>3302</v>
      </c>
      <c r="B3486" t="s">
        <v>40</v>
      </c>
      <c r="C3486" t="s">
        <v>3168</v>
      </c>
      <c r="D3486" t="s">
        <v>42</v>
      </c>
      <c r="E3486" t="s">
        <v>43</v>
      </c>
      <c r="F3486" t="s">
        <v>44</v>
      </c>
      <c r="G3486" t="s">
        <v>45</v>
      </c>
      <c r="AH3486" t="s">
        <v>42</v>
      </c>
      <c r="AI3486" t="str">
        <f>"67822289817581"</f>
        <v>67822289817581</v>
      </c>
      <c r="AJ3486" t="str">
        <f>"110/90X19-CRIRC"</f>
        <v>110/90X19-CRIRC</v>
      </c>
      <c r="AK3486" t="s">
        <v>46</v>
      </c>
      <c r="AL3486" s="1">
        <v>44992.876134259262</v>
      </c>
      <c r="AM3486" t="s">
        <v>44</v>
      </c>
    </row>
    <row r="3487" spans="1:39" x14ac:dyDescent="0.2">
      <c r="A3487" t="s">
        <v>3303</v>
      </c>
      <c r="B3487" t="s">
        <v>40</v>
      </c>
      <c r="C3487" t="s">
        <v>3168</v>
      </c>
      <c r="D3487" t="s">
        <v>42</v>
      </c>
      <c r="E3487" t="s">
        <v>43</v>
      </c>
      <c r="F3487" t="s">
        <v>44</v>
      </c>
      <c r="G3487" t="s">
        <v>45</v>
      </c>
      <c r="AH3487" t="s">
        <v>42</v>
      </c>
      <c r="AI3487" t="str">
        <f>"67822289817245"</f>
        <v>67822289817245</v>
      </c>
      <c r="AJ3487" t="str">
        <f>"110/90-19-CRIRC"</f>
        <v>110/90-19-CRIRC</v>
      </c>
      <c r="AK3487" t="s">
        <v>46</v>
      </c>
      <c r="AL3487" s="1">
        <v>44992.876134259262</v>
      </c>
      <c r="AM3487" t="s">
        <v>44</v>
      </c>
    </row>
    <row r="3488" spans="1:39" x14ac:dyDescent="0.2">
      <c r="A3488" t="s">
        <v>3304</v>
      </c>
      <c r="B3488" t="s">
        <v>40</v>
      </c>
      <c r="C3488" t="s">
        <v>3168</v>
      </c>
      <c r="D3488" t="s">
        <v>42</v>
      </c>
      <c r="E3488" t="s">
        <v>43</v>
      </c>
      <c r="F3488" t="s">
        <v>44</v>
      </c>
      <c r="G3488" t="s">
        <v>45</v>
      </c>
      <c r="AH3488" t="s">
        <v>42</v>
      </c>
      <c r="AI3488" t="str">
        <f>"67822289993177"</f>
        <v>67822289993177</v>
      </c>
      <c r="AJ3488" t="str">
        <f>"110/90X19-CRPT"</f>
        <v>110/90X19-CRPT</v>
      </c>
      <c r="AK3488" t="s">
        <v>46</v>
      </c>
      <c r="AL3488" s="1">
        <v>44992.876145833332</v>
      </c>
      <c r="AM3488" t="s">
        <v>44</v>
      </c>
    </row>
    <row r="3489" spans="1:39" x14ac:dyDescent="0.2">
      <c r="A3489" t="s">
        <v>3305</v>
      </c>
      <c r="B3489" t="s">
        <v>40</v>
      </c>
      <c r="C3489" t="s">
        <v>3168</v>
      </c>
      <c r="D3489" t="s">
        <v>42</v>
      </c>
      <c r="E3489" t="s">
        <v>43</v>
      </c>
      <c r="F3489" t="s">
        <v>44</v>
      </c>
      <c r="G3489" t="s">
        <v>45</v>
      </c>
      <c r="AH3489" t="s">
        <v>42</v>
      </c>
      <c r="AI3489" t="str">
        <f>"66298911150735"</f>
        <v>66298911150735</v>
      </c>
      <c r="AJ3489" t="str">
        <f>"100/90X19CRSK"</f>
        <v>100/90X19CRSK</v>
      </c>
      <c r="AK3489" t="s">
        <v>46</v>
      </c>
      <c r="AL3489" s="1">
        <v>44816.559155092589</v>
      </c>
      <c r="AM3489" t="s">
        <v>44</v>
      </c>
    </row>
    <row r="3490" spans="1:39" x14ac:dyDescent="0.2">
      <c r="A3490" t="s">
        <v>3306</v>
      </c>
      <c r="B3490" t="s">
        <v>40</v>
      </c>
      <c r="C3490" t="s">
        <v>3168</v>
      </c>
      <c r="D3490" t="s">
        <v>42</v>
      </c>
      <c r="E3490" t="s">
        <v>43</v>
      </c>
      <c r="F3490" t="s">
        <v>44</v>
      </c>
      <c r="G3490" t="s">
        <v>45</v>
      </c>
      <c r="AH3490" t="s">
        <v>42</v>
      </c>
      <c r="AI3490" t="str">
        <f>"66298911201249"</f>
        <v>66298911201249</v>
      </c>
      <c r="AJ3490" t="str">
        <f>"90/100X19CRSR"</f>
        <v>90/100X19CRSR</v>
      </c>
      <c r="AK3490" t="s">
        <v>46</v>
      </c>
      <c r="AL3490" s="1">
        <v>44816.559166666666</v>
      </c>
      <c r="AM3490" t="s">
        <v>44</v>
      </c>
    </row>
    <row r="3491" spans="1:39" x14ac:dyDescent="0.2">
      <c r="A3491" t="s">
        <v>3307</v>
      </c>
      <c r="B3491" t="s">
        <v>40</v>
      </c>
      <c r="C3491" t="s">
        <v>3168</v>
      </c>
      <c r="D3491" t="s">
        <v>42</v>
      </c>
      <c r="E3491" t="s">
        <v>43</v>
      </c>
      <c r="F3491" t="s">
        <v>44</v>
      </c>
      <c r="G3491" t="s">
        <v>45</v>
      </c>
      <c r="AH3491" t="s">
        <v>42</v>
      </c>
      <c r="AI3491" t="str">
        <f>"67822290229421"</f>
        <v>67822290229421</v>
      </c>
      <c r="AJ3491" t="str">
        <f>"110/90X19-CRWA"</f>
        <v>110/90X19-CRWA</v>
      </c>
      <c r="AK3491" t="s">
        <v>46</v>
      </c>
      <c r="AL3491" s="1">
        <v>44992.876180555555</v>
      </c>
      <c r="AM3491" t="s">
        <v>44</v>
      </c>
    </row>
    <row r="3492" spans="1:39" x14ac:dyDescent="0.2">
      <c r="A3492" t="s">
        <v>3308</v>
      </c>
      <c r="B3492" t="s">
        <v>40</v>
      </c>
      <c r="C3492" t="s">
        <v>3168</v>
      </c>
      <c r="D3492" t="s">
        <v>42</v>
      </c>
      <c r="E3492" t="s">
        <v>43</v>
      </c>
      <c r="F3492" t="s">
        <v>44</v>
      </c>
      <c r="G3492" t="s">
        <v>45</v>
      </c>
      <c r="AH3492" t="s">
        <v>42</v>
      </c>
      <c r="AI3492" t="str">
        <f>"67822290227786"</f>
        <v>67822290227786</v>
      </c>
      <c r="AJ3492" t="str">
        <f>"110/90-19-CRWA"</f>
        <v>110/90-19-CRWA</v>
      </c>
      <c r="AK3492" t="s">
        <v>46</v>
      </c>
      <c r="AL3492" s="1">
        <v>44992.876180555555</v>
      </c>
      <c r="AM3492" t="s">
        <v>44</v>
      </c>
    </row>
    <row r="3493" spans="1:39" x14ac:dyDescent="0.2">
      <c r="A3493" t="s">
        <v>3309</v>
      </c>
      <c r="B3493" t="s">
        <v>40</v>
      </c>
      <c r="C3493" t="s">
        <v>3168</v>
      </c>
      <c r="D3493" t="s">
        <v>42</v>
      </c>
      <c r="E3493" t="s">
        <v>43</v>
      </c>
      <c r="F3493" t="s">
        <v>44</v>
      </c>
      <c r="G3493" t="s">
        <v>45</v>
      </c>
      <c r="AH3493" t="s">
        <v>42</v>
      </c>
      <c r="AI3493" t="str">
        <f>"67822290601813"</f>
        <v>67822290601813</v>
      </c>
      <c r="AJ3493" t="str">
        <f>"110/100X19-CRWA"</f>
        <v>110/100X19-CRWA</v>
      </c>
      <c r="AK3493" t="s">
        <v>46</v>
      </c>
      <c r="AL3493" s="1">
        <v>44992.876226851855</v>
      </c>
      <c r="AM3493" t="s">
        <v>44</v>
      </c>
    </row>
    <row r="3494" spans="1:39" x14ac:dyDescent="0.2">
      <c r="A3494" t="s">
        <v>3310</v>
      </c>
      <c r="B3494" t="s">
        <v>40</v>
      </c>
      <c r="C3494" t="s">
        <v>3168</v>
      </c>
      <c r="D3494" t="s">
        <v>42</v>
      </c>
      <c r="E3494" t="s">
        <v>43</v>
      </c>
      <c r="F3494" t="s">
        <v>44</v>
      </c>
      <c r="G3494" t="s">
        <v>45</v>
      </c>
      <c r="AH3494" t="s">
        <v>42</v>
      </c>
      <c r="AI3494" t="str">
        <f>"67822289844894"</f>
        <v>67822289844894</v>
      </c>
      <c r="AJ3494" t="str">
        <f>"80/100X21-CRIRC"</f>
        <v>80/100X21-CRIRC</v>
      </c>
      <c r="AK3494" t="s">
        <v>46</v>
      </c>
      <c r="AL3494" s="1">
        <v>44992.876134259262</v>
      </c>
      <c r="AM3494" t="s">
        <v>44</v>
      </c>
    </row>
    <row r="3495" spans="1:39" x14ac:dyDescent="0.2">
      <c r="A3495" t="s">
        <v>3311</v>
      </c>
      <c r="B3495" t="s">
        <v>40</v>
      </c>
      <c r="C3495" t="s">
        <v>3168</v>
      </c>
      <c r="D3495" t="s">
        <v>42</v>
      </c>
      <c r="E3495" t="s">
        <v>43</v>
      </c>
      <c r="F3495" t="s">
        <v>44</v>
      </c>
      <c r="G3495" t="s">
        <v>45</v>
      </c>
      <c r="AH3495" t="s">
        <v>42</v>
      </c>
      <c r="AI3495" t="str">
        <f>"67822290112400"</f>
        <v>67822290112400</v>
      </c>
      <c r="AJ3495" t="str">
        <f>"80/100X21-CRPT"</f>
        <v>80/100X21-CRPT</v>
      </c>
      <c r="AK3495" t="s">
        <v>46</v>
      </c>
      <c r="AL3495" s="1">
        <v>44992.876168981478</v>
      </c>
      <c r="AM3495" t="s">
        <v>44</v>
      </c>
    </row>
    <row r="3496" spans="1:39" x14ac:dyDescent="0.2">
      <c r="A3496" t="s">
        <v>3312</v>
      </c>
      <c r="B3496" t="s">
        <v>40</v>
      </c>
      <c r="C3496" t="s">
        <v>3168</v>
      </c>
      <c r="D3496" t="s">
        <v>42</v>
      </c>
      <c r="E3496" t="s">
        <v>43</v>
      </c>
      <c r="F3496" t="s">
        <v>44</v>
      </c>
      <c r="G3496" t="s">
        <v>45</v>
      </c>
      <c r="AH3496" t="s">
        <v>42</v>
      </c>
      <c r="AI3496" t="str">
        <f>"67822342888152"</f>
        <v>67822342888152</v>
      </c>
      <c r="AJ3496" t="str">
        <f>"80/100X21-CRWA"</f>
        <v>80/100X21-CRWA</v>
      </c>
      <c r="AK3496" t="s">
        <v>46</v>
      </c>
      <c r="AL3496" s="1">
        <v>44992.882268518515</v>
      </c>
      <c r="AM3496" t="s">
        <v>44</v>
      </c>
    </row>
    <row r="3497" spans="1:39" x14ac:dyDescent="0.2">
      <c r="A3497" t="s">
        <v>3313</v>
      </c>
      <c r="B3497" t="s">
        <v>40</v>
      </c>
      <c r="C3497" t="s">
        <v>3168</v>
      </c>
      <c r="D3497" t="s">
        <v>42</v>
      </c>
      <c r="E3497" t="s">
        <v>43</v>
      </c>
      <c r="F3497" t="s">
        <v>44</v>
      </c>
      <c r="G3497" t="s">
        <v>45</v>
      </c>
      <c r="AH3497" t="s">
        <v>42</v>
      </c>
      <c r="AI3497" t="str">
        <f>"67822290345289"</f>
        <v>67822290345289</v>
      </c>
      <c r="AJ3497" t="str">
        <f>"90/90X21-CRWA"</f>
        <v>90/90X21-CRWA</v>
      </c>
      <c r="AK3497" t="s">
        <v>46</v>
      </c>
      <c r="AL3497" s="1">
        <v>44992.876192129632</v>
      </c>
      <c r="AM3497" t="s">
        <v>44</v>
      </c>
    </row>
    <row r="3498" spans="1:39" x14ac:dyDescent="0.2">
      <c r="A3498" t="s">
        <v>3313</v>
      </c>
      <c r="B3498" t="s">
        <v>40</v>
      </c>
      <c r="C3498" t="s">
        <v>3168</v>
      </c>
      <c r="D3498" t="s">
        <v>42</v>
      </c>
      <c r="E3498" t="s">
        <v>43</v>
      </c>
      <c r="F3498" t="s">
        <v>44</v>
      </c>
      <c r="G3498" t="s">
        <v>45</v>
      </c>
      <c r="AH3498" t="s">
        <v>42</v>
      </c>
      <c r="AI3498" t="str">
        <f>"67822342901774"</f>
        <v>67822342901774</v>
      </c>
      <c r="AJ3498" t="str">
        <f>"80/100-21-CRWA"</f>
        <v>80/100-21-CRWA</v>
      </c>
      <c r="AK3498" t="s">
        <v>46</v>
      </c>
      <c r="AL3498" s="1">
        <v>44992.882280092592</v>
      </c>
      <c r="AM3498" t="s">
        <v>44</v>
      </c>
    </row>
    <row r="3499" spans="1:39" x14ac:dyDescent="0.2">
      <c r="A3499" t="s">
        <v>3314</v>
      </c>
      <c r="B3499" t="s">
        <v>40</v>
      </c>
      <c r="C3499" t="s">
        <v>3168</v>
      </c>
      <c r="D3499" t="s">
        <v>42</v>
      </c>
      <c r="E3499" t="s">
        <v>43</v>
      </c>
      <c r="F3499" t="s">
        <v>44</v>
      </c>
      <c r="G3499" t="s">
        <v>45</v>
      </c>
      <c r="AH3499" t="s">
        <v>43</v>
      </c>
      <c r="AI3499" t="str">
        <f>"275X18DEDURO"</f>
        <v>275X18DEDURO</v>
      </c>
      <c r="AJ3499" t="str">
        <f>"275X18DEDURO"</f>
        <v>275X18DEDURO</v>
      </c>
      <c r="AK3499" t="s">
        <v>46</v>
      </c>
      <c r="AL3499" s="1">
        <v>44908.718194444446</v>
      </c>
      <c r="AM3499" t="s">
        <v>44</v>
      </c>
    </row>
    <row r="3500" spans="1:39" x14ac:dyDescent="0.2">
      <c r="A3500" t="s">
        <v>3315</v>
      </c>
      <c r="B3500" t="s">
        <v>40</v>
      </c>
      <c r="C3500" t="s">
        <v>3168</v>
      </c>
      <c r="D3500" t="s">
        <v>42</v>
      </c>
      <c r="E3500" t="s">
        <v>43</v>
      </c>
      <c r="F3500" t="s">
        <v>44</v>
      </c>
      <c r="G3500" t="s">
        <v>45</v>
      </c>
      <c r="AH3500" t="s">
        <v>42</v>
      </c>
      <c r="AI3500" t="str">
        <f>"110/80-17TLDURO"</f>
        <v>110/80-17TLDURO</v>
      </c>
      <c r="AJ3500" t="str">
        <f>"110/80-17TLDURO"</f>
        <v>110/80-17TLDURO</v>
      </c>
      <c r="AK3500" t="s">
        <v>46</v>
      </c>
      <c r="AL3500" s="1">
        <v>44980.840474537035</v>
      </c>
      <c r="AM3500" t="s">
        <v>44</v>
      </c>
    </row>
    <row r="3501" spans="1:39" x14ac:dyDescent="0.2">
      <c r="A3501" t="s">
        <v>3316</v>
      </c>
      <c r="B3501" t="s">
        <v>40</v>
      </c>
      <c r="C3501" t="s">
        <v>3168</v>
      </c>
      <c r="D3501" t="s">
        <v>42</v>
      </c>
      <c r="E3501" t="s">
        <v>43</v>
      </c>
      <c r="F3501" t="s">
        <v>44</v>
      </c>
      <c r="G3501" t="s">
        <v>45</v>
      </c>
      <c r="AH3501" t="s">
        <v>42</v>
      </c>
      <c r="AI3501" t="str">
        <f>"66298911243901"</f>
        <v>66298911243901</v>
      </c>
      <c r="AJ3501" t="str">
        <f>"350X10DSSR"</f>
        <v>350X10DSSR</v>
      </c>
      <c r="AK3501" t="s">
        <v>46</v>
      </c>
      <c r="AL3501" s="1">
        <v>44816.559166666666</v>
      </c>
      <c r="AM3501" t="s">
        <v>44</v>
      </c>
    </row>
    <row r="3502" spans="1:39" x14ac:dyDescent="0.2">
      <c r="A3502" t="s">
        <v>3317</v>
      </c>
      <c r="B3502" t="s">
        <v>40</v>
      </c>
      <c r="C3502" t="s">
        <v>3168</v>
      </c>
      <c r="D3502" t="s">
        <v>42</v>
      </c>
      <c r="E3502" t="s">
        <v>43</v>
      </c>
      <c r="F3502" t="s">
        <v>44</v>
      </c>
      <c r="G3502" t="s">
        <v>45</v>
      </c>
      <c r="AH3502" t="s">
        <v>42</v>
      </c>
      <c r="AI3502" t="str">
        <f>"120/70ZR-17/K-66"</f>
        <v>120/70ZR-17/K-66</v>
      </c>
      <c r="AJ3502" t="str">
        <f>"120/70ZR-17/K-66"</f>
        <v>120/70ZR-17/K-66</v>
      </c>
      <c r="AK3502" t="s">
        <v>46</v>
      </c>
      <c r="AL3502" s="1">
        <v>45030.86277777778</v>
      </c>
      <c r="AM3502" t="s">
        <v>44</v>
      </c>
    </row>
    <row r="3503" spans="1:39" x14ac:dyDescent="0.2">
      <c r="A3503" t="s">
        <v>3317</v>
      </c>
      <c r="B3503" t="s">
        <v>40</v>
      </c>
      <c r="C3503" t="s">
        <v>3168</v>
      </c>
      <c r="D3503" t="s">
        <v>42</v>
      </c>
      <c r="E3503" t="s">
        <v>43</v>
      </c>
      <c r="F3503" t="s">
        <v>44</v>
      </c>
      <c r="G3503" t="s">
        <v>45</v>
      </c>
      <c r="AH3503" t="s">
        <v>42</v>
      </c>
      <c r="AI3503" t="str">
        <f>"150/70R-17/K-66"</f>
        <v>150/70R-17/K-66</v>
      </c>
      <c r="AJ3503" t="str">
        <f>"150/70R-17/K-66"</f>
        <v>150/70R-17/K-66</v>
      </c>
      <c r="AK3503" t="s">
        <v>46</v>
      </c>
      <c r="AL3503" s="1">
        <v>45030.865069444444</v>
      </c>
      <c r="AM3503" t="s">
        <v>44</v>
      </c>
    </row>
    <row r="3504" spans="1:39" x14ac:dyDescent="0.2">
      <c r="A3504" t="s">
        <v>3317</v>
      </c>
      <c r="B3504" t="s">
        <v>40</v>
      </c>
      <c r="C3504" t="s">
        <v>3168</v>
      </c>
      <c r="D3504" t="s">
        <v>42</v>
      </c>
      <c r="E3504" t="s">
        <v>43</v>
      </c>
      <c r="F3504" t="s">
        <v>44</v>
      </c>
      <c r="G3504" t="s">
        <v>45</v>
      </c>
      <c r="AH3504" t="s">
        <v>42</v>
      </c>
      <c r="AI3504" t="str">
        <f>"160/60R-17/K-66"</f>
        <v>160/60R-17/K-66</v>
      </c>
      <c r="AJ3504" t="str">
        <f>"160/60R-17/K-66"</f>
        <v>160/60R-17/K-66</v>
      </c>
      <c r="AK3504" t="s">
        <v>46</v>
      </c>
      <c r="AL3504" s="1">
        <v>45030.866724537038</v>
      </c>
      <c r="AM3504" t="s">
        <v>44</v>
      </c>
    </row>
    <row r="3505" spans="1:39" x14ac:dyDescent="0.2">
      <c r="A3505" t="s">
        <v>3318</v>
      </c>
      <c r="B3505" t="s">
        <v>40</v>
      </c>
      <c r="C3505" t="s">
        <v>3168</v>
      </c>
      <c r="D3505" t="s">
        <v>42</v>
      </c>
      <c r="E3505" t="s">
        <v>43</v>
      </c>
      <c r="F3505" t="s">
        <v>44</v>
      </c>
      <c r="G3505" t="s">
        <v>45</v>
      </c>
      <c r="AH3505" t="s">
        <v>42</v>
      </c>
      <c r="AI3505" t="str">
        <f>"67822290066342"</f>
        <v>67822290066342</v>
      </c>
      <c r="AJ3505" t="str">
        <f>"150/70-17-DSPT"</f>
        <v>150/70-17-DSPT</v>
      </c>
      <c r="AK3505" t="s">
        <v>46</v>
      </c>
      <c r="AL3505" s="1">
        <v>44992.876157407409</v>
      </c>
      <c r="AM3505" t="s">
        <v>44</v>
      </c>
    </row>
    <row r="3506" spans="1:39" x14ac:dyDescent="0.2">
      <c r="A3506" t="s">
        <v>3319</v>
      </c>
      <c r="B3506" t="s">
        <v>40</v>
      </c>
      <c r="C3506" t="s">
        <v>3168</v>
      </c>
      <c r="D3506" t="s">
        <v>42</v>
      </c>
      <c r="E3506" t="s">
        <v>43</v>
      </c>
      <c r="F3506" t="s">
        <v>44</v>
      </c>
      <c r="G3506" t="s">
        <v>45</v>
      </c>
      <c r="AH3506" t="s">
        <v>42</v>
      </c>
      <c r="AI3506" t="str">
        <f>"66298911288147"</f>
        <v>66298911288147</v>
      </c>
      <c r="AJ3506" t="str">
        <f>"90/90-17TLSR"</f>
        <v>90/90-17TLSR</v>
      </c>
      <c r="AK3506" t="s">
        <v>46</v>
      </c>
      <c r="AL3506" s="1">
        <v>44816.559166666666</v>
      </c>
      <c r="AM3506" t="s">
        <v>44</v>
      </c>
    </row>
    <row r="3507" spans="1:39" x14ac:dyDescent="0.2">
      <c r="A3507" t="s">
        <v>3320</v>
      </c>
      <c r="B3507" t="s">
        <v>40</v>
      </c>
      <c r="C3507" t="s">
        <v>3168</v>
      </c>
      <c r="D3507" t="s">
        <v>42</v>
      </c>
      <c r="E3507" t="s">
        <v>43</v>
      </c>
      <c r="F3507" t="s">
        <v>44</v>
      </c>
      <c r="G3507" t="s">
        <v>45</v>
      </c>
      <c r="AH3507" t="s">
        <v>42</v>
      </c>
      <c r="AI3507" t="str">
        <f>"150/70R-18/K-66"</f>
        <v>150/70R-18/K-66</v>
      </c>
      <c r="AJ3507" t="str">
        <f>"150/70R-18/K-66"</f>
        <v>150/70R-18/K-66</v>
      </c>
      <c r="AK3507" t="s">
        <v>46</v>
      </c>
      <c r="AL3507" s="1">
        <v>45072.865081018521</v>
      </c>
      <c r="AM3507" t="s">
        <v>44</v>
      </c>
    </row>
    <row r="3508" spans="1:39" x14ac:dyDescent="0.2">
      <c r="A3508" t="s">
        <v>3321</v>
      </c>
      <c r="B3508" t="s">
        <v>40</v>
      </c>
      <c r="C3508" t="s">
        <v>3168</v>
      </c>
      <c r="D3508" t="s">
        <v>42</v>
      </c>
      <c r="E3508" t="s">
        <v>43</v>
      </c>
      <c r="F3508" t="s">
        <v>44</v>
      </c>
      <c r="G3508" t="s">
        <v>45</v>
      </c>
      <c r="AH3508" t="s">
        <v>42</v>
      </c>
      <c r="AI3508" t="str">
        <f>"67822290059894"</f>
        <v>67822290059894</v>
      </c>
      <c r="AJ3508" t="str">
        <f>"120/80X18-DSPT"</f>
        <v>120/80X18-DSPT</v>
      </c>
      <c r="AK3508" t="s">
        <v>46</v>
      </c>
      <c r="AL3508" s="1">
        <v>44992.876157407409</v>
      </c>
      <c r="AM3508" t="s">
        <v>44</v>
      </c>
    </row>
    <row r="3509" spans="1:39" x14ac:dyDescent="0.2">
      <c r="A3509" t="s">
        <v>3322</v>
      </c>
      <c r="B3509" t="s">
        <v>40</v>
      </c>
      <c r="C3509" t="s">
        <v>3168</v>
      </c>
      <c r="D3509" t="s">
        <v>42</v>
      </c>
      <c r="E3509" t="s">
        <v>43</v>
      </c>
      <c r="F3509" t="s">
        <v>44</v>
      </c>
      <c r="G3509" t="s">
        <v>45</v>
      </c>
      <c r="AH3509" t="s">
        <v>42</v>
      </c>
      <c r="AI3509" t="str">
        <f>"66298911330781"</f>
        <v>66298911330781</v>
      </c>
      <c r="AJ3509" t="str">
        <f>"150/70-18DSSK"</f>
        <v>150/70-18DSSK</v>
      </c>
      <c r="AK3509" t="s">
        <v>46</v>
      </c>
      <c r="AL3509" s="1">
        <v>44816.559178240743</v>
      </c>
      <c r="AM3509" t="s">
        <v>44</v>
      </c>
    </row>
    <row r="3510" spans="1:39" x14ac:dyDescent="0.2">
      <c r="A3510" t="s">
        <v>3323</v>
      </c>
      <c r="B3510" t="s">
        <v>40</v>
      </c>
      <c r="C3510" t="s">
        <v>3168</v>
      </c>
      <c r="D3510" t="s">
        <v>42</v>
      </c>
      <c r="E3510" t="s">
        <v>43</v>
      </c>
      <c r="F3510" t="s">
        <v>44</v>
      </c>
      <c r="G3510" t="s">
        <v>45</v>
      </c>
      <c r="AH3510" t="s">
        <v>42</v>
      </c>
      <c r="AI3510" t="str">
        <f>"66298911373202"</f>
        <v>66298911373202</v>
      </c>
      <c r="AJ3510" t="str">
        <f>"150/70X18DSSK"</f>
        <v>150/70X18DSSK</v>
      </c>
      <c r="AK3510" t="s">
        <v>46</v>
      </c>
      <c r="AL3510" s="1">
        <v>44816.559178240743</v>
      </c>
      <c r="AM3510" t="s">
        <v>44</v>
      </c>
    </row>
    <row r="3511" spans="1:39" x14ac:dyDescent="0.2">
      <c r="A3511" t="s">
        <v>3324</v>
      </c>
      <c r="B3511" t="s">
        <v>40</v>
      </c>
      <c r="C3511" t="s">
        <v>3168</v>
      </c>
      <c r="D3511" t="s">
        <v>42</v>
      </c>
      <c r="E3511" t="s">
        <v>43</v>
      </c>
      <c r="F3511" t="s">
        <v>44</v>
      </c>
      <c r="G3511" t="s">
        <v>45</v>
      </c>
      <c r="AH3511" t="s">
        <v>42</v>
      </c>
      <c r="AI3511" t="str">
        <f>"460X18DSSR"</f>
        <v>460X18DSSR</v>
      </c>
      <c r="AJ3511" t="str">
        <f>"460X18DSSR"</f>
        <v>460X18DSSR</v>
      </c>
      <c r="AK3511" t="s">
        <v>46</v>
      </c>
      <c r="AL3511" s="1">
        <v>44987.573518518519</v>
      </c>
      <c r="AM3511" t="s">
        <v>44</v>
      </c>
    </row>
    <row r="3512" spans="1:39" x14ac:dyDescent="0.2">
      <c r="A3512" t="s">
        <v>3325</v>
      </c>
      <c r="B3512" t="s">
        <v>40</v>
      </c>
      <c r="C3512" t="s">
        <v>3168</v>
      </c>
      <c r="D3512" t="s">
        <v>42</v>
      </c>
      <c r="E3512" t="s">
        <v>43</v>
      </c>
      <c r="F3512" t="s">
        <v>44</v>
      </c>
      <c r="G3512" t="s">
        <v>45</v>
      </c>
      <c r="AH3512" t="s">
        <v>42</v>
      </c>
      <c r="AI3512" t="str">
        <f>"66298911417448"</f>
        <v>66298911417448</v>
      </c>
      <c r="AJ3512" t="str">
        <f>"90/90-18TLDUAL"</f>
        <v>90/90-18TLDUAL</v>
      </c>
      <c r="AK3512" t="s">
        <v>46</v>
      </c>
      <c r="AL3512" s="1">
        <v>44816.559189814812</v>
      </c>
      <c r="AM3512" t="s">
        <v>44</v>
      </c>
    </row>
    <row r="3513" spans="1:39" x14ac:dyDescent="0.2">
      <c r="A3513" t="s">
        <v>3326</v>
      </c>
      <c r="B3513" t="s">
        <v>40</v>
      </c>
      <c r="C3513" t="s">
        <v>3168</v>
      </c>
      <c r="D3513" t="s">
        <v>42</v>
      </c>
      <c r="E3513" t="s">
        <v>43</v>
      </c>
      <c r="F3513" t="s">
        <v>44</v>
      </c>
      <c r="G3513" t="s">
        <v>45</v>
      </c>
      <c r="AH3513" t="s">
        <v>42</v>
      </c>
      <c r="AI3513" t="str">
        <f>"66298911458778"</f>
        <v>66298911458778</v>
      </c>
      <c r="AJ3513" t="str">
        <f>"460-18DSSR"</f>
        <v>460-18DSSR</v>
      </c>
      <c r="AK3513" t="s">
        <v>46</v>
      </c>
      <c r="AL3513" s="1">
        <v>44816.559189814812</v>
      </c>
      <c r="AM3513" t="s">
        <v>44</v>
      </c>
    </row>
    <row r="3514" spans="1:39" x14ac:dyDescent="0.2">
      <c r="A3514" t="s">
        <v>3327</v>
      </c>
      <c r="B3514" t="s">
        <v>40</v>
      </c>
      <c r="C3514" t="s">
        <v>3168</v>
      </c>
      <c r="D3514" t="s">
        <v>42</v>
      </c>
      <c r="E3514" t="s">
        <v>43</v>
      </c>
      <c r="F3514" t="s">
        <v>44</v>
      </c>
      <c r="G3514" t="s">
        <v>45</v>
      </c>
      <c r="AH3514" t="s">
        <v>42</v>
      </c>
      <c r="AI3514" t="str">
        <f>"90/90-18DSSR"</f>
        <v>90/90-18DSSR</v>
      </c>
      <c r="AJ3514" t="str">
        <f>"90/90-18DSSR"</f>
        <v>90/90-18DSSR</v>
      </c>
      <c r="AK3514" t="s">
        <v>46</v>
      </c>
      <c r="AL3514" s="1">
        <v>44947.634456018517</v>
      </c>
      <c r="AM3514" t="s">
        <v>44</v>
      </c>
    </row>
    <row r="3515" spans="1:39" x14ac:dyDescent="0.2">
      <c r="A3515" t="s">
        <v>3327</v>
      </c>
      <c r="B3515" t="s">
        <v>40</v>
      </c>
      <c r="C3515" t="s">
        <v>3168</v>
      </c>
      <c r="D3515" t="s">
        <v>42</v>
      </c>
      <c r="E3515" t="s">
        <v>43</v>
      </c>
      <c r="F3515" t="s">
        <v>44</v>
      </c>
      <c r="G3515" t="s">
        <v>45</v>
      </c>
      <c r="AH3515" t="s">
        <v>42</v>
      </c>
      <c r="AI3515" t="str">
        <f>"300-18DSSR"</f>
        <v>300-18DSSR</v>
      </c>
      <c r="AJ3515" t="str">
        <f>"300-18DSSR"</f>
        <v>300-18DSSR</v>
      </c>
      <c r="AK3515" t="s">
        <v>46</v>
      </c>
      <c r="AL3515" s="1">
        <v>44947.641817129632</v>
      </c>
      <c r="AM3515" t="s">
        <v>44</v>
      </c>
    </row>
    <row r="3516" spans="1:39" x14ac:dyDescent="0.2">
      <c r="A3516" t="s">
        <v>3328</v>
      </c>
      <c r="B3516" t="s">
        <v>40</v>
      </c>
      <c r="C3516" t="s">
        <v>3168</v>
      </c>
      <c r="D3516" t="s">
        <v>42</v>
      </c>
      <c r="E3516" t="s">
        <v>43</v>
      </c>
      <c r="F3516" t="s">
        <v>44</v>
      </c>
      <c r="G3516" t="s">
        <v>45</v>
      </c>
      <c r="AH3516" t="s">
        <v>42</v>
      </c>
      <c r="AI3516" t="str">
        <f>"66298911503121"</f>
        <v>66298911503121</v>
      </c>
      <c r="AJ3516" t="str">
        <f>"100/90-18TLDUAL"</f>
        <v>100/90-18TLDUAL</v>
      </c>
      <c r="AK3516" t="s">
        <v>46</v>
      </c>
      <c r="AL3516" s="1">
        <v>44816.559201388889</v>
      </c>
      <c r="AM3516" t="s">
        <v>44</v>
      </c>
    </row>
    <row r="3517" spans="1:39" x14ac:dyDescent="0.2">
      <c r="A3517" t="s">
        <v>3329</v>
      </c>
      <c r="B3517" t="s">
        <v>40</v>
      </c>
      <c r="C3517" t="s">
        <v>3168</v>
      </c>
      <c r="D3517" t="s">
        <v>42</v>
      </c>
      <c r="E3517" t="s">
        <v>43</v>
      </c>
      <c r="F3517" t="s">
        <v>44</v>
      </c>
      <c r="G3517" t="s">
        <v>45</v>
      </c>
      <c r="AH3517" t="s">
        <v>42</v>
      </c>
      <c r="AI3517" t="str">
        <f>"66298911540568"</f>
        <v>66298911540568</v>
      </c>
      <c r="AJ3517" t="str">
        <f>"300X18DSSR"</f>
        <v>300X18DSSR</v>
      </c>
      <c r="AK3517" t="s">
        <v>46</v>
      </c>
      <c r="AL3517" s="1">
        <v>44816.559201388889</v>
      </c>
      <c r="AM3517" t="s">
        <v>44</v>
      </c>
    </row>
    <row r="3518" spans="1:39" x14ac:dyDescent="0.2">
      <c r="A3518" t="s">
        <v>3330</v>
      </c>
      <c r="B3518" t="s">
        <v>40</v>
      </c>
      <c r="C3518" t="s">
        <v>3168</v>
      </c>
      <c r="D3518" t="s">
        <v>42</v>
      </c>
      <c r="E3518" t="s">
        <v>43</v>
      </c>
      <c r="F3518" t="s">
        <v>44</v>
      </c>
      <c r="G3518" t="s">
        <v>45</v>
      </c>
      <c r="AH3518" t="s">
        <v>42</v>
      </c>
      <c r="AI3518" t="str">
        <f>"110/80R-19/K-66"</f>
        <v>110/80R-19/K-66</v>
      </c>
      <c r="AJ3518" t="str">
        <f>"110/80R-19/K-66"</f>
        <v>110/80R-19/K-66</v>
      </c>
      <c r="AK3518" t="s">
        <v>46</v>
      </c>
      <c r="AL3518" s="1">
        <v>45030.86383101852</v>
      </c>
      <c r="AM3518" t="s">
        <v>44</v>
      </c>
    </row>
    <row r="3519" spans="1:39" x14ac:dyDescent="0.2">
      <c r="A3519" t="s">
        <v>3331</v>
      </c>
      <c r="B3519" t="s">
        <v>40</v>
      </c>
      <c r="C3519" t="s">
        <v>3168</v>
      </c>
      <c r="D3519" t="s">
        <v>42</v>
      </c>
      <c r="E3519" t="s">
        <v>43</v>
      </c>
      <c r="F3519" t="s">
        <v>44</v>
      </c>
      <c r="G3519" t="s">
        <v>45</v>
      </c>
      <c r="AH3519" t="s">
        <v>42</v>
      </c>
      <c r="AI3519" t="str">
        <f>"67822290134665"</f>
        <v>67822290134665</v>
      </c>
      <c r="AJ3519" t="str">
        <f>"90/90X19-DSPT"</f>
        <v>90/90X19-DSPT</v>
      </c>
      <c r="AK3519" t="s">
        <v>46</v>
      </c>
      <c r="AL3519" s="1">
        <v>44992.876168981478</v>
      </c>
      <c r="AM3519" t="s">
        <v>44</v>
      </c>
    </row>
    <row r="3520" spans="1:39" x14ac:dyDescent="0.2">
      <c r="A3520" t="s">
        <v>3332</v>
      </c>
      <c r="B3520" t="s">
        <v>40</v>
      </c>
      <c r="C3520" t="s">
        <v>3168</v>
      </c>
      <c r="D3520" t="s">
        <v>42</v>
      </c>
      <c r="E3520" t="s">
        <v>43</v>
      </c>
      <c r="F3520" t="s">
        <v>44</v>
      </c>
      <c r="G3520" t="s">
        <v>45</v>
      </c>
      <c r="AH3520" t="s">
        <v>42</v>
      </c>
      <c r="AI3520" t="str">
        <f>"67822289983214"</f>
        <v>67822289983214</v>
      </c>
      <c r="AJ3520" t="str">
        <f>"110/80X19-DSPT"</f>
        <v>110/80X19-DSPT</v>
      </c>
      <c r="AK3520" t="s">
        <v>46</v>
      </c>
      <c r="AL3520" s="1">
        <v>44992.876145833332</v>
      </c>
      <c r="AM3520" t="s">
        <v>44</v>
      </c>
    </row>
    <row r="3521" spans="1:39" x14ac:dyDescent="0.2">
      <c r="A3521" t="s">
        <v>3333</v>
      </c>
      <c r="B3521" t="s">
        <v>40</v>
      </c>
      <c r="C3521" t="s">
        <v>3168</v>
      </c>
      <c r="D3521" t="s">
        <v>42</v>
      </c>
      <c r="E3521" t="s">
        <v>43</v>
      </c>
      <c r="F3521" t="s">
        <v>44</v>
      </c>
      <c r="G3521" t="s">
        <v>45</v>
      </c>
      <c r="AH3521" t="s">
        <v>42</v>
      </c>
      <c r="AI3521" t="str">
        <f>"66298911581182"</f>
        <v>66298911581182</v>
      </c>
      <c r="AJ3521" t="str">
        <f>"120/70R-19DSSK"</f>
        <v>120/70R-19DSSK</v>
      </c>
      <c r="AK3521" t="s">
        <v>46</v>
      </c>
      <c r="AL3521" s="1">
        <v>44816.559201388889</v>
      </c>
      <c r="AM3521" t="s">
        <v>44</v>
      </c>
    </row>
    <row r="3522" spans="1:39" x14ac:dyDescent="0.2">
      <c r="A3522" t="s">
        <v>3334</v>
      </c>
      <c r="B3522" t="s">
        <v>40</v>
      </c>
      <c r="C3522" t="s">
        <v>3168</v>
      </c>
      <c r="D3522" t="s">
        <v>42</v>
      </c>
      <c r="E3522" t="s">
        <v>43</v>
      </c>
      <c r="F3522" t="s">
        <v>44</v>
      </c>
      <c r="G3522" t="s">
        <v>45</v>
      </c>
      <c r="AH3522" t="s">
        <v>42</v>
      </c>
      <c r="AI3522" t="str">
        <f>"66298911619445"</f>
        <v>66298911619445</v>
      </c>
      <c r="AJ3522" t="str">
        <f>"275-19DSSR"</f>
        <v>275-19DSSR</v>
      </c>
      <c r="AK3522" t="s">
        <v>46</v>
      </c>
      <c r="AL3522" s="1">
        <v>44816.559212962966</v>
      </c>
      <c r="AM3522" t="s">
        <v>44</v>
      </c>
    </row>
    <row r="3523" spans="1:39" x14ac:dyDescent="0.2">
      <c r="A3523" t="s">
        <v>3335</v>
      </c>
      <c r="B3523" t="s">
        <v>40</v>
      </c>
      <c r="C3523" t="s">
        <v>3168</v>
      </c>
      <c r="D3523" t="s">
        <v>42</v>
      </c>
      <c r="E3523" t="s">
        <v>43</v>
      </c>
      <c r="F3523" t="s">
        <v>44</v>
      </c>
      <c r="G3523" t="s">
        <v>45</v>
      </c>
      <c r="AH3523" t="s">
        <v>42</v>
      </c>
      <c r="AI3523" t="str">
        <f>"66298911662731"</f>
        <v>66298911662731</v>
      </c>
      <c r="AJ3523" t="str">
        <f>"90/90-19DSSR"</f>
        <v>90/90-19DSSR</v>
      </c>
      <c r="AK3523" t="s">
        <v>46</v>
      </c>
      <c r="AL3523" s="1">
        <v>44816.559212962966</v>
      </c>
      <c r="AM3523" t="s">
        <v>44</v>
      </c>
    </row>
    <row r="3524" spans="1:39" x14ac:dyDescent="0.2">
      <c r="A3524" t="s">
        <v>3336</v>
      </c>
      <c r="B3524" t="s">
        <v>40</v>
      </c>
      <c r="C3524" t="s">
        <v>3168</v>
      </c>
      <c r="D3524" t="s">
        <v>42</v>
      </c>
      <c r="E3524" t="s">
        <v>43</v>
      </c>
      <c r="F3524" t="s">
        <v>44</v>
      </c>
      <c r="G3524" t="s">
        <v>45</v>
      </c>
      <c r="AH3524" t="s">
        <v>42</v>
      </c>
      <c r="AI3524" t="str">
        <f>"66298911702937"</f>
        <v>66298911702937</v>
      </c>
      <c r="AJ3524" t="str">
        <f>"90/90-21TTCEAT"</f>
        <v>90/90-21TTCEAT</v>
      </c>
      <c r="AK3524" t="s">
        <v>46</v>
      </c>
      <c r="AL3524" s="1">
        <v>44816.559224537035</v>
      </c>
      <c r="AM3524" t="s">
        <v>44</v>
      </c>
    </row>
    <row r="3525" spans="1:39" x14ac:dyDescent="0.2">
      <c r="A3525" t="s">
        <v>3337</v>
      </c>
      <c r="B3525" t="s">
        <v>40</v>
      </c>
      <c r="C3525" t="s">
        <v>3168</v>
      </c>
      <c r="D3525" t="s">
        <v>42</v>
      </c>
      <c r="E3525" t="s">
        <v>43</v>
      </c>
      <c r="F3525" t="s">
        <v>44</v>
      </c>
      <c r="G3525" t="s">
        <v>45</v>
      </c>
      <c r="AH3525" t="s">
        <v>42</v>
      </c>
      <c r="AI3525" t="str">
        <f>"90/90R-21/K-66"</f>
        <v>90/90R-21/K-66</v>
      </c>
      <c r="AJ3525" t="str">
        <f>"90/90R-21/K-66"</f>
        <v>90/90R-21/K-66</v>
      </c>
      <c r="AK3525" t="s">
        <v>46</v>
      </c>
      <c r="AL3525" s="1">
        <v>45072.863263888888</v>
      </c>
      <c r="AM3525" t="s">
        <v>44</v>
      </c>
    </row>
    <row r="3526" spans="1:39" x14ac:dyDescent="0.2">
      <c r="A3526" t="s">
        <v>3338</v>
      </c>
      <c r="B3526" t="s">
        <v>40</v>
      </c>
      <c r="C3526" t="s">
        <v>3168</v>
      </c>
      <c r="D3526" t="s">
        <v>42</v>
      </c>
      <c r="E3526" t="s">
        <v>43</v>
      </c>
      <c r="F3526" t="s">
        <v>44</v>
      </c>
      <c r="G3526" t="s">
        <v>45</v>
      </c>
      <c r="AH3526" t="s">
        <v>42</v>
      </c>
      <c r="AI3526" t="str">
        <f>"66298911746542"</f>
        <v>66298911746542</v>
      </c>
      <c r="AJ3526" t="str">
        <f>"80/100-21DSMI"</f>
        <v>80/100-21DSMI</v>
      </c>
      <c r="AK3526" t="s">
        <v>46</v>
      </c>
      <c r="AL3526" s="1">
        <v>44816.559224537035</v>
      </c>
      <c r="AM3526" t="s">
        <v>44</v>
      </c>
    </row>
    <row r="3527" spans="1:39" x14ac:dyDescent="0.2">
      <c r="A3527" t="s">
        <v>3339</v>
      </c>
      <c r="B3527" t="s">
        <v>40</v>
      </c>
      <c r="C3527" t="s">
        <v>3168</v>
      </c>
      <c r="D3527" t="s">
        <v>42</v>
      </c>
      <c r="E3527" t="s">
        <v>43</v>
      </c>
      <c r="F3527" t="s">
        <v>44</v>
      </c>
      <c r="G3527" t="s">
        <v>45</v>
      </c>
      <c r="AH3527" t="s">
        <v>42</v>
      </c>
      <c r="AI3527" t="str">
        <f>"67822342681505"</f>
        <v>67822342681505</v>
      </c>
      <c r="AJ3527" t="str">
        <f>"90/90X21-DSPT"</f>
        <v>90/90X21-DSPT</v>
      </c>
      <c r="AK3527" t="s">
        <v>46</v>
      </c>
      <c r="AL3527" s="1">
        <v>44992.882245370369</v>
      </c>
      <c r="AM3527" t="s">
        <v>44</v>
      </c>
    </row>
    <row r="3528" spans="1:39" x14ac:dyDescent="0.2">
      <c r="A3528" t="s">
        <v>3340</v>
      </c>
      <c r="B3528" t="s">
        <v>40</v>
      </c>
      <c r="C3528" t="s">
        <v>3168</v>
      </c>
      <c r="D3528" t="s">
        <v>42</v>
      </c>
      <c r="E3528" t="s">
        <v>43</v>
      </c>
      <c r="F3528" t="s">
        <v>44</v>
      </c>
      <c r="G3528" t="s">
        <v>45</v>
      </c>
      <c r="AH3528" t="s">
        <v>42</v>
      </c>
      <c r="AI3528" t="str">
        <f>"67822342705066"</f>
        <v>67822342705066</v>
      </c>
      <c r="AJ3528" t="str">
        <f>"90/90-21-DSPT"</f>
        <v>90/90-21-DSPT</v>
      </c>
      <c r="AK3528" t="s">
        <v>46</v>
      </c>
      <c r="AL3528" s="1">
        <v>44992.882256944446</v>
      </c>
      <c r="AM3528" t="s">
        <v>44</v>
      </c>
    </row>
    <row r="3529" spans="1:39" x14ac:dyDescent="0.2">
      <c r="A3529" t="s">
        <v>3341</v>
      </c>
      <c r="B3529" t="s">
        <v>40</v>
      </c>
      <c r="C3529" t="s">
        <v>3168</v>
      </c>
      <c r="D3529" t="s">
        <v>42</v>
      </c>
      <c r="E3529" t="s">
        <v>43</v>
      </c>
      <c r="F3529" t="s">
        <v>44</v>
      </c>
      <c r="G3529" t="s">
        <v>45</v>
      </c>
      <c r="AH3529" t="s">
        <v>42</v>
      </c>
      <c r="AI3529" t="str">
        <f>"90/90*21-DSPT"</f>
        <v>90/90*21-DSPT</v>
      </c>
      <c r="AJ3529" t="str">
        <f>"90/90*21-DSPT"</f>
        <v>90/90*21-DSPT</v>
      </c>
      <c r="AK3529" t="s">
        <v>46</v>
      </c>
      <c r="AL3529" s="1">
        <v>45080.633553240739</v>
      </c>
      <c r="AM3529" t="s">
        <v>44</v>
      </c>
    </row>
    <row r="3530" spans="1:39" x14ac:dyDescent="0.2">
      <c r="A3530" t="s">
        <v>3342</v>
      </c>
      <c r="B3530" t="s">
        <v>40</v>
      </c>
      <c r="C3530" t="s">
        <v>3168</v>
      </c>
      <c r="D3530" t="s">
        <v>42</v>
      </c>
      <c r="E3530" t="s">
        <v>43</v>
      </c>
      <c r="F3530" t="s">
        <v>44</v>
      </c>
      <c r="G3530" t="s">
        <v>45</v>
      </c>
      <c r="AH3530" t="s">
        <v>42</v>
      </c>
      <c r="AI3530" t="str">
        <f>"66298911788186"</f>
        <v>66298911788186</v>
      </c>
      <c r="AJ3530" t="str">
        <f>"300-21TLDUAL"</f>
        <v>300-21TLDUAL</v>
      </c>
      <c r="AK3530" t="s">
        <v>46</v>
      </c>
      <c r="AL3530" s="1">
        <v>44816.559224537035</v>
      </c>
      <c r="AM3530" t="s">
        <v>44</v>
      </c>
    </row>
    <row r="3531" spans="1:39" x14ac:dyDescent="0.2">
      <c r="A3531" t="s">
        <v>3343</v>
      </c>
      <c r="B3531" t="s">
        <v>40</v>
      </c>
      <c r="C3531" t="s">
        <v>3168</v>
      </c>
      <c r="D3531" t="s">
        <v>42</v>
      </c>
      <c r="E3531" t="s">
        <v>43</v>
      </c>
      <c r="F3531" t="s">
        <v>44</v>
      </c>
      <c r="G3531" t="s">
        <v>45</v>
      </c>
      <c r="AH3531" t="s">
        <v>42</v>
      </c>
      <c r="AI3531" t="str">
        <f>"67822289918135"</f>
        <v>67822289918135</v>
      </c>
      <c r="AJ3531" t="str">
        <f>"100/90X17-TRPT"</f>
        <v>100/90X17-TRPT</v>
      </c>
      <c r="AK3531" t="s">
        <v>46</v>
      </c>
      <c r="AL3531" s="1">
        <v>44992.876145833332</v>
      </c>
      <c r="AM3531" t="s">
        <v>44</v>
      </c>
    </row>
    <row r="3532" spans="1:39" x14ac:dyDescent="0.2">
      <c r="A3532" t="s">
        <v>3344</v>
      </c>
      <c r="B3532" t="s">
        <v>40</v>
      </c>
      <c r="C3532" t="s">
        <v>3168</v>
      </c>
      <c r="D3532" t="s">
        <v>42</v>
      </c>
      <c r="E3532" t="s">
        <v>43</v>
      </c>
      <c r="F3532" t="s">
        <v>44</v>
      </c>
      <c r="G3532" t="s">
        <v>45</v>
      </c>
      <c r="AH3532" t="s">
        <v>42</v>
      </c>
      <c r="AI3532" t="str">
        <f>"66298911827170"</f>
        <v>66298911827170</v>
      </c>
      <c r="AJ3532" t="str">
        <f>"100/80X17TRSR"</f>
        <v>100/80X17TRSR</v>
      </c>
      <c r="AK3532" t="s">
        <v>46</v>
      </c>
      <c r="AL3532" s="1">
        <v>44816.559236111112</v>
      </c>
      <c r="AM3532" t="s">
        <v>44</v>
      </c>
    </row>
    <row r="3533" spans="1:39" x14ac:dyDescent="0.2">
      <c r="A3533" t="s">
        <v>3345</v>
      </c>
      <c r="B3533" t="s">
        <v>40</v>
      </c>
      <c r="C3533" t="s">
        <v>3168</v>
      </c>
      <c r="D3533" t="s">
        <v>42</v>
      </c>
      <c r="E3533" t="s">
        <v>43</v>
      </c>
      <c r="F3533" t="s">
        <v>44</v>
      </c>
      <c r="G3533" t="s">
        <v>45</v>
      </c>
      <c r="AH3533" t="s">
        <v>42</v>
      </c>
      <c r="AI3533" t="str">
        <f>"67822290118383"</f>
        <v>67822290118383</v>
      </c>
      <c r="AJ3533" t="str">
        <f>"300-18TRPT"</f>
        <v>300-18TRPT</v>
      </c>
      <c r="AK3533" t="s">
        <v>46</v>
      </c>
      <c r="AL3533" s="1">
        <v>44992.876168981478</v>
      </c>
      <c r="AM3533" t="s">
        <v>44</v>
      </c>
    </row>
    <row r="3534" spans="1:39" x14ac:dyDescent="0.2">
      <c r="A3534" t="s">
        <v>3345</v>
      </c>
      <c r="B3534" t="s">
        <v>40</v>
      </c>
      <c r="C3534" t="s">
        <v>3168</v>
      </c>
      <c r="D3534" t="s">
        <v>42</v>
      </c>
      <c r="E3534" t="s">
        <v>43</v>
      </c>
      <c r="F3534" t="s">
        <v>44</v>
      </c>
      <c r="G3534" t="s">
        <v>45</v>
      </c>
      <c r="AH3534" t="s">
        <v>42</v>
      </c>
      <c r="AI3534" t="str">
        <f>"67822290132097"</f>
        <v>67822290132097</v>
      </c>
      <c r="AJ3534" t="str">
        <f>"400X18-TRPT"</f>
        <v>400X18-TRPT</v>
      </c>
      <c r="AK3534" t="s">
        <v>46</v>
      </c>
      <c r="AL3534" s="1">
        <v>44992.876168981478</v>
      </c>
      <c r="AM3534" t="s">
        <v>44</v>
      </c>
    </row>
    <row r="3535" spans="1:39" x14ac:dyDescent="0.2">
      <c r="A3535" t="s">
        <v>3346</v>
      </c>
      <c r="B3535" t="s">
        <v>40</v>
      </c>
      <c r="C3535" t="s">
        <v>3168</v>
      </c>
      <c r="D3535" t="s">
        <v>42</v>
      </c>
      <c r="E3535" t="s">
        <v>43</v>
      </c>
      <c r="F3535" t="s">
        <v>44</v>
      </c>
      <c r="G3535" t="s">
        <v>45</v>
      </c>
      <c r="AH3535" t="s">
        <v>42</v>
      </c>
      <c r="AI3535" t="str">
        <f>"67822290125020"</f>
        <v>67822290125020</v>
      </c>
      <c r="AJ3535" t="str">
        <f>"90/90X18-TRPT"</f>
        <v>90/90X18-TRPT</v>
      </c>
      <c r="AK3535" t="s">
        <v>46</v>
      </c>
      <c r="AL3535" s="1">
        <v>44992.876168981478</v>
      </c>
      <c r="AM3535" t="s">
        <v>44</v>
      </c>
    </row>
    <row r="3536" spans="1:39" x14ac:dyDescent="0.2">
      <c r="A3536" t="s">
        <v>3347</v>
      </c>
      <c r="B3536" t="s">
        <v>40</v>
      </c>
      <c r="C3536" t="s">
        <v>3168</v>
      </c>
      <c r="D3536" t="s">
        <v>42</v>
      </c>
      <c r="E3536" t="s">
        <v>43</v>
      </c>
      <c r="F3536" t="s">
        <v>44</v>
      </c>
      <c r="G3536" t="s">
        <v>45</v>
      </c>
      <c r="AH3536" t="s">
        <v>42</v>
      </c>
      <c r="AI3536" t="str">
        <f>"67822290305674"</f>
        <v>67822290305674</v>
      </c>
      <c r="AJ3536" t="str">
        <f>"410X18-TLWA"</f>
        <v>410X18-TLWA</v>
      </c>
      <c r="AK3536" t="s">
        <v>46</v>
      </c>
      <c r="AL3536" s="1">
        <v>44992.876192129632</v>
      </c>
      <c r="AM3536" t="s">
        <v>44</v>
      </c>
    </row>
    <row r="3537" spans="1:39" x14ac:dyDescent="0.2">
      <c r="A3537" t="s">
        <v>3348</v>
      </c>
      <c r="B3537" t="s">
        <v>40</v>
      </c>
      <c r="C3537" t="s">
        <v>3168</v>
      </c>
      <c r="D3537" t="s">
        <v>42</v>
      </c>
      <c r="E3537" t="s">
        <v>43</v>
      </c>
      <c r="F3537" t="s">
        <v>44</v>
      </c>
      <c r="G3537" t="s">
        <v>45</v>
      </c>
      <c r="AH3537" t="s">
        <v>42</v>
      </c>
      <c r="AI3537" t="str">
        <f>"67822290604631"</f>
        <v>67822290604631</v>
      </c>
      <c r="AJ3537" t="str">
        <f>"300X18-TRWA"</f>
        <v>300X18-TRWA</v>
      </c>
      <c r="AK3537" t="s">
        <v>46</v>
      </c>
      <c r="AL3537" s="1">
        <v>44992.876226851855</v>
      </c>
      <c r="AM3537" t="s">
        <v>44</v>
      </c>
    </row>
    <row r="3538" spans="1:39" x14ac:dyDescent="0.2">
      <c r="A3538" t="s">
        <v>3349</v>
      </c>
      <c r="B3538" t="s">
        <v>40</v>
      </c>
      <c r="C3538" t="s">
        <v>3168</v>
      </c>
      <c r="D3538" t="s">
        <v>42</v>
      </c>
      <c r="E3538" t="s">
        <v>43</v>
      </c>
      <c r="F3538" t="s">
        <v>44</v>
      </c>
      <c r="G3538" t="s">
        <v>45</v>
      </c>
      <c r="AH3538" t="s">
        <v>42</v>
      </c>
      <c r="AI3538" t="str">
        <f>"67822290155104"</f>
        <v>67822290155104</v>
      </c>
      <c r="AJ3538" t="str">
        <f>"90/90X19-TRPT"</f>
        <v>90/90X19-TRPT</v>
      </c>
      <c r="AK3538" t="s">
        <v>46</v>
      </c>
      <c r="AL3538" s="1">
        <v>44992.876168981478</v>
      </c>
      <c r="AM3538" t="s">
        <v>44</v>
      </c>
    </row>
    <row r="3539" spans="1:39" x14ac:dyDescent="0.2">
      <c r="A3539" t="s">
        <v>3350</v>
      </c>
      <c r="B3539" t="s">
        <v>40</v>
      </c>
      <c r="C3539" t="s">
        <v>3168</v>
      </c>
      <c r="D3539" t="s">
        <v>42</v>
      </c>
      <c r="E3539" t="s">
        <v>43</v>
      </c>
      <c r="F3539" t="s">
        <v>44</v>
      </c>
      <c r="G3539" t="s">
        <v>45</v>
      </c>
      <c r="AH3539" t="s">
        <v>42</v>
      </c>
      <c r="AI3539" t="str">
        <f>"67822290174902"</f>
        <v>67822290174902</v>
      </c>
      <c r="AJ3539" t="str">
        <f>"90/90X21-TRPT"</f>
        <v>90/90X21-TRPT</v>
      </c>
      <c r="AK3539" t="s">
        <v>46</v>
      </c>
      <c r="AL3539" s="1">
        <v>44992.876168981478</v>
      </c>
      <c r="AM3539" t="s">
        <v>44</v>
      </c>
    </row>
    <row r="3540" spans="1:39" x14ac:dyDescent="0.2">
      <c r="A3540" t="s">
        <v>3351</v>
      </c>
      <c r="B3540" t="s">
        <v>40</v>
      </c>
      <c r="C3540" t="s">
        <v>3168</v>
      </c>
      <c r="D3540" t="s">
        <v>42</v>
      </c>
      <c r="E3540" t="s">
        <v>43</v>
      </c>
      <c r="F3540" t="s">
        <v>44</v>
      </c>
      <c r="G3540" t="s">
        <v>45</v>
      </c>
      <c r="AH3540" t="s">
        <v>42</v>
      </c>
      <c r="AI3540" t="str">
        <f>"66298911869297"</f>
        <v>66298911869297</v>
      </c>
      <c r="AJ3540" t="str">
        <f>"300X21TRSR"</f>
        <v>300X21TRSR</v>
      </c>
      <c r="AK3540" t="s">
        <v>46</v>
      </c>
      <c r="AL3540" s="1">
        <v>44816.559236111112</v>
      </c>
      <c r="AM3540" t="s">
        <v>44</v>
      </c>
    </row>
    <row r="3541" spans="1:39" x14ac:dyDescent="0.2">
      <c r="A3541" t="s">
        <v>3352</v>
      </c>
      <c r="B3541" t="s">
        <v>40</v>
      </c>
      <c r="C3541" t="s">
        <v>1677</v>
      </c>
      <c r="D3541" t="s">
        <v>42</v>
      </c>
      <c r="E3541" t="s">
        <v>43</v>
      </c>
      <c r="F3541" t="s">
        <v>44</v>
      </c>
      <c r="G3541" t="s">
        <v>45</v>
      </c>
      <c r="H3541" t="s">
        <v>3353</v>
      </c>
      <c r="AH3541" t="s">
        <v>42</v>
      </c>
      <c r="AI3541" t="str">
        <f>"RO-3121"</f>
        <v>RO-3121</v>
      </c>
      <c r="AJ3541" t="str">
        <f>"RO-3121"</f>
        <v>RO-3121</v>
      </c>
      <c r="AK3541" t="s">
        <v>1228</v>
      </c>
      <c r="AL3541" s="1">
        <v>44837.255590277775</v>
      </c>
      <c r="AM3541" t="s">
        <v>44</v>
      </c>
    </row>
    <row r="3542" spans="1:39" x14ac:dyDescent="0.2">
      <c r="A3542" t="s">
        <v>3352</v>
      </c>
      <c r="B3542" t="s">
        <v>40</v>
      </c>
      <c r="C3542" t="s">
        <v>1677</v>
      </c>
      <c r="D3542" t="s">
        <v>42</v>
      </c>
      <c r="E3542" t="s">
        <v>43</v>
      </c>
      <c r="F3542" t="s">
        <v>44</v>
      </c>
      <c r="G3542" t="s">
        <v>45</v>
      </c>
      <c r="H3542" t="s">
        <v>3354</v>
      </c>
      <c r="AH3542" t="s">
        <v>42</v>
      </c>
      <c r="AI3542" t="str">
        <f>"RO-3130"</f>
        <v>RO-3130</v>
      </c>
      <c r="AJ3542" t="str">
        <f>"RO-3130"</f>
        <v>RO-3130</v>
      </c>
      <c r="AK3542" t="s">
        <v>1228</v>
      </c>
      <c r="AL3542" s="1">
        <v>44837.616099537037</v>
      </c>
      <c r="AM3542" t="s">
        <v>44</v>
      </c>
    </row>
    <row r="3543" spans="1:39" x14ac:dyDescent="0.2">
      <c r="A3543" t="s">
        <v>3352</v>
      </c>
      <c r="B3543" t="s">
        <v>40</v>
      </c>
      <c r="C3543" t="s">
        <v>1677</v>
      </c>
      <c r="D3543" t="s">
        <v>42</v>
      </c>
      <c r="E3543" t="s">
        <v>43</v>
      </c>
      <c r="F3543" t="s">
        <v>44</v>
      </c>
      <c r="G3543" t="s">
        <v>45</v>
      </c>
      <c r="H3543" t="s">
        <v>3355</v>
      </c>
      <c r="AH3543" t="s">
        <v>42</v>
      </c>
      <c r="AI3543" t="str">
        <f>"RO-3129"</f>
        <v>RO-3129</v>
      </c>
      <c r="AJ3543" t="str">
        <f>"RO-3129"</f>
        <v>RO-3129</v>
      </c>
      <c r="AK3543" t="s">
        <v>46</v>
      </c>
      <c r="AL3543" s="1">
        <v>44837.257997685185</v>
      </c>
      <c r="AM3543" t="s">
        <v>44</v>
      </c>
    </row>
    <row r="3544" spans="1:39" x14ac:dyDescent="0.2">
      <c r="A3544" t="s">
        <v>3356</v>
      </c>
      <c r="B3544" t="s">
        <v>40</v>
      </c>
      <c r="C3544" t="s">
        <v>129</v>
      </c>
      <c r="D3544" t="s">
        <v>42</v>
      </c>
      <c r="E3544" t="s">
        <v>43</v>
      </c>
      <c r="F3544" t="s">
        <v>44</v>
      </c>
      <c r="G3544" t="s">
        <v>45</v>
      </c>
      <c r="AH3544" t="s">
        <v>42</v>
      </c>
      <c r="AI3544" t="str">
        <f>"66298911910871"</f>
        <v>66298911910871</v>
      </c>
      <c r="AJ3544" t="str">
        <f>"O-MBA-COMB"</f>
        <v>O-MBA-COMB</v>
      </c>
      <c r="AK3544" t="s">
        <v>46</v>
      </c>
      <c r="AL3544" s="1">
        <v>44816.559247685182</v>
      </c>
      <c r="AM3544" t="s">
        <v>44</v>
      </c>
    </row>
    <row r="3545" spans="1:39" x14ac:dyDescent="0.2">
      <c r="A3545" t="s">
        <v>3357</v>
      </c>
      <c r="B3545" t="s">
        <v>40</v>
      </c>
      <c r="C3545" t="s">
        <v>129</v>
      </c>
      <c r="D3545" t="s">
        <v>42</v>
      </c>
      <c r="E3545" t="s">
        <v>43</v>
      </c>
      <c r="F3545" t="s">
        <v>44</v>
      </c>
      <c r="G3545" t="s">
        <v>45</v>
      </c>
      <c r="AH3545" t="s">
        <v>42</v>
      </c>
      <c r="AI3545" t="str">
        <f>"66298911952024"</f>
        <v>66298911952024</v>
      </c>
      <c r="AJ3545" t="str">
        <f>"753"</f>
        <v>753</v>
      </c>
      <c r="AK3545" t="s">
        <v>46</v>
      </c>
      <c r="AL3545" s="1">
        <v>44816.559247685182</v>
      </c>
      <c r="AM3545" t="s">
        <v>44</v>
      </c>
    </row>
    <row r="3546" spans="1:39" x14ac:dyDescent="0.2">
      <c r="A3546" t="s">
        <v>3358</v>
      </c>
      <c r="B3546" t="s">
        <v>40</v>
      </c>
      <c r="C3546" t="s">
        <v>129</v>
      </c>
      <c r="D3546" t="s">
        <v>42</v>
      </c>
      <c r="E3546" t="s">
        <v>43</v>
      </c>
      <c r="F3546" t="s">
        <v>44</v>
      </c>
      <c r="G3546" t="s">
        <v>45</v>
      </c>
      <c r="AH3546" t="s">
        <v>42</v>
      </c>
      <c r="AI3546" t="str">
        <f>"66298911993284"</f>
        <v>66298911993284</v>
      </c>
      <c r="AJ3546" t="str">
        <f>"B124"</f>
        <v>B124</v>
      </c>
      <c r="AK3546" t="s">
        <v>46</v>
      </c>
      <c r="AL3546" s="1">
        <v>44816.559247685182</v>
      </c>
      <c r="AM3546" t="s">
        <v>44</v>
      </c>
    </row>
    <row r="3547" spans="1:39" x14ac:dyDescent="0.2">
      <c r="A3547" t="s">
        <v>3359</v>
      </c>
      <c r="B3547" t="s">
        <v>40</v>
      </c>
      <c r="C3547" t="s">
        <v>129</v>
      </c>
      <c r="D3547" t="s">
        <v>42</v>
      </c>
      <c r="E3547" t="s">
        <v>43</v>
      </c>
      <c r="F3547" t="s">
        <v>44</v>
      </c>
      <c r="G3547" t="s">
        <v>45</v>
      </c>
      <c r="AH3547" t="s">
        <v>42</v>
      </c>
      <c r="AI3547" t="str">
        <f>"66298912034570"</f>
        <v>66298912034570</v>
      </c>
      <c r="AJ3547" t="str">
        <f>"192190002-0001"</f>
        <v>192190002-0001</v>
      </c>
      <c r="AK3547" t="s">
        <v>46</v>
      </c>
      <c r="AL3547" s="1">
        <v>44816.559259259258</v>
      </c>
      <c r="AM3547" t="s">
        <v>44</v>
      </c>
    </row>
    <row r="3548" spans="1:39" x14ac:dyDescent="0.2">
      <c r="A3548" t="s">
        <v>3360</v>
      </c>
      <c r="B3548" t="s">
        <v>40</v>
      </c>
      <c r="C3548" t="s">
        <v>129</v>
      </c>
      <c r="D3548" t="s">
        <v>42</v>
      </c>
      <c r="E3548" t="s">
        <v>43</v>
      </c>
      <c r="F3548" t="s">
        <v>44</v>
      </c>
      <c r="G3548" t="s">
        <v>45</v>
      </c>
      <c r="AH3548" t="s">
        <v>42</v>
      </c>
      <c r="AI3548" t="str">
        <f>"66298912073096"</f>
        <v>66298912073096</v>
      </c>
      <c r="AJ3548" t="str">
        <f>"PB001"</f>
        <v>PB001</v>
      </c>
      <c r="AK3548" t="s">
        <v>46</v>
      </c>
      <c r="AL3548" s="1">
        <v>44816.559259259258</v>
      </c>
      <c r="AM3548" t="s">
        <v>44</v>
      </c>
    </row>
    <row r="3549" spans="1:39" x14ac:dyDescent="0.2">
      <c r="A3549" t="s">
        <v>3361</v>
      </c>
      <c r="B3549" t="s">
        <v>40</v>
      </c>
      <c r="C3549" t="s">
        <v>50</v>
      </c>
      <c r="D3549" t="s">
        <v>42</v>
      </c>
      <c r="E3549" t="s">
        <v>43</v>
      </c>
      <c r="F3549" t="s">
        <v>44</v>
      </c>
      <c r="G3549" t="s">
        <v>45</v>
      </c>
      <c r="AH3549" t="s">
        <v>42</v>
      </c>
      <c r="AI3549" t="str">
        <f>"OVEROL-LM"</f>
        <v>OVEROL-LM</v>
      </c>
      <c r="AJ3549" t="str">
        <f>"OVEROL-LM"</f>
        <v>OVEROL-LM</v>
      </c>
      <c r="AK3549" t="s">
        <v>46</v>
      </c>
      <c r="AL3549" s="1">
        <v>45002.622974537036</v>
      </c>
      <c r="AM3549" t="s">
        <v>44</v>
      </c>
    </row>
    <row r="3550" spans="1:39" x14ac:dyDescent="0.2">
      <c r="A3550" t="s">
        <v>3362</v>
      </c>
      <c r="B3550" t="s">
        <v>40</v>
      </c>
      <c r="C3550" t="s">
        <v>50</v>
      </c>
      <c r="D3550" t="s">
        <v>42</v>
      </c>
      <c r="E3550" t="s">
        <v>43</v>
      </c>
      <c r="F3550" t="s">
        <v>44</v>
      </c>
      <c r="G3550" t="s">
        <v>45</v>
      </c>
      <c r="H3550" t="s">
        <v>3363</v>
      </c>
      <c r="AH3550" t="s">
        <v>42</v>
      </c>
      <c r="AI3550" t="str">
        <f>"OVEROL-LUBRAX"</f>
        <v>OVEROL-LUBRAX</v>
      </c>
      <c r="AJ3550" t="str">
        <f>"OVEROL-LUBRAX"</f>
        <v>OVEROL-LUBRAX</v>
      </c>
      <c r="AK3550" t="s">
        <v>46</v>
      </c>
      <c r="AL3550" s="1">
        <v>45041.761678240742</v>
      </c>
      <c r="AM3550" t="s">
        <v>44</v>
      </c>
    </row>
    <row r="3551" spans="1:39" x14ac:dyDescent="0.2">
      <c r="A3551" t="s">
        <v>3364</v>
      </c>
      <c r="B3551" t="s">
        <v>40</v>
      </c>
      <c r="C3551" t="s">
        <v>50</v>
      </c>
      <c r="D3551" t="s">
        <v>42</v>
      </c>
      <c r="E3551" t="s">
        <v>43</v>
      </c>
      <c r="F3551" t="s">
        <v>44</v>
      </c>
      <c r="G3551" t="s">
        <v>45</v>
      </c>
      <c r="AH3551" t="s">
        <v>42</v>
      </c>
      <c r="AI3551" t="str">
        <f>"RP-OVEROL"</f>
        <v>RP-OVEROL</v>
      </c>
      <c r="AJ3551" t="str">
        <f>"RP-OVEROL"</f>
        <v>RP-OVEROL</v>
      </c>
      <c r="AK3551" t="s">
        <v>46</v>
      </c>
      <c r="AL3551" s="1">
        <v>44999.786921296298</v>
      </c>
      <c r="AM3551" t="s">
        <v>44</v>
      </c>
    </row>
    <row r="3552" spans="1:39" x14ac:dyDescent="0.2">
      <c r="A3552" t="s">
        <v>3365</v>
      </c>
      <c r="B3552" t="s">
        <v>2728</v>
      </c>
      <c r="C3552" t="s">
        <v>41</v>
      </c>
      <c r="D3552" t="s">
        <v>42</v>
      </c>
      <c r="E3552" t="s">
        <v>42</v>
      </c>
      <c r="F3552" t="s">
        <v>44</v>
      </c>
      <c r="G3552" t="s">
        <v>45</v>
      </c>
      <c r="AH3552" t="s">
        <v>42</v>
      </c>
      <c r="AI3552" t="str">
        <f>"10949/12147/7258"</f>
        <v>10949/12147/7258</v>
      </c>
      <c r="AJ3552" t="str">
        <f>"10949/12147/7258"</f>
        <v>10949/12147/7258</v>
      </c>
      <c r="AK3552" t="s">
        <v>46</v>
      </c>
      <c r="AL3552" s="1">
        <v>45055.641967592594</v>
      </c>
      <c r="AM3552" t="s">
        <v>44</v>
      </c>
    </row>
    <row r="3553" spans="1:39" x14ac:dyDescent="0.2">
      <c r="A3553" t="s">
        <v>3366</v>
      </c>
      <c r="B3553" t="s">
        <v>2728</v>
      </c>
      <c r="C3553" t="s">
        <v>3168</v>
      </c>
      <c r="D3553" t="s">
        <v>42</v>
      </c>
      <c r="E3553" t="s">
        <v>42</v>
      </c>
      <c r="F3553" t="s">
        <v>44</v>
      </c>
      <c r="G3553" t="s">
        <v>45</v>
      </c>
      <c r="AH3553" t="s">
        <v>42</v>
      </c>
      <c r="AI3553" t="str">
        <f>"KIT-120/180-K905"</f>
        <v>KIT-120/180-K905</v>
      </c>
      <c r="AJ3553" t="str">
        <f>"KIT-120/180-K905"</f>
        <v>KIT-120/180-K905</v>
      </c>
      <c r="AK3553" t="s">
        <v>46</v>
      </c>
      <c r="AL3553" s="1">
        <v>45037.636736111112</v>
      </c>
      <c r="AM3553" t="s">
        <v>44</v>
      </c>
    </row>
    <row r="3554" spans="1:39" x14ac:dyDescent="0.2">
      <c r="A3554" t="s">
        <v>3367</v>
      </c>
      <c r="B3554" t="s">
        <v>40</v>
      </c>
      <c r="C3554" t="s">
        <v>50</v>
      </c>
      <c r="D3554" t="s">
        <v>42</v>
      </c>
      <c r="E3554" t="s">
        <v>43</v>
      </c>
      <c r="F3554" t="s">
        <v>44</v>
      </c>
      <c r="G3554" t="s">
        <v>45</v>
      </c>
      <c r="AH3554" t="s">
        <v>42</v>
      </c>
      <c r="AI3554" t="str">
        <f>"49CC78"</f>
        <v>49CC78</v>
      </c>
      <c r="AJ3554" t="str">
        <f>"49CC78"</f>
        <v>49CC78</v>
      </c>
      <c r="AK3554" t="s">
        <v>46</v>
      </c>
      <c r="AL3554" s="1">
        <v>45093.63380787037</v>
      </c>
      <c r="AM3554" t="s">
        <v>44</v>
      </c>
    </row>
    <row r="3555" spans="1:39" x14ac:dyDescent="0.2">
      <c r="A3555" t="s">
        <v>3368</v>
      </c>
      <c r="B3555" t="s">
        <v>40</v>
      </c>
      <c r="C3555" t="s">
        <v>129</v>
      </c>
      <c r="D3555" t="s">
        <v>42</v>
      </c>
      <c r="E3555" t="s">
        <v>43</v>
      </c>
      <c r="F3555" t="s">
        <v>44</v>
      </c>
      <c r="G3555" t="s">
        <v>45</v>
      </c>
      <c r="AH3555" t="s">
        <v>42</v>
      </c>
      <c r="AI3555" t="str">
        <f>"66298912113695"</f>
        <v>66298912113695</v>
      </c>
      <c r="AJ3555" t="str">
        <f>"C206"</f>
        <v>C206</v>
      </c>
      <c r="AK3555" t="s">
        <v>46</v>
      </c>
      <c r="AL3555" s="1">
        <v>44816.559270833335</v>
      </c>
      <c r="AM3555" t="s">
        <v>44</v>
      </c>
    </row>
    <row r="3556" spans="1:39" x14ac:dyDescent="0.2">
      <c r="A3556" t="s">
        <v>3369</v>
      </c>
      <c r="B3556" t="s">
        <v>40</v>
      </c>
      <c r="C3556" t="s">
        <v>129</v>
      </c>
      <c r="D3556" t="s">
        <v>42</v>
      </c>
      <c r="E3556" t="s">
        <v>43</v>
      </c>
      <c r="F3556" t="s">
        <v>44</v>
      </c>
      <c r="G3556" t="s">
        <v>45</v>
      </c>
      <c r="AH3556" t="s">
        <v>42</v>
      </c>
      <c r="AI3556" t="str">
        <f>"66298912202430"</f>
        <v>66298912202430</v>
      </c>
      <c r="AJ3556" t="str">
        <f>"49CC53"</f>
        <v>49CC53</v>
      </c>
      <c r="AK3556" t="s">
        <v>46</v>
      </c>
      <c r="AL3556" s="1">
        <v>44816.559282407405</v>
      </c>
      <c r="AM3556" t="s">
        <v>44</v>
      </c>
    </row>
    <row r="3557" spans="1:39" x14ac:dyDescent="0.2">
      <c r="A3557" t="s">
        <v>3370</v>
      </c>
      <c r="B3557" t="s">
        <v>40</v>
      </c>
      <c r="C3557" t="s">
        <v>3371</v>
      </c>
      <c r="D3557" t="s">
        <v>42</v>
      </c>
      <c r="E3557" t="s">
        <v>43</v>
      </c>
      <c r="F3557" t="s">
        <v>44</v>
      </c>
      <c r="G3557" t="s">
        <v>45</v>
      </c>
      <c r="AH3557" t="s">
        <v>42</v>
      </c>
      <c r="AI3557" t="str">
        <f>"425005"</f>
        <v>425005</v>
      </c>
      <c r="AJ3557" t="str">
        <f>"425005"</f>
        <v>425005</v>
      </c>
      <c r="AK3557" t="s">
        <v>46</v>
      </c>
      <c r="AL3557" s="1">
        <v>45093.635844907411</v>
      </c>
      <c r="AM3557" t="s">
        <v>44</v>
      </c>
    </row>
    <row r="3558" spans="1:39" x14ac:dyDescent="0.2">
      <c r="A3558" t="s">
        <v>3372</v>
      </c>
      <c r="B3558" t="s">
        <v>40</v>
      </c>
      <c r="C3558" t="s">
        <v>129</v>
      </c>
      <c r="D3558" t="s">
        <v>42</v>
      </c>
      <c r="E3558" t="s">
        <v>43</v>
      </c>
      <c r="F3558" t="s">
        <v>44</v>
      </c>
      <c r="G3558" t="s">
        <v>45</v>
      </c>
      <c r="AH3558" t="s">
        <v>42</v>
      </c>
      <c r="AI3558" t="str">
        <f>"66298912155152"</f>
        <v>66298912155152</v>
      </c>
      <c r="AJ3558" t="str">
        <f>"425011"</f>
        <v>425011</v>
      </c>
      <c r="AK3558" t="s">
        <v>46</v>
      </c>
      <c r="AL3558" s="1">
        <v>44816.559270833335</v>
      </c>
      <c r="AM3558" t="s">
        <v>44</v>
      </c>
    </row>
    <row r="3559" spans="1:39" x14ac:dyDescent="0.2">
      <c r="A3559" t="s">
        <v>3373</v>
      </c>
      <c r="B3559" t="s">
        <v>40</v>
      </c>
      <c r="C3559" t="s">
        <v>3371</v>
      </c>
      <c r="D3559" t="s">
        <v>42</v>
      </c>
      <c r="E3559" t="s">
        <v>43</v>
      </c>
      <c r="F3559" t="s">
        <v>44</v>
      </c>
      <c r="G3559" t="s">
        <v>45</v>
      </c>
      <c r="AH3559" t="s">
        <v>42</v>
      </c>
      <c r="AI3559" t="str">
        <f>"425009"</f>
        <v>425009</v>
      </c>
      <c r="AJ3559" t="str">
        <f>"425009"</f>
        <v>425009</v>
      </c>
      <c r="AK3559" t="s">
        <v>46</v>
      </c>
      <c r="AL3559" s="1">
        <v>45093.636481481481</v>
      </c>
      <c r="AM3559" t="s">
        <v>44</v>
      </c>
    </row>
    <row r="3560" spans="1:39" x14ac:dyDescent="0.2">
      <c r="A3560" t="s">
        <v>3373</v>
      </c>
      <c r="B3560" t="s">
        <v>40</v>
      </c>
      <c r="C3560" t="s">
        <v>3371</v>
      </c>
      <c r="D3560" t="s">
        <v>42</v>
      </c>
      <c r="E3560" t="s">
        <v>43</v>
      </c>
      <c r="F3560" t="s">
        <v>44</v>
      </c>
      <c r="G3560" t="s">
        <v>45</v>
      </c>
      <c r="AH3560" t="s">
        <v>42</v>
      </c>
      <c r="AI3560" t="str">
        <f>"425010"</f>
        <v>425010</v>
      </c>
      <c r="AJ3560" t="str">
        <f>"425010"</f>
        <v>425010</v>
      </c>
      <c r="AK3560" t="s">
        <v>46</v>
      </c>
      <c r="AL3560" s="1">
        <v>45093.636979166666</v>
      </c>
      <c r="AM3560" t="s">
        <v>44</v>
      </c>
    </row>
    <row r="3561" spans="1:39" x14ac:dyDescent="0.2">
      <c r="A3561" t="s">
        <v>3374</v>
      </c>
      <c r="B3561" t="s">
        <v>40</v>
      </c>
      <c r="C3561" t="s">
        <v>129</v>
      </c>
      <c r="D3561" t="s">
        <v>42</v>
      </c>
      <c r="E3561" t="s">
        <v>43</v>
      </c>
      <c r="F3561" t="s">
        <v>44</v>
      </c>
      <c r="G3561" t="s">
        <v>45</v>
      </c>
      <c r="AH3561" t="s">
        <v>42</v>
      </c>
      <c r="AI3561" t="str">
        <f>"66298912247257"</f>
        <v>66298912247257</v>
      </c>
      <c r="AJ3561" t="str">
        <f>"80514"</f>
        <v>80514</v>
      </c>
      <c r="AK3561" t="s">
        <v>46</v>
      </c>
      <c r="AL3561" s="1">
        <v>44816.559282407405</v>
      </c>
      <c r="AM3561" t="s">
        <v>44</v>
      </c>
    </row>
    <row r="3562" spans="1:39" x14ac:dyDescent="0.2">
      <c r="A3562" t="s">
        <v>3375</v>
      </c>
      <c r="B3562" t="s">
        <v>40</v>
      </c>
      <c r="C3562" t="s">
        <v>129</v>
      </c>
      <c r="D3562" t="s">
        <v>42</v>
      </c>
      <c r="E3562" t="s">
        <v>43</v>
      </c>
      <c r="F3562" t="s">
        <v>44</v>
      </c>
      <c r="G3562" t="s">
        <v>45</v>
      </c>
      <c r="AH3562" t="s">
        <v>42</v>
      </c>
      <c r="AI3562" t="str">
        <f>"66298912290272"</f>
        <v>66298912290272</v>
      </c>
      <c r="AJ3562" t="str">
        <f>"4885"</f>
        <v>4885</v>
      </c>
      <c r="AK3562" t="s">
        <v>46</v>
      </c>
      <c r="AL3562" s="1">
        <v>44816.559282407405</v>
      </c>
      <c r="AM3562" t="s">
        <v>44</v>
      </c>
    </row>
    <row r="3563" spans="1:39" x14ac:dyDescent="0.2">
      <c r="A3563" t="s">
        <v>3376</v>
      </c>
      <c r="B3563" t="s">
        <v>40</v>
      </c>
      <c r="C3563" t="s">
        <v>50</v>
      </c>
      <c r="D3563" t="s">
        <v>42</v>
      </c>
      <c r="E3563" t="s">
        <v>43</v>
      </c>
      <c r="F3563" t="s">
        <v>44</v>
      </c>
      <c r="G3563" t="s">
        <v>45</v>
      </c>
      <c r="AH3563" t="s">
        <v>42</v>
      </c>
      <c r="AI3563" t="str">
        <f>"101029208"</f>
        <v>101029208</v>
      </c>
      <c r="AJ3563" t="str">
        <f>"101029208"</f>
        <v>101029208</v>
      </c>
      <c r="AK3563" t="s">
        <v>46</v>
      </c>
      <c r="AL3563" s="1">
        <v>45076.694872685184</v>
      </c>
      <c r="AM3563" t="s">
        <v>44</v>
      </c>
    </row>
    <row r="3564" spans="1:39" x14ac:dyDescent="0.2">
      <c r="A3564" t="s">
        <v>3377</v>
      </c>
      <c r="B3564" t="s">
        <v>40</v>
      </c>
      <c r="C3564" t="s">
        <v>129</v>
      </c>
      <c r="D3564" t="s">
        <v>42</v>
      </c>
      <c r="E3564" t="s">
        <v>43</v>
      </c>
      <c r="F3564" t="s">
        <v>44</v>
      </c>
      <c r="G3564" t="s">
        <v>45</v>
      </c>
      <c r="AH3564" t="s">
        <v>42</v>
      </c>
      <c r="AI3564" t="str">
        <f>"66298912335799"</f>
        <v>66298912335799</v>
      </c>
      <c r="AJ3564" t="str">
        <f>"GJ017"</f>
        <v>GJ017</v>
      </c>
      <c r="AK3564" t="s">
        <v>46</v>
      </c>
      <c r="AL3564" s="1">
        <v>44816.559293981481</v>
      </c>
      <c r="AM3564" t="s">
        <v>44</v>
      </c>
    </row>
    <row r="3565" spans="1:39" x14ac:dyDescent="0.2">
      <c r="A3565" t="s">
        <v>3378</v>
      </c>
      <c r="B3565" t="s">
        <v>40</v>
      </c>
      <c r="C3565" t="s">
        <v>129</v>
      </c>
      <c r="D3565" t="s">
        <v>42</v>
      </c>
      <c r="E3565" t="s">
        <v>43</v>
      </c>
      <c r="F3565" t="s">
        <v>44</v>
      </c>
      <c r="G3565" t="s">
        <v>45</v>
      </c>
      <c r="AH3565" t="s">
        <v>42</v>
      </c>
      <c r="AI3565" t="str">
        <f>"66298912378353"</f>
        <v>66298912378353</v>
      </c>
      <c r="AJ3565" t="str">
        <f>"83140"</f>
        <v>83140</v>
      </c>
      <c r="AK3565" t="s">
        <v>46</v>
      </c>
      <c r="AL3565" s="1">
        <v>44816.559293981481</v>
      </c>
      <c r="AM3565" t="s">
        <v>44</v>
      </c>
    </row>
    <row r="3566" spans="1:39" x14ac:dyDescent="0.2">
      <c r="A3566" t="s">
        <v>3379</v>
      </c>
      <c r="B3566" t="s">
        <v>40</v>
      </c>
      <c r="C3566" t="s">
        <v>3380</v>
      </c>
      <c r="D3566" t="s">
        <v>42</v>
      </c>
      <c r="E3566" t="s">
        <v>43</v>
      </c>
      <c r="F3566" t="s">
        <v>44</v>
      </c>
      <c r="G3566" t="s">
        <v>45</v>
      </c>
      <c r="AH3566" t="s">
        <v>42</v>
      </c>
      <c r="AI3566" t="str">
        <f>"66298912423753"</f>
        <v>66298912423753</v>
      </c>
      <c r="AJ3566" t="str">
        <f>"LMP112"</f>
        <v>LMP112</v>
      </c>
      <c r="AK3566" t="s">
        <v>46</v>
      </c>
      <c r="AL3566" s="1">
        <v>44816.559305555558</v>
      </c>
      <c r="AM3566" t="s">
        <v>44</v>
      </c>
    </row>
    <row r="3567" spans="1:39" x14ac:dyDescent="0.2">
      <c r="A3567" t="s">
        <v>3381</v>
      </c>
      <c r="B3567" t="s">
        <v>40</v>
      </c>
      <c r="C3567" t="s">
        <v>3380</v>
      </c>
      <c r="D3567" t="s">
        <v>42</v>
      </c>
      <c r="E3567" t="s">
        <v>43</v>
      </c>
      <c r="F3567" t="s">
        <v>44</v>
      </c>
      <c r="G3567" t="s">
        <v>45</v>
      </c>
      <c r="AH3567" t="s">
        <v>42</v>
      </c>
      <c r="AI3567" t="str">
        <f>"66298912467813"</f>
        <v>66298912467813</v>
      </c>
      <c r="AJ3567" t="str">
        <f>"59300-39821JP"</f>
        <v>59300-39821JP</v>
      </c>
      <c r="AK3567" t="s">
        <v>46</v>
      </c>
      <c r="AL3567" s="1">
        <v>44816.559305555558</v>
      </c>
      <c r="AM3567" t="s">
        <v>44</v>
      </c>
    </row>
    <row r="3568" spans="1:39" x14ac:dyDescent="0.2">
      <c r="A3568" t="s">
        <v>3382</v>
      </c>
      <c r="B3568" t="s">
        <v>40</v>
      </c>
      <c r="C3568" t="s">
        <v>3380</v>
      </c>
      <c r="D3568" t="s">
        <v>42</v>
      </c>
      <c r="E3568" t="s">
        <v>43</v>
      </c>
      <c r="F3568" t="s">
        <v>44</v>
      </c>
      <c r="G3568" t="s">
        <v>45</v>
      </c>
      <c r="AH3568" t="s">
        <v>42</v>
      </c>
      <c r="AI3568" t="str">
        <f>"66298912546539"</f>
        <v>66298912546539</v>
      </c>
      <c r="AJ3568" t="str">
        <f>"06455-KGA-940JP"</f>
        <v>06455-KGA-940JP</v>
      </c>
      <c r="AK3568" t="s">
        <v>46</v>
      </c>
      <c r="AL3568" s="1">
        <v>44816.559317129628</v>
      </c>
      <c r="AM3568" t="s">
        <v>44</v>
      </c>
    </row>
    <row r="3569" spans="1:39" x14ac:dyDescent="0.2">
      <c r="A3569" t="s">
        <v>3383</v>
      </c>
      <c r="B3569" t="s">
        <v>40</v>
      </c>
      <c r="C3569" t="s">
        <v>3380</v>
      </c>
      <c r="D3569" t="s">
        <v>42</v>
      </c>
      <c r="E3569" t="s">
        <v>43</v>
      </c>
      <c r="F3569" t="s">
        <v>44</v>
      </c>
      <c r="G3569" t="s">
        <v>45</v>
      </c>
      <c r="AH3569" t="s">
        <v>42</v>
      </c>
      <c r="AI3569" t="str">
        <f>"66298912506516"</f>
        <v>66298912506516</v>
      </c>
      <c r="AJ3569" t="str">
        <f>"U010-A"</f>
        <v>U010-A</v>
      </c>
      <c r="AK3569" t="s">
        <v>46</v>
      </c>
      <c r="AL3569" s="1">
        <v>44816.559317129628</v>
      </c>
      <c r="AM3569" t="s">
        <v>44</v>
      </c>
    </row>
    <row r="3570" spans="1:39" x14ac:dyDescent="0.2">
      <c r="A3570" t="s">
        <v>3384</v>
      </c>
      <c r="B3570" t="s">
        <v>40</v>
      </c>
      <c r="C3570" t="s">
        <v>3380</v>
      </c>
      <c r="D3570" t="s">
        <v>42</v>
      </c>
      <c r="E3570" t="s">
        <v>43</v>
      </c>
      <c r="F3570" t="s">
        <v>44</v>
      </c>
      <c r="G3570" t="s">
        <v>45</v>
      </c>
      <c r="AH3570" t="s">
        <v>42</v>
      </c>
      <c r="AI3570" t="str">
        <f>"66298912588212"</f>
        <v>66298912588212</v>
      </c>
      <c r="AJ3570" t="str">
        <f>"LMP142"</f>
        <v>LMP142</v>
      </c>
      <c r="AK3570" t="s">
        <v>46</v>
      </c>
      <c r="AL3570" s="1">
        <v>44816.559317129628</v>
      </c>
      <c r="AM3570" t="s">
        <v>44</v>
      </c>
    </row>
    <row r="3571" spans="1:39" x14ac:dyDescent="0.2">
      <c r="A3571" t="s">
        <v>3385</v>
      </c>
      <c r="B3571" t="s">
        <v>40</v>
      </c>
      <c r="C3571" t="s">
        <v>3380</v>
      </c>
      <c r="D3571" t="s">
        <v>42</v>
      </c>
      <c r="E3571" t="s">
        <v>43</v>
      </c>
      <c r="F3571" t="s">
        <v>44</v>
      </c>
      <c r="G3571" t="s">
        <v>45</v>
      </c>
      <c r="AH3571" t="s">
        <v>42</v>
      </c>
      <c r="AI3571" t="str">
        <f>"66298912631280"</f>
        <v>66298912631280</v>
      </c>
      <c r="AJ3571" t="str">
        <f>"400273"</f>
        <v>400273</v>
      </c>
      <c r="AK3571" t="s">
        <v>46</v>
      </c>
      <c r="AL3571" s="1">
        <v>44816.559328703705</v>
      </c>
      <c r="AM3571" t="s">
        <v>44</v>
      </c>
    </row>
    <row r="3572" spans="1:39" x14ac:dyDescent="0.2">
      <c r="A3572" t="s">
        <v>3386</v>
      </c>
      <c r="B3572" t="s">
        <v>40</v>
      </c>
      <c r="C3572" t="s">
        <v>3380</v>
      </c>
      <c r="D3572" t="s">
        <v>42</v>
      </c>
      <c r="E3572" t="s">
        <v>43</v>
      </c>
      <c r="F3572" t="s">
        <v>44</v>
      </c>
      <c r="G3572" t="s">
        <v>45</v>
      </c>
      <c r="AH3572" t="s">
        <v>42</v>
      </c>
      <c r="AI3572" t="str">
        <f>"66298912671196"</f>
        <v>66298912671196</v>
      </c>
      <c r="AJ3572" t="str">
        <f>"43082-1070JP"</f>
        <v>43082-1070JP</v>
      </c>
      <c r="AK3572" t="s">
        <v>46</v>
      </c>
      <c r="AL3572" s="1">
        <v>44816.559328703705</v>
      </c>
      <c r="AM3572" t="s">
        <v>44</v>
      </c>
    </row>
    <row r="3573" spans="1:39" x14ac:dyDescent="0.2">
      <c r="A3573" t="s">
        <v>3387</v>
      </c>
      <c r="B3573" t="s">
        <v>40</v>
      </c>
      <c r="C3573" t="s">
        <v>3380</v>
      </c>
      <c r="D3573" t="s">
        <v>42</v>
      </c>
      <c r="E3573" t="s">
        <v>43</v>
      </c>
      <c r="F3573" t="s">
        <v>44</v>
      </c>
      <c r="G3573" t="s">
        <v>45</v>
      </c>
      <c r="AH3573" t="s">
        <v>42</v>
      </c>
      <c r="AI3573" t="str">
        <f>"66298912713396"</f>
        <v>66298912713396</v>
      </c>
      <c r="AJ3573" t="str">
        <f>"11L-W0045-00JP"</f>
        <v>11L-W0045-00JP</v>
      </c>
      <c r="AK3573" t="s">
        <v>46</v>
      </c>
      <c r="AL3573" s="1">
        <v>44816.559340277781</v>
      </c>
      <c r="AM3573" t="s">
        <v>44</v>
      </c>
    </row>
    <row r="3574" spans="1:39" x14ac:dyDescent="0.2">
      <c r="A3574" t="s">
        <v>3388</v>
      </c>
      <c r="B3574" t="s">
        <v>40</v>
      </c>
      <c r="C3574" t="s">
        <v>3380</v>
      </c>
      <c r="D3574" t="s">
        <v>42</v>
      </c>
      <c r="E3574" t="s">
        <v>43</v>
      </c>
      <c r="F3574" t="s">
        <v>44</v>
      </c>
      <c r="G3574" t="s">
        <v>45</v>
      </c>
      <c r="AH3574" t="s">
        <v>42</v>
      </c>
      <c r="AI3574" t="str">
        <f>"66298912770223"</f>
        <v>66298912770223</v>
      </c>
      <c r="AJ3574" t="str">
        <f>"400275"</f>
        <v>400275</v>
      </c>
      <c r="AK3574" t="s">
        <v>46</v>
      </c>
      <c r="AL3574" s="1">
        <v>44816.559340277781</v>
      </c>
      <c r="AM3574" t="s">
        <v>44</v>
      </c>
    </row>
    <row r="3575" spans="1:39" x14ac:dyDescent="0.2">
      <c r="A3575" t="s">
        <v>3389</v>
      </c>
      <c r="B3575" t="s">
        <v>40</v>
      </c>
      <c r="C3575" t="s">
        <v>3380</v>
      </c>
      <c r="D3575" t="s">
        <v>42</v>
      </c>
      <c r="E3575" t="s">
        <v>43</v>
      </c>
      <c r="F3575" t="s">
        <v>44</v>
      </c>
      <c r="G3575" t="s">
        <v>45</v>
      </c>
      <c r="AH3575" t="s">
        <v>42</v>
      </c>
      <c r="AI3575" t="str">
        <f>"66298912812165"</f>
        <v>66298912812165</v>
      </c>
      <c r="AJ3575" t="str">
        <f>"P10012"</f>
        <v>P10012</v>
      </c>
      <c r="AK3575" t="s">
        <v>46</v>
      </c>
      <c r="AL3575" s="1">
        <v>44816.559351851851</v>
      </c>
      <c r="AM3575" t="s">
        <v>44</v>
      </c>
    </row>
    <row r="3576" spans="1:39" x14ac:dyDescent="0.2">
      <c r="A3576" t="s">
        <v>3390</v>
      </c>
      <c r="B3576" t="s">
        <v>40</v>
      </c>
      <c r="C3576" t="s">
        <v>3380</v>
      </c>
      <c r="D3576" t="s">
        <v>42</v>
      </c>
      <c r="E3576" t="s">
        <v>43</v>
      </c>
      <c r="F3576" t="s">
        <v>44</v>
      </c>
      <c r="G3576" t="s">
        <v>45</v>
      </c>
      <c r="AH3576" t="s">
        <v>42</v>
      </c>
      <c r="AI3576" t="str">
        <f>"2662"</f>
        <v>2662</v>
      </c>
      <c r="AJ3576" t="str">
        <f>"2662"</f>
        <v>2662</v>
      </c>
      <c r="AK3576" t="s">
        <v>46</v>
      </c>
      <c r="AL3576" s="1">
        <v>44888.83971064815</v>
      </c>
      <c r="AM3576" t="s">
        <v>44</v>
      </c>
    </row>
    <row r="3577" spans="1:39" x14ac:dyDescent="0.2">
      <c r="A3577" t="s">
        <v>3391</v>
      </c>
      <c r="B3577" t="s">
        <v>40</v>
      </c>
      <c r="C3577" t="s">
        <v>3380</v>
      </c>
      <c r="D3577" t="s">
        <v>42</v>
      </c>
      <c r="E3577" t="s">
        <v>43</v>
      </c>
      <c r="F3577" t="s">
        <v>44</v>
      </c>
      <c r="G3577" t="s">
        <v>45</v>
      </c>
      <c r="AH3577" t="s">
        <v>42</v>
      </c>
      <c r="AI3577" t="str">
        <f>"66298912851833"</f>
        <v>66298912851833</v>
      </c>
      <c r="AJ3577" t="str">
        <f>"06455-KSY-881JP"</f>
        <v>06455-KSY-881JP</v>
      </c>
      <c r="AK3577" t="s">
        <v>46</v>
      </c>
      <c r="AL3577" s="1">
        <v>44816.559351851851</v>
      </c>
      <c r="AM3577" t="s">
        <v>44</v>
      </c>
    </row>
    <row r="3578" spans="1:39" x14ac:dyDescent="0.2">
      <c r="A3578" t="s">
        <v>3392</v>
      </c>
      <c r="B3578" t="s">
        <v>40</v>
      </c>
      <c r="C3578" t="s">
        <v>3380</v>
      </c>
      <c r="D3578" t="s">
        <v>42</v>
      </c>
      <c r="E3578" t="s">
        <v>43</v>
      </c>
      <c r="F3578" t="s">
        <v>44</v>
      </c>
      <c r="G3578" t="s">
        <v>45</v>
      </c>
      <c r="AH3578" t="s">
        <v>42</v>
      </c>
      <c r="AI3578" t="str">
        <f>"66298912896209"</f>
        <v>66298912896209</v>
      </c>
      <c r="AJ3578" t="str">
        <f>"400276"</f>
        <v>400276</v>
      </c>
      <c r="AK3578" t="s">
        <v>46</v>
      </c>
      <c r="AL3578" s="1">
        <v>44816.559351851851</v>
      </c>
      <c r="AM3578" t="s">
        <v>44</v>
      </c>
    </row>
    <row r="3579" spans="1:39" x14ac:dyDescent="0.2">
      <c r="A3579" t="s">
        <v>3393</v>
      </c>
      <c r="B3579" t="s">
        <v>40</v>
      </c>
      <c r="C3579" t="s">
        <v>3380</v>
      </c>
      <c r="D3579" t="s">
        <v>42</v>
      </c>
      <c r="E3579" t="s">
        <v>43</v>
      </c>
      <c r="F3579" t="s">
        <v>44</v>
      </c>
      <c r="G3579" t="s">
        <v>45</v>
      </c>
      <c r="AH3579" t="s">
        <v>42</v>
      </c>
      <c r="AI3579" t="str">
        <f>"66298912939753"</f>
        <v>66298912939753</v>
      </c>
      <c r="AJ3579" t="str">
        <f>"P10029"</f>
        <v>P10029</v>
      </c>
      <c r="AK3579" t="s">
        <v>46</v>
      </c>
      <c r="AL3579" s="1">
        <v>44816.559363425928</v>
      </c>
      <c r="AM3579" t="s">
        <v>44</v>
      </c>
    </row>
    <row r="3580" spans="1:39" x14ac:dyDescent="0.2">
      <c r="A3580" t="s">
        <v>3394</v>
      </c>
      <c r="B3580" t="s">
        <v>40</v>
      </c>
      <c r="C3580" t="s">
        <v>3380</v>
      </c>
      <c r="D3580" t="s">
        <v>42</v>
      </c>
      <c r="E3580" t="s">
        <v>43</v>
      </c>
      <c r="F3580" t="s">
        <v>44</v>
      </c>
      <c r="G3580" t="s">
        <v>45</v>
      </c>
      <c r="AH3580" t="s">
        <v>42</v>
      </c>
      <c r="AI3580" t="str">
        <f>"66298912981274"</f>
        <v>66298912981274</v>
      </c>
      <c r="AJ3580" t="str">
        <f>"LMP172"</f>
        <v>LMP172</v>
      </c>
      <c r="AK3580" t="s">
        <v>46</v>
      </c>
      <c r="AL3580" s="1">
        <v>44816.559363425928</v>
      </c>
      <c r="AM3580" t="s">
        <v>44</v>
      </c>
    </row>
    <row r="3581" spans="1:39" x14ac:dyDescent="0.2">
      <c r="A3581" t="s">
        <v>3395</v>
      </c>
      <c r="B3581" t="s">
        <v>40</v>
      </c>
      <c r="C3581" t="s">
        <v>3380</v>
      </c>
      <c r="D3581" t="s">
        <v>42</v>
      </c>
      <c r="E3581" t="s">
        <v>43</v>
      </c>
      <c r="F3581" t="s">
        <v>44</v>
      </c>
      <c r="G3581" t="s">
        <v>45</v>
      </c>
      <c r="AH3581" t="s">
        <v>42</v>
      </c>
      <c r="AI3581" t="str">
        <f>"66298913027856"</f>
        <v>66298913027856</v>
      </c>
      <c r="AJ3581" t="str">
        <f>"P10008"</f>
        <v>P10008</v>
      </c>
      <c r="AK3581" t="s">
        <v>46</v>
      </c>
      <c r="AL3581" s="1">
        <v>44816.559374999997</v>
      </c>
      <c r="AM3581" t="s">
        <v>44</v>
      </c>
    </row>
    <row r="3582" spans="1:39" x14ac:dyDescent="0.2">
      <c r="A3582" t="s">
        <v>3396</v>
      </c>
      <c r="B3582" t="s">
        <v>40</v>
      </c>
      <c r="C3582" t="s">
        <v>3380</v>
      </c>
      <c r="D3582" t="s">
        <v>42</v>
      </c>
      <c r="E3582" t="s">
        <v>43</v>
      </c>
      <c r="F3582" t="s">
        <v>44</v>
      </c>
      <c r="G3582" t="s">
        <v>45</v>
      </c>
      <c r="AH3582" t="s">
        <v>42</v>
      </c>
      <c r="AI3582" t="str">
        <f>"U032P"</f>
        <v>U032P</v>
      </c>
      <c r="AJ3582" t="str">
        <f>"U032P"</f>
        <v>U032P</v>
      </c>
      <c r="AK3582" t="s">
        <v>46</v>
      </c>
      <c r="AL3582" s="1">
        <v>45093.638113425928</v>
      </c>
      <c r="AM3582" t="s">
        <v>44</v>
      </c>
    </row>
    <row r="3583" spans="1:39" x14ac:dyDescent="0.2">
      <c r="A3583" t="s">
        <v>3397</v>
      </c>
      <c r="B3583" t="s">
        <v>40</v>
      </c>
      <c r="C3583" t="s">
        <v>3380</v>
      </c>
      <c r="D3583" t="s">
        <v>42</v>
      </c>
      <c r="E3583" t="s">
        <v>43</v>
      </c>
      <c r="F3583" t="s">
        <v>44</v>
      </c>
      <c r="G3583" t="s">
        <v>45</v>
      </c>
      <c r="AH3583" t="s">
        <v>42</v>
      </c>
      <c r="AI3583" t="str">
        <f>"66298913074043"</f>
        <v>66298913074043</v>
      </c>
      <c r="AJ3583" t="str">
        <f>"LMP184"</f>
        <v>LMP184</v>
      </c>
      <c r="AK3583" t="s">
        <v>46</v>
      </c>
      <c r="AL3583" s="1">
        <v>44816.559374999997</v>
      </c>
      <c r="AM3583" t="s">
        <v>44</v>
      </c>
    </row>
    <row r="3584" spans="1:39" x14ac:dyDescent="0.2">
      <c r="A3584" t="s">
        <v>3398</v>
      </c>
      <c r="B3584" t="s">
        <v>40</v>
      </c>
      <c r="C3584" t="s">
        <v>3380</v>
      </c>
      <c r="D3584" t="s">
        <v>42</v>
      </c>
      <c r="E3584" t="s">
        <v>43</v>
      </c>
      <c r="F3584" t="s">
        <v>44</v>
      </c>
      <c r="G3584" t="s">
        <v>45</v>
      </c>
      <c r="AH3584" t="s">
        <v>42</v>
      </c>
      <c r="AI3584" t="str">
        <f>"66298913116267"</f>
        <v>66298913116267</v>
      </c>
      <c r="AJ3584" t="str">
        <f>"59300-H338-12JP"</f>
        <v>59300-H338-12JP</v>
      </c>
      <c r="AK3584" t="s">
        <v>46</v>
      </c>
      <c r="AL3584" s="1">
        <v>44816.559386574074</v>
      </c>
      <c r="AM3584" t="s">
        <v>44</v>
      </c>
    </row>
    <row r="3585" spans="1:39" x14ac:dyDescent="0.2">
      <c r="A3585" t="s">
        <v>3399</v>
      </c>
      <c r="B3585" t="s">
        <v>40</v>
      </c>
      <c r="C3585" t="s">
        <v>3380</v>
      </c>
      <c r="D3585" t="s">
        <v>42</v>
      </c>
      <c r="E3585" t="s">
        <v>43</v>
      </c>
      <c r="F3585" t="s">
        <v>44</v>
      </c>
      <c r="G3585" t="s">
        <v>45</v>
      </c>
      <c r="AH3585" t="s">
        <v>42</v>
      </c>
      <c r="AI3585" t="str">
        <f>"66298913159763"</f>
        <v>66298913159763</v>
      </c>
      <c r="AJ3585" t="str">
        <f>"400277"</f>
        <v>400277</v>
      </c>
      <c r="AK3585" t="s">
        <v>46</v>
      </c>
      <c r="AL3585" s="1">
        <v>44816.559386574074</v>
      </c>
      <c r="AM3585" t="s">
        <v>44</v>
      </c>
    </row>
    <row r="3586" spans="1:39" x14ac:dyDescent="0.2">
      <c r="A3586" t="s">
        <v>3400</v>
      </c>
      <c r="B3586" t="s">
        <v>40</v>
      </c>
      <c r="C3586" t="s">
        <v>3380</v>
      </c>
      <c r="D3586" t="s">
        <v>42</v>
      </c>
      <c r="E3586" t="s">
        <v>43</v>
      </c>
      <c r="F3586" t="s">
        <v>44</v>
      </c>
      <c r="G3586" t="s">
        <v>45</v>
      </c>
      <c r="AH3586" t="s">
        <v>42</v>
      </c>
      <c r="AI3586" t="str">
        <f>"U018P"</f>
        <v>U018P</v>
      </c>
      <c r="AJ3586" t="str">
        <f>"U018P"</f>
        <v>U018P</v>
      </c>
      <c r="AK3586" t="s">
        <v>46</v>
      </c>
      <c r="AL3586" s="1">
        <v>45093.780277777776</v>
      </c>
      <c r="AM3586" t="s">
        <v>44</v>
      </c>
    </row>
    <row r="3587" spans="1:39" x14ac:dyDescent="0.2">
      <c r="A3587" t="s">
        <v>3401</v>
      </c>
      <c r="B3587" t="s">
        <v>40</v>
      </c>
      <c r="C3587" t="s">
        <v>3380</v>
      </c>
      <c r="D3587" t="s">
        <v>42</v>
      </c>
      <c r="E3587" t="s">
        <v>43</v>
      </c>
      <c r="F3587" t="s">
        <v>44</v>
      </c>
      <c r="G3587" t="s">
        <v>45</v>
      </c>
      <c r="AH3587" t="s">
        <v>42</v>
      </c>
      <c r="AI3587" t="str">
        <f>"66298913200656"</f>
        <v>66298913200656</v>
      </c>
      <c r="AJ3587" t="str">
        <f>"LMP193"</f>
        <v>LMP193</v>
      </c>
      <c r="AK3587" t="s">
        <v>46</v>
      </c>
      <c r="AL3587" s="1">
        <v>44816.559398148151</v>
      </c>
      <c r="AM3587" t="s">
        <v>44</v>
      </c>
    </row>
    <row r="3588" spans="1:39" x14ac:dyDescent="0.2">
      <c r="A3588" t="s">
        <v>3402</v>
      </c>
      <c r="B3588" t="s">
        <v>40</v>
      </c>
      <c r="C3588" t="s">
        <v>3380</v>
      </c>
      <c r="D3588" t="s">
        <v>42</v>
      </c>
      <c r="E3588" t="s">
        <v>43</v>
      </c>
      <c r="F3588" t="s">
        <v>44</v>
      </c>
      <c r="G3588" t="s">
        <v>45</v>
      </c>
      <c r="AH3588" t="s">
        <v>42</v>
      </c>
      <c r="AI3588" t="str">
        <f>"66298913243045"</f>
        <v>66298913243045</v>
      </c>
      <c r="AJ3588" t="str">
        <f>"P203"</f>
        <v>P203</v>
      </c>
      <c r="AK3588" t="s">
        <v>46</v>
      </c>
      <c r="AL3588" s="1">
        <v>44816.559398148151</v>
      </c>
      <c r="AM3588" t="s">
        <v>44</v>
      </c>
    </row>
    <row r="3589" spans="1:39" x14ac:dyDescent="0.2">
      <c r="A3589" t="s">
        <v>3403</v>
      </c>
      <c r="B3589" t="s">
        <v>40</v>
      </c>
      <c r="C3589" t="s">
        <v>3380</v>
      </c>
      <c r="D3589" t="s">
        <v>42</v>
      </c>
      <c r="E3589" t="s">
        <v>43</v>
      </c>
      <c r="F3589" t="s">
        <v>44</v>
      </c>
      <c r="G3589" t="s">
        <v>45</v>
      </c>
      <c r="AH3589" t="s">
        <v>42</v>
      </c>
      <c r="AI3589" t="str">
        <f>"66298913290440"</f>
        <v>66298913290440</v>
      </c>
      <c r="AJ3589" t="str">
        <f>"P10013"</f>
        <v>P10013</v>
      </c>
      <c r="AK3589" t="s">
        <v>46</v>
      </c>
      <c r="AL3589" s="1">
        <v>44816.559398148151</v>
      </c>
      <c r="AM3589" t="s">
        <v>44</v>
      </c>
    </row>
    <row r="3590" spans="1:39" x14ac:dyDescent="0.2">
      <c r="A3590" t="s">
        <v>3404</v>
      </c>
      <c r="B3590" t="s">
        <v>40</v>
      </c>
      <c r="C3590" t="s">
        <v>3380</v>
      </c>
      <c r="D3590" t="s">
        <v>42</v>
      </c>
      <c r="E3590" t="s">
        <v>43</v>
      </c>
      <c r="F3590" t="s">
        <v>44</v>
      </c>
      <c r="G3590" t="s">
        <v>45</v>
      </c>
      <c r="AH3590" t="s">
        <v>42</v>
      </c>
      <c r="AI3590" t="str">
        <f>"66298913344177"</f>
        <v>66298913344177</v>
      </c>
      <c r="AJ3590" t="str">
        <f>"U017HQ"</f>
        <v>U017HQ</v>
      </c>
      <c r="AK3590" t="s">
        <v>46</v>
      </c>
      <c r="AL3590" s="1">
        <v>44816.55940972222</v>
      </c>
      <c r="AM3590" t="s">
        <v>44</v>
      </c>
    </row>
    <row r="3591" spans="1:39" x14ac:dyDescent="0.2">
      <c r="A3591" t="s">
        <v>3404</v>
      </c>
      <c r="B3591" t="s">
        <v>40</v>
      </c>
      <c r="C3591" t="s">
        <v>3380</v>
      </c>
      <c r="D3591" t="s">
        <v>42</v>
      </c>
      <c r="E3591" t="s">
        <v>43</v>
      </c>
      <c r="F3591" t="s">
        <v>44</v>
      </c>
      <c r="G3591" t="s">
        <v>45</v>
      </c>
      <c r="H3591" t="s">
        <v>3405</v>
      </c>
      <c r="AH3591" t="s">
        <v>42</v>
      </c>
      <c r="AI3591" t="str">
        <f>"66298913336132"</f>
        <v>66298913336132</v>
      </c>
      <c r="AJ3591" t="str">
        <f>"P204"</f>
        <v>P204</v>
      </c>
      <c r="AK3591" t="s">
        <v>46</v>
      </c>
      <c r="AL3591" s="1">
        <v>44816.55940972222</v>
      </c>
      <c r="AM3591" t="s">
        <v>44</v>
      </c>
    </row>
    <row r="3592" spans="1:39" x14ac:dyDescent="0.2">
      <c r="A3592" t="s">
        <v>3406</v>
      </c>
      <c r="B3592" t="s">
        <v>40</v>
      </c>
      <c r="C3592" t="s">
        <v>3380</v>
      </c>
      <c r="D3592" t="s">
        <v>42</v>
      </c>
      <c r="E3592" t="s">
        <v>43</v>
      </c>
      <c r="F3592" t="s">
        <v>44</v>
      </c>
      <c r="G3592" t="s">
        <v>45</v>
      </c>
      <c r="AH3592" t="s">
        <v>42</v>
      </c>
      <c r="AI3592" t="str">
        <f>"66298913401418"</f>
        <v>66298913401418</v>
      </c>
      <c r="AJ3592" t="str">
        <f>"P10010"</f>
        <v>P10010</v>
      </c>
      <c r="AK3592" t="s">
        <v>46</v>
      </c>
      <c r="AL3592" s="1">
        <v>44816.559421296297</v>
      </c>
      <c r="AM3592" t="s">
        <v>44</v>
      </c>
    </row>
    <row r="3593" spans="1:39" x14ac:dyDescent="0.2">
      <c r="A3593" t="s">
        <v>3407</v>
      </c>
      <c r="B3593" t="s">
        <v>40</v>
      </c>
      <c r="C3593" t="s">
        <v>3380</v>
      </c>
      <c r="D3593" t="s">
        <v>42</v>
      </c>
      <c r="E3593" t="s">
        <v>43</v>
      </c>
      <c r="F3593" t="s">
        <v>44</v>
      </c>
      <c r="G3593" t="s">
        <v>45</v>
      </c>
      <c r="AH3593" t="s">
        <v>42</v>
      </c>
      <c r="AI3593" t="str">
        <f>"66298913443305"</f>
        <v>66298913443305</v>
      </c>
      <c r="AJ3593" t="str">
        <f>"400278"</f>
        <v>400278</v>
      </c>
      <c r="AK3593" t="s">
        <v>46</v>
      </c>
      <c r="AL3593" s="1">
        <v>44816.559421296297</v>
      </c>
      <c r="AM3593" t="s">
        <v>44</v>
      </c>
    </row>
    <row r="3594" spans="1:39" x14ac:dyDescent="0.2">
      <c r="A3594" t="s">
        <v>3408</v>
      </c>
      <c r="B3594" t="s">
        <v>40</v>
      </c>
      <c r="C3594" t="s">
        <v>3380</v>
      </c>
      <c r="D3594" t="s">
        <v>42</v>
      </c>
      <c r="E3594" t="s">
        <v>43</v>
      </c>
      <c r="F3594" t="s">
        <v>44</v>
      </c>
      <c r="G3594" t="s">
        <v>45</v>
      </c>
      <c r="AH3594" t="s">
        <v>42</v>
      </c>
      <c r="AI3594" t="str">
        <f>"66298913485147"</f>
        <v>66298913485147</v>
      </c>
      <c r="AJ3594" t="str">
        <f>"43105-KZ1-415JP"</f>
        <v>43105-KZ1-415JP</v>
      </c>
      <c r="AK3594" t="s">
        <v>46</v>
      </c>
      <c r="AL3594" s="1">
        <v>44816.559421296297</v>
      </c>
      <c r="AM3594" t="s">
        <v>44</v>
      </c>
    </row>
    <row r="3595" spans="1:39" x14ac:dyDescent="0.2">
      <c r="A3595" t="s">
        <v>3409</v>
      </c>
      <c r="B3595" t="s">
        <v>40</v>
      </c>
      <c r="C3595" t="s">
        <v>3380</v>
      </c>
      <c r="D3595" t="s">
        <v>42</v>
      </c>
      <c r="E3595" t="s">
        <v>43</v>
      </c>
      <c r="F3595" t="s">
        <v>44</v>
      </c>
      <c r="G3595" t="s">
        <v>45</v>
      </c>
      <c r="AH3595" t="s">
        <v>42</v>
      </c>
      <c r="AI3595" t="str">
        <f>"66298913569269"</f>
        <v>66298913569269</v>
      </c>
      <c r="AJ3595" t="str">
        <f>"400279"</f>
        <v>400279</v>
      </c>
      <c r="AK3595" t="s">
        <v>46</v>
      </c>
      <c r="AL3595" s="1">
        <v>44816.559432870374</v>
      </c>
      <c r="AM3595" t="s">
        <v>44</v>
      </c>
    </row>
    <row r="3596" spans="1:39" x14ac:dyDescent="0.2">
      <c r="A3596" t="s">
        <v>3410</v>
      </c>
      <c r="B3596" t="s">
        <v>40</v>
      </c>
      <c r="C3596" t="s">
        <v>3380</v>
      </c>
      <c r="D3596" t="s">
        <v>42</v>
      </c>
      <c r="E3596" t="s">
        <v>43</v>
      </c>
      <c r="F3596" t="s">
        <v>44</v>
      </c>
      <c r="G3596" t="s">
        <v>45</v>
      </c>
      <c r="AH3596" t="s">
        <v>42</v>
      </c>
      <c r="AI3596" t="str">
        <f>"66298913610131"</f>
        <v>66298913610131</v>
      </c>
      <c r="AJ3596" t="str">
        <f>"U001"</f>
        <v>U001</v>
      </c>
      <c r="AK3596" t="s">
        <v>46</v>
      </c>
      <c r="AL3596" s="1">
        <v>44816.559444444443</v>
      </c>
      <c r="AM3596" t="s">
        <v>44</v>
      </c>
    </row>
    <row r="3597" spans="1:39" x14ac:dyDescent="0.2">
      <c r="A3597" t="s">
        <v>3411</v>
      </c>
      <c r="B3597" t="s">
        <v>40</v>
      </c>
      <c r="C3597" t="s">
        <v>3380</v>
      </c>
      <c r="D3597" t="s">
        <v>42</v>
      </c>
      <c r="E3597" t="s">
        <v>43</v>
      </c>
      <c r="F3597" t="s">
        <v>44</v>
      </c>
      <c r="G3597" t="s">
        <v>45</v>
      </c>
      <c r="AH3597" t="s">
        <v>42</v>
      </c>
      <c r="AI3597" t="str">
        <f>"U004P"</f>
        <v>U004P</v>
      </c>
      <c r="AJ3597" t="str">
        <f>"U004P"</f>
        <v>U004P</v>
      </c>
      <c r="AK3597" t="s">
        <v>46</v>
      </c>
      <c r="AL3597" s="1">
        <v>45093.80667824074</v>
      </c>
      <c r="AM3597" t="s">
        <v>44</v>
      </c>
    </row>
    <row r="3598" spans="1:39" x14ac:dyDescent="0.2">
      <c r="A3598" t="s">
        <v>3412</v>
      </c>
      <c r="B3598" t="s">
        <v>40</v>
      </c>
      <c r="C3598" t="s">
        <v>3380</v>
      </c>
      <c r="D3598" t="s">
        <v>42</v>
      </c>
      <c r="E3598" t="s">
        <v>43</v>
      </c>
      <c r="F3598" t="s">
        <v>44</v>
      </c>
      <c r="G3598" t="s">
        <v>45</v>
      </c>
      <c r="AH3598" t="s">
        <v>42</v>
      </c>
      <c r="AI3598" t="str">
        <f>"66298913528348"</f>
        <v>66298913528348</v>
      </c>
      <c r="AJ3598" t="str">
        <f>"59300-48810CM"</f>
        <v>59300-48810CM</v>
      </c>
      <c r="AK3598" t="s">
        <v>46</v>
      </c>
      <c r="AL3598" s="1">
        <v>44816.559432870374</v>
      </c>
      <c r="AM3598" t="s">
        <v>44</v>
      </c>
    </row>
    <row r="3599" spans="1:39" x14ac:dyDescent="0.2">
      <c r="A3599" t="s">
        <v>3413</v>
      </c>
      <c r="B3599" t="s">
        <v>40</v>
      </c>
      <c r="C3599" t="s">
        <v>3380</v>
      </c>
      <c r="D3599" t="s">
        <v>42</v>
      </c>
      <c r="E3599" t="s">
        <v>43</v>
      </c>
      <c r="F3599" t="s">
        <v>44</v>
      </c>
      <c r="G3599" t="s">
        <v>45</v>
      </c>
      <c r="AH3599" t="s">
        <v>42</v>
      </c>
      <c r="AI3599" t="str">
        <f>"66298913650028"</f>
        <v>66298913650028</v>
      </c>
      <c r="AJ3599" t="str">
        <f>"P10004"</f>
        <v>P10004</v>
      </c>
      <c r="AK3599" t="s">
        <v>46</v>
      </c>
      <c r="AL3599" s="1">
        <v>44816.559444444443</v>
      </c>
      <c r="AM3599" t="s">
        <v>44</v>
      </c>
    </row>
    <row r="3600" spans="1:39" x14ac:dyDescent="0.2">
      <c r="A3600" t="s">
        <v>3414</v>
      </c>
      <c r="B3600" t="s">
        <v>40</v>
      </c>
      <c r="C3600" t="s">
        <v>3380</v>
      </c>
      <c r="D3600" t="s">
        <v>42</v>
      </c>
      <c r="E3600" t="s">
        <v>43</v>
      </c>
      <c r="F3600" t="s">
        <v>44</v>
      </c>
      <c r="G3600" t="s">
        <v>45</v>
      </c>
      <c r="AH3600" t="s">
        <v>42</v>
      </c>
      <c r="AI3600" t="str">
        <f>"66298913692712"</f>
        <v>66298913692712</v>
      </c>
      <c r="AJ3600" t="str">
        <f>"69100-48820JP"</f>
        <v>69100-48820JP</v>
      </c>
      <c r="AK3600" t="s">
        <v>46</v>
      </c>
      <c r="AL3600" s="1">
        <v>44816.559444444443</v>
      </c>
      <c r="AM3600" t="s">
        <v>44</v>
      </c>
    </row>
    <row r="3601" spans="1:39" x14ac:dyDescent="0.2">
      <c r="A3601" t="s">
        <v>3415</v>
      </c>
      <c r="B3601" t="s">
        <v>40</v>
      </c>
      <c r="C3601" t="s">
        <v>3380</v>
      </c>
      <c r="D3601" t="s">
        <v>42</v>
      </c>
      <c r="E3601" t="s">
        <v>43</v>
      </c>
      <c r="F3601" t="s">
        <v>44</v>
      </c>
      <c r="G3601" t="s">
        <v>45</v>
      </c>
      <c r="AH3601" t="s">
        <v>42</v>
      </c>
      <c r="AI3601" t="str">
        <f>"101858"</f>
        <v>101858</v>
      </c>
      <c r="AJ3601" t="str">
        <f>"101858"</f>
        <v>101858</v>
      </c>
      <c r="AK3601" t="s">
        <v>46</v>
      </c>
      <c r="AL3601" s="1">
        <v>45087.666701388887</v>
      </c>
      <c r="AM3601" t="s">
        <v>44</v>
      </c>
    </row>
    <row r="3602" spans="1:39" x14ac:dyDescent="0.2">
      <c r="A3602" t="s">
        <v>3416</v>
      </c>
      <c r="B3602" t="s">
        <v>40</v>
      </c>
      <c r="C3602" t="s">
        <v>3380</v>
      </c>
      <c r="D3602" t="s">
        <v>42</v>
      </c>
      <c r="E3602" t="s">
        <v>43</v>
      </c>
      <c r="F3602" t="s">
        <v>44</v>
      </c>
      <c r="G3602" t="s">
        <v>45</v>
      </c>
      <c r="AH3602" t="s">
        <v>42</v>
      </c>
      <c r="AI3602" t="str">
        <f>"66298913730496"</f>
        <v>66298913730496</v>
      </c>
      <c r="AJ3602" t="str">
        <f>"400280"</f>
        <v>400280</v>
      </c>
      <c r="AK3602" t="s">
        <v>46</v>
      </c>
      <c r="AL3602" s="1">
        <v>44816.55945601852</v>
      </c>
      <c r="AM3602" t="s">
        <v>44</v>
      </c>
    </row>
    <row r="3603" spans="1:39" x14ac:dyDescent="0.2">
      <c r="A3603" t="s">
        <v>3417</v>
      </c>
      <c r="B3603" t="s">
        <v>40</v>
      </c>
      <c r="C3603" t="s">
        <v>3380</v>
      </c>
      <c r="D3603" t="s">
        <v>42</v>
      </c>
      <c r="E3603" t="s">
        <v>43</v>
      </c>
      <c r="F3603" t="s">
        <v>44</v>
      </c>
      <c r="G3603" t="s">
        <v>45</v>
      </c>
      <c r="AH3603" t="s">
        <v>42</v>
      </c>
      <c r="AI3603" t="str">
        <f>"2NA-W0045-00JP"</f>
        <v>2NA-W0045-00JP</v>
      </c>
      <c r="AJ3603" t="str">
        <f>"2NA-W0045-00JP"</f>
        <v>2NA-W0045-00JP</v>
      </c>
      <c r="AK3603" t="s">
        <v>46</v>
      </c>
      <c r="AL3603" s="1">
        <v>44819.600937499999</v>
      </c>
      <c r="AM3603" t="s">
        <v>44</v>
      </c>
    </row>
    <row r="3604" spans="1:39" x14ac:dyDescent="0.2">
      <c r="A3604" t="s">
        <v>3418</v>
      </c>
      <c r="B3604" t="s">
        <v>40</v>
      </c>
      <c r="C3604" t="s">
        <v>3380</v>
      </c>
      <c r="D3604" t="s">
        <v>42</v>
      </c>
      <c r="E3604" t="s">
        <v>43</v>
      </c>
      <c r="F3604" t="s">
        <v>44</v>
      </c>
      <c r="G3604" t="s">
        <v>45</v>
      </c>
      <c r="AH3604" t="s">
        <v>42</v>
      </c>
      <c r="AI3604" t="str">
        <f>"66298913772029"</f>
        <v>66298913772029</v>
      </c>
      <c r="AJ3604" t="str">
        <f>"LMP222"</f>
        <v>LMP222</v>
      </c>
      <c r="AK3604" t="s">
        <v>46</v>
      </c>
      <c r="AL3604" s="1">
        <v>44816.55945601852</v>
      </c>
      <c r="AM3604" t="s">
        <v>44</v>
      </c>
    </row>
    <row r="3605" spans="1:39" x14ac:dyDescent="0.2">
      <c r="A3605" t="s">
        <v>3419</v>
      </c>
      <c r="B3605" t="s">
        <v>40</v>
      </c>
      <c r="C3605" t="s">
        <v>3380</v>
      </c>
      <c r="D3605" t="s">
        <v>42</v>
      </c>
      <c r="E3605" t="s">
        <v>43</v>
      </c>
      <c r="F3605" t="s">
        <v>44</v>
      </c>
      <c r="G3605" t="s">
        <v>45</v>
      </c>
      <c r="AH3605" t="s">
        <v>42</v>
      </c>
      <c r="AI3605" t="str">
        <f>"66298913815242"</f>
        <v>66298913815242</v>
      </c>
      <c r="AJ3605" t="str">
        <f>"LMP224"</f>
        <v>LMP224</v>
      </c>
      <c r="AK3605" t="s">
        <v>46</v>
      </c>
      <c r="AL3605" s="1">
        <v>44816.559467592589</v>
      </c>
      <c r="AM3605" t="s">
        <v>44</v>
      </c>
    </row>
    <row r="3606" spans="1:39" x14ac:dyDescent="0.2">
      <c r="A3606" t="s">
        <v>3420</v>
      </c>
      <c r="B3606" t="s">
        <v>40</v>
      </c>
      <c r="C3606" t="s">
        <v>3380</v>
      </c>
      <c r="D3606" t="s">
        <v>42</v>
      </c>
      <c r="E3606" t="s">
        <v>43</v>
      </c>
      <c r="F3606" t="s">
        <v>44</v>
      </c>
      <c r="G3606" t="s">
        <v>45</v>
      </c>
      <c r="AH3606" t="s">
        <v>42</v>
      </c>
      <c r="AI3606" t="str">
        <f>"66298913856941"</f>
        <v>66298913856941</v>
      </c>
      <c r="AJ3606" t="str">
        <f>"LMP226"</f>
        <v>LMP226</v>
      </c>
      <c r="AK3606" t="s">
        <v>46</v>
      </c>
      <c r="AL3606" s="1">
        <v>44816.559467592589</v>
      </c>
      <c r="AM3606" t="s">
        <v>44</v>
      </c>
    </row>
    <row r="3607" spans="1:39" x14ac:dyDescent="0.2">
      <c r="A3607" t="s">
        <v>3421</v>
      </c>
      <c r="B3607" t="s">
        <v>40</v>
      </c>
      <c r="C3607" t="s">
        <v>3380</v>
      </c>
      <c r="D3607" t="s">
        <v>42</v>
      </c>
      <c r="E3607" t="s">
        <v>43</v>
      </c>
      <c r="F3607" t="s">
        <v>44</v>
      </c>
      <c r="G3607" t="s">
        <v>45</v>
      </c>
      <c r="AH3607" t="s">
        <v>42</v>
      </c>
      <c r="AI3607" t="str">
        <f>"66298913897668"</f>
        <v>66298913897668</v>
      </c>
      <c r="AJ3607" t="str">
        <f>"400281"</f>
        <v>400281</v>
      </c>
      <c r="AK3607" t="s">
        <v>46</v>
      </c>
      <c r="AL3607" s="1">
        <v>44816.559467592589</v>
      </c>
      <c r="AM3607" t="s">
        <v>44</v>
      </c>
    </row>
    <row r="3608" spans="1:39" x14ac:dyDescent="0.2">
      <c r="A3608" t="s">
        <v>3422</v>
      </c>
      <c r="B3608" t="s">
        <v>40</v>
      </c>
      <c r="C3608" t="s">
        <v>3380</v>
      </c>
      <c r="D3608" t="s">
        <v>42</v>
      </c>
      <c r="E3608" t="s">
        <v>43</v>
      </c>
      <c r="F3608" t="s">
        <v>44</v>
      </c>
      <c r="G3608" t="s">
        <v>45</v>
      </c>
      <c r="AH3608" t="s">
        <v>42</v>
      </c>
      <c r="AI3608" t="str">
        <f>"1769"</f>
        <v>1769</v>
      </c>
      <c r="AJ3608" t="str">
        <f>"1769"</f>
        <v>1769</v>
      </c>
      <c r="AK3608" t="s">
        <v>46</v>
      </c>
      <c r="AL3608" s="1">
        <v>44897.62358796296</v>
      </c>
      <c r="AM3608" t="s">
        <v>44</v>
      </c>
    </row>
    <row r="3609" spans="1:39" x14ac:dyDescent="0.2">
      <c r="A3609" t="s">
        <v>3423</v>
      </c>
      <c r="B3609" t="s">
        <v>40</v>
      </c>
      <c r="C3609" t="s">
        <v>3380</v>
      </c>
      <c r="D3609" t="s">
        <v>42</v>
      </c>
      <c r="E3609" t="s">
        <v>43</v>
      </c>
      <c r="F3609" t="s">
        <v>44</v>
      </c>
      <c r="G3609" t="s">
        <v>45</v>
      </c>
      <c r="AH3609" t="s">
        <v>42</v>
      </c>
      <c r="AI3609" t="str">
        <f>"66298913980534"</f>
        <v>66298913980534</v>
      </c>
      <c r="AJ3609" t="str">
        <f>"400282"</f>
        <v>400282</v>
      </c>
      <c r="AK3609" t="s">
        <v>46</v>
      </c>
      <c r="AL3609" s="1">
        <v>44816.559479166666</v>
      </c>
      <c r="AM3609" t="s">
        <v>44</v>
      </c>
    </row>
    <row r="3610" spans="1:39" x14ac:dyDescent="0.2">
      <c r="A3610" t="s">
        <v>3424</v>
      </c>
      <c r="B3610" t="s">
        <v>40</v>
      </c>
      <c r="C3610" t="s">
        <v>3380</v>
      </c>
      <c r="D3610" t="s">
        <v>42</v>
      </c>
      <c r="E3610" t="s">
        <v>43</v>
      </c>
      <c r="F3610" t="s">
        <v>44</v>
      </c>
      <c r="G3610" t="s">
        <v>45</v>
      </c>
      <c r="AH3610" t="s">
        <v>42</v>
      </c>
      <c r="AI3610" t="str">
        <f>"66298913937193"</f>
        <v>66298913937193</v>
      </c>
      <c r="AJ3610" t="str">
        <f>"69100-15810JP"</f>
        <v>69100-15810JP</v>
      </c>
      <c r="AK3610" t="s">
        <v>46</v>
      </c>
      <c r="AL3610" s="1">
        <v>44816.559479166666</v>
      </c>
      <c r="AM3610" t="s">
        <v>44</v>
      </c>
    </row>
    <row r="3611" spans="1:39" x14ac:dyDescent="0.2">
      <c r="A3611" t="s">
        <v>3424</v>
      </c>
      <c r="B3611" t="s">
        <v>40</v>
      </c>
      <c r="C3611" t="s">
        <v>3380</v>
      </c>
      <c r="D3611" t="s">
        <v>42</v>
      </c>
      <c r="E3611" t="s">
        <v>43</v>
      </c>
      <c r="F3611" t="s">
        <v>44</v>
      </c>
      <c r="G3611" t="s">
        <v>45</v>
      </c>
      <c r="AH3611" t="s">
        <v>42</v>
      </c>
      <c r="AI3611" t="str">
        <f>"11412"</f>
        <v>11412</v>
      </c>
      <c r="AJ3611" t="str">
        <f>"11412"</f>
        <v>11412</v>
      </c>
      <c r="AK3611" t="s">
        <v>46</v>
      </c>
      <c r="AL3611" s="1">
        <v>44907.802210648151</v>
      </c>
      <c r="AM3611" t="s">
        <v>44</v>
      </c>
    </row>
    <row r="3612" spans="1:39" x14ac:dyDescent="0.2">
      <c r="A3612" t="s">
        <v>3425</v>
      </c>
      <c r="B3612" t="s">
        <v>40</v>
      </c>
      <c r="C3612" t="s">
        <v>3380</v>
      </c>
      <c r="D3612" t="s">
        <v>42</v>
      </c>
      <c r="E3612" t="s">
        <v>43</v>
      </c>
      <c r="F3612" t="s">
        <v>44</v>
      </c>
      <c r="G3612" t="s">
        <v>45</v>
      </c>
      <c r="AH3612" t="s">
        <v>42</v>
      </c>
      <c r="AI3612" t="str">
        <f>"66298914020025"</f>
        <v>66298914020025</v>
      </c>
      <c r="AJ3612" t="str">
        <f>"LMP234"</f>
        <v>LMP234</v>
      </c>
      <c r="AK3612" t="s">
        <v>46</v>
      </c>
      <c r="AL3612" s="1">
        <v>44816.559490740743</v>
      </c>
      <c r="AM3612" t="s">
        <v>44</v>
      </c>
    </row>
    <row r="3613" spans="1:39" x14ac:dyDescent="0.2">
      <c r="A3613" t="s">
        <v>3426</v>
      </c>
      <c r="B3613" t="s">
        <v>40</v>
      </c>
      <c r="C3613" t="s">
        <v>3380</v>
      </c>
      <c r="D3613" t="s">
        <v>42</v>
      </c>
      <c r="E3613" t="s">
        <v>43</v>
      </c>
      <c r="F3613" t="s">
        <v>44</v>
      </c>
      <c r="G3613" t="s">
        <v>45</v>
      </c>
      <c r="AH3613" t="s">
        <v>42</v>
      </c>
      <c r="AI3613" t="str">
        <f>"43082-1128-CM"</f>
        <v>43082-1128-CM</v>
      </c>
      <c r="AJ3613" t="str">
        <f>"43082-1128-CM"</f>
        <v>43082-1128-CM</v>
      </c>
      <c r="AK3613" t="s">
        <v>46</v>
      </c>
      <c r="AL3613" s="1">
        <v>44872.642488425925</v>
      </c>
      <c r="AM3613" t="s">
        <v>44</v>
      </c>
    </row>
    <row r="3614" spans="1:39" x14ac:dyDescent="0.2">
      <c r="A3614" t="s">
        <v>3427</v>
      </c>
      <c r="B3614" t="s">
        <v>40</v>
      </c>
      <c r="C3614" t="s">
        <v>3380</v>
      </c>
      <c r="D3614" t="s">
        <v>42</v>
      </c>
      <c r="E3614" t="s">
        <v>43</v>
      </c>
      <c r="F3614" t="s">
        <v>44</v>
      </c>
      <c r="G3614" t="s">
        <v>45</v>
      </c>
      <c r="AH3614" t="s">
        <v>42</v>
      </c>
      <c r="AI3614" t="str">
        <f>"66298914137614"</f>
        <v>66298914137614</v>
      </c>
      <c r="AJ3614" t="str">
        <f>"400283"</f>
        <v>400283</v>
      </c>
      <c r="AK3614" t="s">
        <v>46</v>
      </c>
      <c r="AL3614" s="1">
        <v>44816.559502314813</v>
      </c>
      <c r="AM3614" t="s">
        <v>44</v>
      </c>
    </row>
    <row r="3615" spans="1:39" x14ac:dyDescent="0.2">
      <c r="A3615" t="s">
        <v>3428</v>
      </c>
      <c r="B3615" t="s">
        <v>40</v>
      </c>
      <c r="C3615" t="s">
        <v>3380</v>
      </c>
      <c r="D3615" t="s">
        <v>42</v>
      </c>
      <c r="E3615" t="s">
        <v>43</v>
      </c>
      <c r="F3615" t="s">
        <v>44</v>
      </c>
      <c r="G3615" t="s">
        <v>45</v>
      </c>
      <c r="AH3615" t="s">
        <v>42</v>
      </c>
      <c r="AI3615" t="str">
        <f>"66298914098998"</f>
        <v>66298914098998</v>
      </c>
      <c r="AJ3615" t="str">
        <f>"FA197HH"</f>
        <v>FA197HH</v>
      </c>
      <c r="AK3615" t="s">
        <v>46</v>
      </c>
      <c r="AL3615" s="1">
        <v>44816.559490740743</v>
      </c>
      <c r="AM3615" t="s">
        <v>44</v>
      </c>
    </row>
    <row r="3616" spans="1:39" x14ac:dyDescent="0.2">
      <c r="A3616" t="s">
        <v>3429</v>
      </c>
      <c r="B3616" t="s">
        <v>40</v>
      </c>
      <c r="C3616" t="s">
        <v>3380</v>
      </c>
      <c r="D3616" t="s">
        <v>42</v>
      </c>
      <c r="E3616" t="s">
        <v>43</v>
      </c>
      <c r="F3616" t="s">
        <v>44</v>
      </c>
      <c r="G3616" t="s">
        <v>45</v>
      </c>
      <c r="AH3616" t="s">
        <v>42</v>
      </c>
      <c r="AI3616" t="str">
        <f>"66298914057523"</f>
        <v>66298914057523</v>
      </c>
      <c r="AJ3616" t="str">
        <f>"MN146"</f>
        <v>MN146</v>
      </c>
      <c r="AK3616" t="s">
        <v>46</v>
      </c>
      <c r="AL3616" s="1">
        <v>44816.559490740743</v>
      </c>
      <c r="AM3616" t="s">
        <v>44</v>
      </c>
    </row>
    <row r="3617" spans="1:39" x14ac:dyDescent="0.2">
      <c r="A3617" t="s">
        <v>3430</v>
      </c>
      <c r="B3617" t="s">
        <v>40</v>
      </c>
      <c r="C3617" t="s">
        <v>3380</v>
      </c>
      <c r="D3617" t="s">
        <v>42</v>
      </c>
      <c r="E3617" t="s">
        <v>43</v>
      </c>
      <c r="F3617" t="s">
        <v>44</v>
      </c>
      <c r="G3617" t="s">
        <v>45</v>
      </c>
      <c r="AH3617" t="s">
        <v>42</v>
      </c>
      <c r="AI3617" t="str">
        <f>"66298914177319"</f>
        <v>66298914177319</v>
      </c>
      <c r="AJ3617" t="str">
        <f>"VD248KEVLA"</f>
        <v>VD248KEVLA</v>
      </c>
      <c r="AK3617" t="s">
        <v>46</v>
      </c>
      <c r="AL3617" s="1">
        <v>44816.559502314813</v>
      </c>
      <c r="AM3617" t="s">
        <v>44</v>
      </c>
    </row>
    <row r="3618" spans="1:39" x14ac:dyDescent="0.2">
      <c r="A3618" t="s">
        <v>3431</v>
      </c>
      <c r="B3618" t="s">
        <v>40</v>
      </c>
      <c r="C3618" t="s">
        <v>3380</v>
      </c>
      <c r="D3618" t="s">
        <v>42</v>
      </c>
      <c r="E3618" t="s">
        <v>43</v>
      </c>
      <c r="F3618" t="s">
        <v>44</v>
      </c>
      <c r="G3618" t="s">
        <v>45</v>
      </c>
      <c r="AH3618" t="s">
        <v>42</v>
      </c>
      <c r="AI3618" t="str">
        <f>"66298914216389"</f>
        <v>66298914216389</v>
      </c>
      <c r="AJ3618" t="str">
        <f>"FA174HH"</f>
        <v>FA174HH</v>
      </c>
      <c r="AK3618" t="s">
        <v>46</v>
      </c>
      <c r="AL3618" s="1">
        <v>44816.559513888889</v>
      </c>
      <c r="AM3618" t="s">
        <v>44</v>
      </c>
    </row>
    <row r="3619" spans="1:39" x14ac:dyDescent="0.2">
      <c r="A3619" t="s">
        <v>3432</v>
      </c>
      <c r="B3619" t="s">
        <v>40</v>
      </c>
      <c r="C3619" t="s">
        <v>3380</v>
      </c>
      <c r="D3619" t="s">
        <v>42</v>
      </c>
      <c r="E3619" t="s">
        <v>43</v>
      </c>
      <c r="F3619" t="s">
        <v>44</v>
      </c>
      <c r="G3619" t="s">
        <v>45</v>
      </c>
      <c r="AH3619" t="s">
        <v>42</v>
      </c>
      <c r="AI3619" t="str">
        <f>"66298914254445"</f>
        <v>66298914254445</v>
      </c>
      <c r="AJ3619" t="str">
        <f>"400284"</f>
        <v>400284</v>
      </c>
      <c r="AK3619" t="s">
        <v>46</v>
      </c>
      <c r="AL3619" s="1">
        <v>44816.559513888889</v>
      </c>
      <c r="AM3619" t="s">
        <v>44</v>
      </c>
    </row>
    <row r="3620" spans="1:39" x14ac:dyDescent="0.2">
      <c r="A3620" t="s">
        <v>3433</v>
      </c>
      <c r="B3620" t="s">
        <v>40</v>
      </c>
      <c r="C3620" t="s">
        <v>3380</v>
      </c>
      <c r="D3620" t="s">
        <v>42</v>
      </c>
      <c r="E3620" t="s">
        <v>43</v>
      </c>
      <c r="F3620" t="s">
        <v>44</v>
      </c>
      <c r="G3620" t="s">
        <v>45</v>
      </c>
      <c r="AH3620" t="s">
        <v>42</v>
      </c>
      <c r="AI3620" t="str">
        <f>"LMP257SR"</f>
        <v>LMP257SR</v>
      </c>
      <c r="AJ3620" t="str">
        <f>"LMP257SR"</f>
        <v>LMP257SR</v>
      </c>
      <c r="AK3620" t="s">
        <v>46</v>
      </c>
      <c r="AL3620" s="1">
        <v>44914.636423611111</v>
      </c>
      <c r="AM3620" t="s">
        <v>44</v>
      </c>
    </row>
    <row r="3621" spans="1:39" x14ac:dyDescent="0.2">
      <c r="A3621" t="s">
        <v>3434</v>
      </c>
      <c r="B3621" t="s">
        <v>40</v>
      </c>
      <c r="C3621" t="s">
        <v>3380</v>
      </c>
      <c r="D3621" t="s">
        <v>42</v>
      </c>
      <c r="E3621" t="s">
        <v>43</v>
      </c>
      <c r="F3621" t="s">
        <v>44</v>
      </c>
      <c r="G3621" t="s">
        <v>45</v>
      </c>
      <c r="AH3621" t="s">
        <v>42</v>
      </c>
      <c r="AI3621" t="str">
        <f>"66298914295058"</f>
        <v>66298914295058</v>
      </c>
      <c r="AJ3621" t="str">
        <f>"MBP-980"</f>
        <v>MBP-980</v>
      </c>
      <c r="AK3621" t="s">
        <v>46</v>
      </c>
      <c r="AL3621" s="1">
        <v>44816.559513888889</v>
      </c>
      <c r="AM3621" t="s">
        <v>44</v>
      </c>
    </row>
    <row r="3622" spans="1:39" x14ac:dyDescent="0.2">
      <c r="A3622" t="s">
        <v>3435</v>
      </c>
      <c r="B3622" t="s">
        <v>40</v>
      </c>
      <c r="C3622" t="s">
        <v>3380</v>
      </c>
      <c r="D3622" t="s">
        <v>42</v>
      </c>
      <c r="E3622" t="s">
        <v>43</v>
      </c>
      <c r="F3622" t="s">
        <v>44</v>
      </c>
      <c r="G3622" t="s">
        <v>45</v>
      </c>
      <c r="AH3622" t="s">
        <v>42</v>
      </c>
      <c r="AI3622" t="str">
        <f>"11414"</f>
        <v>11414</v>
      </c>
      <c r="AJ3622" t="str">
        <f>"11414"</f>
        <v>11414</v>
      </c>
      <c r="AK3622" t="s">
        <v>46</v>
      </c>
      <c r="AL3622" s="1">
        <v>45056.6953587963</v>
      </c>
      <c r="AM3622" t="s">
        <v>44</v>
      </c>
    </row>
    <row r="3623" spans="1:39" x14ac:dyDescent="0.2">
      <c r="A3623" t="s">
        <v>3436</v>
      </c>
      <c r="B3623" t="s">
        <v>40</v>
      </c>
      <c r="C3623" t="s">
        <v>3380</v>
      </c>
      <c r="D3623" t="s">
        <v>42</v>
      </c>
      <c r="E3623" t="s">
        <v>43</v>
      </c>
      <c r="F3623" t="s">
        <v>44</v>
      </c>
      <c r="G3623" t="s">
        <v>45</v>
      </c>
      <c r="AH3623" t="s">
        <v>42</v>
      </c>
      <c r="AI3623" t="str">
        <f>"66298914337504"</f>
        <v>66298914337504</v>
      </c>
      <c r="AJ3623" t="str">
        <f>"DJ-1510-71"</f>
        <v>DJ-1510-71</v>
      </c>
      <c r="AK3623" t="s">
        <v>46</v>
      </c>
      <c r="AL3623" s="1">
        <v>44816.559525462966</v>
      </c>
      <c r="AM3623" t="s">
        <v>44</v>
      </c>
    </row>
    <row r="3624" spans="1:39" x14ac:dyDescent="0.2">
      <c r="A3624" t="s">
        <v>3436</v>
      </c>
      <c r="B3624" t="s">
        <v>40</v>
      </c>
      <c r="C3624" t="s">
        <v>3380</v>
      </c>
      <c r="D3624" t="s">
        <v>42</v>
      </c>
      <c r="E3624" t="s">
        <v>43</v>
      </c>
      <c r="F3624" t="s">
        <v>44</v>
      </c>
      <c r="G3624" t="s">
        <v>45</v>
      </c>
      <c r="AH3624" t="s">
        <v>42</v>
      </c>
      <c r="AI3624" t="str">
        <f>"66298914345463"</f>
        <v>66298914345463</v>
      </c>
      <c r="AJ3624" t="str">
        <f>"DJ-1510-71CM"</f>
        <v>DJ-1510-71CM</v>
      </c>
      <c r="AK3624" t="s">
        <v>46</v>
      </c>
      <c r="AL3624" s="1">
        <v>44816.559525462966</v>
      </c>
      <c r="AM3624" t="s">
        <v>44</v>
      </c>
    </row>
    <row r="3625" spans="1:39" x14ac:dyDescent="0.2">
      <c r="A3625" t="s">
        <v>3436</v>
      </c>
      <c r="B3625" t="s">
        <v>40</v>
      </c>
      <c r="C3625" t="s">
        <v>3380</v>
      </c>
      <c r="D3625" t="s">
        <v>42</v>
      </c>
      <c r="E3625" t="s">
        <v>43</v>
      </c>
      <c r="F3625" t="s">
        <v>44</v>
      </c>
      <c r="G3625" t="s">
        <v>45</v>
      </c>
      <c r="AH3625" t="s">
        <v>42</v>
      </c>
      <c r="AI3625" t="str">
        <f>"U003"</f>
        <v>U003</v>
      </c>
      <c r="AJ3625" t="str">
        <f>"U003"</f>
        <v>U003</v>
      </c>
      <c r="AK3625" t="s">
        <v>46</v>
      </c>
      <c r="AL3625" s="1">
        <v>45093.802476851852</v>
      </c>
      <c r="AM3625" t="s">
        <v>44</v>
      </c>
    </row>
    <row r="3626" spans="1:39" x14ac:dyDescent="0.2">
      <c r="A3626" t="s">
        <v>3437</v>
      </c>
      <c r="B3626" t="s">
        <v>40</v>
      </c>
      <c r="C3626" t="s">
        <v>3380</v>
      </c>
      <c r="D3626" t="s">
        <v>42</v>
      </c>
      <c r="E3626" t="s">
        <v>43</v>
      </c>
      <c r="F3626" t="s">
        <v>44</v>
      </c>
      <c r="G3626" t="s">
        <v>45</v>
      </c>
      <c r="AH3626" t="s">
        <v>42</v>
      </c>
      <c r="AI3626" t="str">
        <f>"LMP274SR"</f>
        <v>LMP274SR</v>
      </c>
      <c r="AJ3626" t="str">
        <f>"LMP274SR"</f>
        <v>LMP274SR</v>
      </c>
      <c r="AK3626" t="s">
        <v>46</v>
      </c>
      <c r="AL3626" s="1">
        <v>44883.857673611114</v>
      </c>
      <c r="AM3626" t="s">
        <v>44</v>
      </c>
    </row>
    <row r="3627" spans="1:39" x14ac:dyDescent="0.2">
      <c r="A3627" t="s">
        <v>3438</v>
      </c>
      <c r="B3627" t="s">
        <v>40</v>
      </c>
      <c r="C3627" t="s">
        <v>3380</v>
      </c>
      <c r="D3627" t="s">
        <v>42</v>
      </c>
      <c r="E3627" t="s">
        <v>43</v>
      </c>
      <c r="F3627" t="s">
        <v>44</v>
      </c>
      <c r="G3627" t="s">
        <v>45</v>
      </c>
      <c r="AH3627" t="s">
        <v>42</v>
      </c>
      <c r="AI3627" t="str">
        <f>"11424"</f>
        <v>11424</v>
      </c>
      <c r="AJ3627" t="str">
        <f>"11424"</f>
        <v>11424</v>
      </c>
      <c r="AK3627" t="s">
        <v>46</v>
      </c>
      <c r="AL3627" s="1">
        <v>45093.808055555557</v>
      </c>
      <c r="AM3627" t="s">
        <v>44</v>
      </c>
    </row>
    <row r="3628" spans="1:39" x14ac:dyDescent="0.2">
      <c r="A3628" t="s">
        <v>3439</v>
      </c>
      <c r="B3628" t="s">
        <v>40</v>
      </c>
      <c r="C3628" t="s">
        <v>3380</v>
      </c>
      <c r="D3628" t="s">
        <v>42</v>
      </c>
      <c r="E3628" t="s">
        <v>43</v>
      </c>
      <c r="F3628" t="s">
        <v>44</v>
      </c>
      <c r="G3628" t="s">
        <v>45</v>
      </c>
      <c r="AH3628" t="s">
        <v>42</v>
      </c>
      <c r="AI3628" t="str">
        <f>"66298914399322"</f>
        <v>66298914399322</v>
      </c>
      <c r="AJ3628" t="str">
        <f>"400286"</f>
        <v>400286</v>
      </c>
      <c r="AK3628" t="s">
        <v>46</v>
      </c>
      <c r="AL3628" s="1">
        <v>44816.559525462966</v>
      </c>
      <c r="AM3628" t="s">
        <v>44</v>
      </c>
    </row>
    <row r="3629" spans="1:39" x14ac:dyDescent="0.2">
      <c r="A3629" t="s">
        <v>3440</v>
      </c>
      <c r="B3629" t="s">
        <v>40</v>
      </c>
      <c r="C3629" t="s">
        <v>3380</v>
      </c>
      <c r="D3629" t="s">
        <v>42</v>
      </c>
      <c r="E3629" t="s">
        <v>43</v>
      </c>
      <c r="F3629" t="s">
        <v>44</v>
      </c>
      <c r="G3629" t="s">
        <v>45</v>
      </c>
      <c r="AH3629" t="s">
        <v>42</v>
      </c>
      <c r="AI3629" t="str">
        <f>"LMP275SR"</f>
        <v>LMP275SR</v>
      </c>
      <c r="AJ3629" t="str">
        <f>"LMP275SR"</f>
        <v>LMP275SR</v>
      </c>
      <c r="AK3629" t="s">
        <v>46</v>
      </c>
      <c r="AL3629" s="1">
        <v>44847.596817129626</v>
      </c>
      <c r="AM3629" t="s">
        <v>44</v>
      </c>
    </row>
    <row r="3630" spans="1:39" x14ac:dyDescent="0.2">
      <c r="A3630" t="s">
        <v>3441</v>
      </c>
      <c r="B3630" t="s">
        <v>40</v>
      </c>
      <c r="C3630" t="s">
        <v>3380</v>
      </c>
      <c r="D3630" t="s">
        <v>42</v>
      </c>
      <c r="E3630" t="s">
        <v>43</v>
      </c>
      <c r="F3630" t="s">
        <v>44</v>
      </c>
      <c r="G3630" t="s">
        <v>45</v>
      </c>
      <c r="AH3630" t="s">
        <v>42</v>
      </c>
      <c r="AI3630" t="str">
        <f>"11423"</f>
        <v>11423</v>
      </c>
      <c r="AJ3630" t="str">
        <f>"11423"</f>
        <v>11423</v>
      </c>
      <c r="AK3630" t="s">
        <v>46</v>
      </c>
      <c r="AL3630" s="1">
        <v>45056.695833333331</v>
      </c>
      <c r="AM3630" t="s">
        <v>44</v>
      </c>
    </row>
    <row r="3631" spans="1:39" x14ac:dyDescent="0.2">
      <c r="A3631" t="s">
        <v>3442</v>
      </c>
      <c r="B3631" t="s">
        <v>40</v>
      </c>
      <c r="C3631" t="s">
        <v>3380</v>
      </c>
      <c r="D3631" t="s">
        <v>42</v>
      </c>
      <c r="E3631" t="s">
        <v>43</v>
      </c>
      <c r="F3631" t="s">
        <v>44</v>
      </c>
      <c r="G3631" t="s">
        <v>45</v>
      </c>
      <c r="AH3631" t="s">
        <v>42</v>
      </c>
      <c r="AI3631" t="str">
        <f>"66298914439250"</f>
        <v>66298914439250</v>
      </c>
      <c r="AJ3631" t="str">
        <f>"400287"</f>
        <v>400287</v>
      </c>
      <c r="AK3631" t="s">
        <v>46</v>
      </c>
      <c r="AL3631" s="1">
        <v>44816.559537037036</v>
      </c>
      <c r="AM3631" t="s">
        <v>44</v>
      </c>
    </row>
    <row r="3632" spans="1:39" x14ac:dyDescent="0.2">
      <c r="A3632" t="s">
        <v>3443</v>
      </c>
      <c r="B3632" t="s">
        <v>40</v>
      </c>
      <c r="C3632" t="s">
        <v>3380</v>
      </c>
      <c r="D3632" t="s">
        <v>42</v>
      </c>
      <c r="E3632" t="s">
        <v>43</v>
      </c>
      <c r="F3632" t="s">
        <v>44</v>
      </c>
      <c r="G3632" t="s">
        <v>45</v>
      </c>
      <c r="AH3632" t="s">
        <v>42</v>
      </c>
      <c r="AI3632" t="str">
        <f>"HDR160"</f>
        <v>HDR160</v>
      </c>
      <c r="AJ3632" t="str">
        <f>"HDR160"</f>
        <v>HDR160</v>
      </c>
      <c r="AK3632" t="s">
        <v>46</v>
      </c>
      <c r="AL3632" s="1">
        <v>44893.678402777776</v>
      </c>
      <c r="AM3632" t="s">
        <v>44</v>
      </c>
    </row>
    <row r="3633" spans="1:39" x14ac:dyDescent="0.2">
      <c r="A3633" t="s">
        <v>3444</v>
      </c>
      <c r="B3633" t="s">
        <v>40</v>
      </c>
      <c r="C3633" t="s">
        <v>3380</v>
      </c>
      <c r="D3633" t="s">
        <v>42</v>
      </c>
      <c r="E3633" t="s">
        <v>43</v>
      </c>
      <c r="F3633" t="s">
        <v>44</v>
      </c>
      <c r="G3633" t="s">
        <v>45</v>
      </c>
      <c r="AH3633" t="s">
        <v>42</v>
      </c>
      <c r="AI3633" t="str">
        <f>"66298914476418"</f>
        <v>66298914476418</v>
      </c>
      <c r="AJ3633" t="str">
        <f>"FA-188"</f>
        <v>FA-188</v>
      </c>
      <c r="AK3633" t="s">
        <v>46</v>
      </c>
      <c r="AL3633" s="1">
        <v>44816.559537037036</v>
      </c>
      <c r="AM3633" t="s">
        <v>44</v>
      </c>
    </row>
    <row r="3634" spans="1:39" x14ac:dyDescent="0.2">
      <c r="A3634" t="s">
        <v>3445</v>
      </c>
      <c r="B3634" t="s">
        <v>40</v>
      </c>
      <c r="C3634" t="s">
        <v>3380</v>
      </c>
      <c r="D3634" t="s">
        <v>42</v>
      </c>
      <c r="E3634" t="s">
        <v>43</v>
      </c>
      <c r="F3634" t="s">
        <v>44</v>
      </c>
      <c r="G3634" t="s">
        <v>45</v>
      </c>
      <c r="AH3634" t="s">
        <v>42</v>
      </c>
      <c r="AI3634" t="str">
        <f>"LMP287SR"</f>
        <v>LMP287SR</v>
      </c>
      <c r="AJ3634" t="str">
        <f>"LMP287SR"</f>
        <v>LMP287SR</v>
      </c>
      <c r="AK3634" t="s">
        <v>46</v>
      </c>
      <c r="AL3634" s="1">
        <v>44896.785381944443</v>
      </c>
      <c r="AM3634" t="s">
        <v>44</v>
      </c>
    </row>
    <row r="3635" spans="1:39" x14ac:dyDescent="0.2">
      <c r="A3635" t="s">
        <v>3446</v>
      </c>
      <c r="B3635" t="s">
        <v>40</v>
      </c>
      <c r="C3635" t="s">
        <v>3380</v>
      </c>
      <c r="D3635" t="s">
        <v>42</v>
      </c>
      <c r="E3635" t="s">
        <v>43</v>
      </c>
      <c r="F3635" t="s">
        <v>44</v>
      </c>
      <c r="G3635" t="s">
        <v>45</v>
      </c>
      <c r="AH3635" t="s">
        <v>42</v>
      </c>
      <c r="AI3635" t="str">
        <f>"66298914516878"</f>
        <v>66298914516878</v>
      </c>
      <c r="AJ3635" t="str">
        <f>"4FU-W0045-00JP"</f>
        <v>4FU-W0045-00JP</v>
      </c>
      <c r="AK3635" t="s">
        <v>46</v>
      </c>
      <c r="AL3635" s="1">
        <v>44816.559548611112</v>
      </c>
      <c r="AM3635" t="s">
        <v>44</v>
      </c>
    </row>
    <row r="3636" spans="1:39" x14ac:dyDescent="0.2">
      <c r="A3636" t="s">
        <v>3447</v>
      </c>
      <c r="B3636" t="s">
        <v>40</v>
      </c>
      <c r="C3636" t="s">
        <v>3380</v>
      </c>
      <c r="D3636" t="s">
        <v>42</v>
      </c>
      <c r="E3636" t="s">
        <v>43</v>
      </c>
      <c r="F3636" t="s">
        <v>44</v>
      </c>
      <c r="G3636" t="s">
        <v>45</v>
      </c>
      <c r="AH3636" t="s">
        <v>42</v>
      </c>
      <c r="AI3636" t="str">
        <f>"66298914561445"</f>
        <v>66298914561445</v>
      </c>
      <c r="AJ3636" t="str">
        <f>"400288"</f>
        <v>400288</v>
      </c>
      <c r="AK3636" t="s">
        <v>46</v>
      </c>
      <c r="AL3636" s="1">
        <v>44816.559548611112</v>
      </c>
      <c r="AM3636" t="s">
        <v>44</v>
      </c>
    </row>
    <row r="3637" spans="1:39" x14ac:dyDescent="0.2">
      <c r="A3637" t="s">
        <v>3448</v>
      </c>
      <c r="B3637" t="s">
        <v>40</v>
      </c>
      <c r="C3637" t="s">
        <v>3380</v>
      </c>
      <c r="D3637" t="s">
        <v>42</v>
      </c>
      <c r="E3637" t="s">
        <v>43</v>
      </c>
      <c r="F3637" t="s">
        <v>44</v>
      </c>
      <c r="G3637" t="s">
        <v>45</v>
      </c>
      <c r="AH3637" t="s">
        <v>42</v>
      </c>
      <c r="AI3637" t="str">
        <f>"66298914608534"</f>
        <v>66298914608534</v>
      </c>
      <c r="AJ3637" t="str">
        <f>"P10037"</f>
        <v>P10037</v>
      </c>
      <c r="AK3637" t="s">
        <v>46</v>
      </c>
      <c r="AL3637" s="1">
        <v>44816.559560185182</v>
      </c>
      <c r="AM3637" t="s">
        <v>44</v>
      </c>
    </row>
    <row r="3638" spans="1:39" x14ac:dyDescent="0.2">
      <c r="A3638" t="s">
        <v>3449</v>
      </c>
      <c r="B3638" t="s">
        <v>40</v>
      </c>
      <c r="C3638" t="s">
        <v>3380</v>
      </c>
      <c r="D3638" t="s">
        <v>42</v>
      </c>
      <c r="E3638" t="s">
        <v>43</v>
      </c>
      <c r="F3638" t="s">
        <v>44</v>
      </c>
      <c r="G3638" t="s">
        <v>45</v>
      </c>
      <c r="AH3638" t="s">
        <v>42</v>
      </c>
      <c r="AI3638" t="str">
        <f>"66298914656942"</f>
        <v>66298914656942</v>
      </c>
      <c r="AJ3638" t="str">
        <f>"U035"</f>
        <v>U035</v>
      </c>
      <c r="AK3638" t="s">
        <v>46</v>
      </c>
      <c r="AL3638" s="1">
        <v>44816.559560185182</v>
      </c>
      <c r="AM3638" t="s">
        <v>44</v>
      </c>
    </row>
    <row r="3639" spans="1:39" x14ac:dyDescent="0.2">
      <c r="A3639" t="s">
        <v>3450</v>
      </c>
      <c r="B3639" t="s">
        <v>40</v>
      </c>
      <c r="C3639" t="s">
        <v>3380</v>
      </c>
      <c r="D3639" t="s">
        <v>42</v>
      </c>
      <c r="E3639" t="s">
        <v>43</v>
      </c>
      <c r="F3639" t="s">
        <v>44</v>
      </c>
      <c r="G3639" t="s">
        <v>45</v>
      </c>
      <c r="AH3639" t="s">
        <v>42</v>
      </c>
      <c r="AI3639" t="str">
        <f>"66298914700103"</f>
        <v>66298914700103</v>
      </c>
      <c r="AJ3639" t="str">
        <f>"82096"</f>
        <v>82096</v>
      </c>
      <c r="AK3639" t="s">
        <v>46</v>
      </c>
      <c r="AL3639" s="1">
        <v>44816.559571759259</v>
      </c>
      <c r="AM3639" t="s">
        <v>44</v>
      </c>
    </row>
    <row r="3640" spans="1:39" x14ac:dyDescent="0.2">
      <c r="A3640" t="s">
        <v>3451</v>
      </c>
      <c r="B3640" t="s">
        <v>40</v>
      </c>
      <c r="C3640" t="s">
        <v>3380</v>
      </c>
      <c r="D3640" t="s">
        <v>42</v>
      </c>
      <c r="E3640" t="s">
        <v>43</v>
      </c>
      <c r="F3640" t="s">
        <v>44</v>
      </c>
      <c r="G3640" t="s">
        <v>45</v>
      </c>
      <c r="AH3640" t="s">
        <v>42</v>
      </c>
      <c r="AI3640" t="str">
        <f>"LMP300SF"</f>
        <v>LMP300SF</v>
      </c>
      <c r="AJ3640" t="str">
        <f>"LMP300SF"</f>
        <v>LMP300SF</v>
      </c>
      <c r="AK3640" t="s">
        <v>46</v>
      </c>
      <c r="AL3640" s="1">
        <v>45065.605474537035</v>
      </c>
      <c r="AM3640" t="s">
        <v>44</v>
      </c>
    </row>
    <row r="3641" spans="1:39" x14ac:dyDescent="0.2">
      <c r="A3641" t="s">
        <v>3452</v>
      </c>
      <c r="B3641" t="s">
        <v>40</v>
      </c>
      <c r="C3641" t="s">
        <v>3380</v>
      </c>
      <c r="D3641" t="s">
        <v>42</v>
      </c>
      <c r="E3641" t="s">
        <v>43</v>
      </c>
      <c r="F3641" t="s">
        <v>44</v>
      </c>
      <c r="G3641" t="s">
        <v>45</v>
      </c>
      <c r="AH3641" t="s">
        <v>42</v>
      </c>
      <c r="AI3641" t="str">
        <f>"66298914746730"</f>
        <v>66298914746730</v>
      </c>
      <c r="AJ3641" t="str">
        <f>"400289"</f>
        <v>400289</v>
      </c>
      <c r="AK3641" t="s">
        <v>46</v>
      </c>
      <c r="AL3641" s="1">
        <v>44816.559571759259</v>
      </c>
      <c r="AM3641" t="s">
        <v>44</v>
      </c>
    </row>
    <row r="3642" spans="1:39" x14ac:dyDescent="0.2">
      <c r="A3642" t="s">
        <v>3453</v>
      </c>
      <c r="B3642" t="s">
        <v>40</v>
      </c>
      <c r="C3642" t="s">
        <v>3380</v>
      </c>
      <c r="D3642" t="s">
        <v>42</v>
      </c>
      <c r="E3642" t="s">
        <v>43</v>
      </c>
      <c r="F3642" t="s">
        <v>44</v>
      </c>
      <c r="G3642" t="s">
        <v>45</v>
      </c>
      <c r="AH3642" t="s">
        <v>42</v>
      </c>
      <c r="AI3642" t="str">
        <f>"66298914791179"</f>
        <v>66298914791179</v>
      </c>
      <c r="AJ3642" t="str">
        <f>"59100-33880JP"</f>
        <v>59100-33880JP</v>
      </c>
      <c r="AK3642" t="s">
        <v>46</v>
      </c>
      <c r="AL3642" s="1">
        <v>44816.559571759259</v>
      </c>
      <c r="AM3642" t="s">
        <v>44</v>
      </c>
    </row>
    <row r="3643" spans="1:39" x14ac:dyDescent="0.2">
      <c r="A3643" t="s">
        <v>3454</v>
      </c>
      <c r="B3643" t="s">
        <v>40</v>
      </c>
      <c r="C3643" t="s">
        <v>3380</v>
      </c>
      <c r="D3643" t="s">
        <v>42</v>
      </c>
      <c r="E3643" t="s">
        <v>43</v>
      </c>
      <c r="F3643" t="s">
        <v>44</v>
      </c>
      <c r="G3643" t="s">
        <v>45</v>
      </c>
      <c r="AH3643" t="s">
        <v>42</v>
      </c>
      <c r="AI3643" t="str">
        <f>"66298914836465"</f>
        <v>66298914836465</v>
      </c>
      <c r="AJ3643" t="str">
        <f>"FA229HH"</f>
        <v>FA229HH</v>
      </c>
      <c r="AK3643" t="s">
        <v>46</v>
      </c>
      <c r="AL3643" s="1">
        <v>44816.559583333335</v>
      </c>
      <c r="AM3643" t="s">
        <v>44</v>
      </c>
    </row>
    <row r="3644" spans="1:39" x14ac:dyDescent="0.2">
      <c r="A3644" t="s">
        <v>3455</v>
      </c>
      <c r="B3644" t="s">
        <v>40</v>
      </c>
      <c r="C3644" t="s">
        <v>3380</v>
      </c>
      <c r="D3644" t="s">
        <v>42</v>
      </c>
      <c r="E3644" t="s">
        <v>43</v>
      </c>
      <c r="F3644" t="s">
        <v>44</v>
      </c>
      <c r="G3644" t="s">
        <v>45</v>
      </c>
      <c r="AH3644" t="s">
        <v>42</v>
      </c>
      <c r="AI3644" t="str">
        <f>"66298914879951"</f>
        <v>66298914879951</v>
      </c>
      <c r="AJ3644" t="str">
        <f>"45105-OSC-9000JP"</f>
        <v>45105-OSC-9000JP</v>
      </c>
      <c r="AK3644" t="s">
        <v>46</v>
      </c>
      <c r="AL3644" s="1">
        <v>44816.559583333335</v>
      </c>
      <c r="AM3644" t="s">
        <v>44</v>
      </c>
    </row>
    <row r="3645" spans="1:39" x14ac:dyDescent="0.2">
      <c r="A3645" t="s">
        <v>3456</v>
      </c>
      <c r="B3645" t="s">
        <v>40</v>
      </c>
      <c r="C3645" t="s">
        <v>3380</v>
      </c>
      <c r="D3645" t="s">
        <v>42</v>
      </c>
      <c r="E3645" t="s">
        <v>43</v>
      </c>
      <c r="F3645" t="s">
        <v>44</v>
      </c>
      <c r="G3645" t="s">
        <v>45</v>
      </c>
      <c r="AH3645" t="s">
        <v>42</v>
      </c>
      <c r="AI3645" t="str">
        <f>"66298914922159"</f>
        <v>66298914922159</v>
      </c>
      <c r="AJ3645" t="str">
        <f>"LMP316"</f>
        <v>LMP316</v>
      </c>
      <c r="AK3645" t="s">
        <v>46</v>
      </c>
      <c r="AL3645" s="1">
        <v>44816.559594907405</v>
      </c>
      <c r="AM3645" t="s">
        <v>44</v>
      </c>
    </row>
    <row r="3646" spans="1:39" x14ac:dyDescent="0.2">
      <c r="A3646" t="s">
        <v>3457</v>
      </c>
      <c r="B3646" t="s">
        <v>40</v>
      </c>
      <c r="C3646" t="s">
        <v>3380</v>
      </c>
      <c r="D3646" t="s">
        <v>42</v>
      </c>
      <c r="E3646" t="s">
        <v>43</v>
      </c>
      <c r="F3646" t="s">
        <v>44</v>
      </c>
      <c r="G3646" t="s">
        <v>45</v>
      </c>
      <c r="AH3646" t="s">
        <v>42</v>
      </c>
      <c r="AI3646" t="str">
        <f>"66298914966416"</f>
        <v>66298914966416</v>
      </c>
      <c r="AJ3646" t="str">
        <f>"PF-U011"</f>
        <v>PF-U011</v>
      </c>
      <c r="AK3646" t="s">
        <v>46</v>
      </c>
      <c r="AL3646" s="1">
        <v>44816.559594907405</v>
      </c>
      <c r="AM3646" t="s">
        <v>44</v>
      </c>
    </row>
    <row r="3647" spans="1:39" x14ac:dyDescent="0.2">
      <c r="A3647" t="s">
        <v>3458</v>
      </c>
      <c r="B3647" t="s">
        <v>40</v>
      </c>
      <c r="C3647" t="s">
        <v>3380</v>
      </c>
      <c r="D3647" t="s">
        <v>42</v>
      </c>
      <c r="E3647" t="s">
        <v>43</v>
      </c>
      <c r="F3647" t="s">
        <v>44</v>
      </c>
      <c r="G3647" t="s">
        <v>45</v>
      </c>
      <c r="AH3647" t="s">
        <v>42</v>
      </c>
      <c r="AI3647" t="str">
        <f>"66298915011486"</f>
        <v>66298915011486</v>
      </c>
      <c r="AJ3647" t="str">
        <f>"4JG-W0045-00-CM"</f>
        <v>4JG-W0045-00-CM</v>
      </c>
      <c r="AK3647" t="s">
        <v>46</v>
      </c>
      <c r="AL3647" s="1">
        <v>44816.559606481482</v>
      </c>
      <c r="AM3647" t="s">
        <v>44</v>
      </c>
    </row>
    <row r="3648" spans="1:39" x14ac:dyDescent="0.2">
      <c r="A3648" t="s">
        <v>3459</v>
      </c>
      <c r="B3648" t="s">
        <v>40</v>
      </c>
      <c r="C3648" t="s">
        <v>3380</v>
      </c>
      <c r="D3648" t="s">
        <v>42</v>
      </c>
      <c r="E3648" t="s">
        <v>43</v>
      </c>
      <c r="F3648" t="s">
        <v>44</v>
      </c>
      <c r="G3648" t="s">
        <v>45</v>
      </c>
      <c r="AH3648" t="s">
        <v>42</v>
      </c>
      <c r="AI3648" t="str">
        <f>"66298915051887"</f>
        <v>66298915051887</v>
      </c>
      <c r="AJ3648" t="str">
        <f>"400290"</f>
        <v>400290</v>
      </c>
      <c r="AK3648" t="s">
        <v>46</v>
      </c>
      <c r="AL3648" s="1">
        <v>44816.559606481482</v>
      </c>
      <c r="AM3648" t="s">
        <v>44</v>
      </c>
    </row>
    <row r="3649" spans="1:39" x14ac:dyDescent="0.2">
      <c r="A3649" t="s">
        <v>3460</v>
      </c>
      <c r="B3649" t="s">
        <v>40</v>
      </c>
      <c r="C3649" t="s">
        <v>3380</v>
      </c>
      <c r="D3649" t="s">
        <v>42</v>
      </c>
      <c r="E3649" t="s">
        <v>43</v>
      </c>
      <c r="F3649" t="s">
        <v>44</v>
      </c>
      <c r="G3649" t="s">
        <v>45</v>
      </c>
      <c r="AH3649" t="s">
        <v>42</v>
      </c>
      <c r="AI3649" t="str">
        <f>"66298915096959"</f>
        <v>66298915096959</v>
      </c>
      <c r="AJ3649" t="str">
        <f>"JL-1318-05"</f>
        <v>JL-1318-05</v>
      </c>
      <c r="AK3649" t="s">
        <v>46</v>
      </c>
      <c r="AL3649" s="1">
        <v>44816.559606481482</v>
      </c>
      <c r="AM3649" t="s">
        <v>44</v>
      </c>
    </row>
    <row r="3650" spans="1:39" x14ac:dyDescent="0.2">
      <c r="A3650" t="s">
        <v>3461</v>
      </c>
      <c r="B3650" t="s">
        <v>40</v>
      </c>
      <c r="C3650" t="s">
        <v>3380</v>
      </c>
      <c r="D3650" t="s">
        <v>42</v>
      </c>
      <c r="E3650" t="s">
        <v>43</v>
      </c>
      <c r="F3650" t="s">
        <v>44</v>
      </c>
      <c r="G3650" t="s">
        <v>45</v>
      </c>
      <c r="AH3650" t="s">
        <v>42</v>
      </c>
      <c r="AI3650" t="str">
        <f>"66298915141568"</f>
        <v>66298915141568</v>
      </c>
      <c r="AJ3650" t="str">
        <f>"FA-294"</f>
        <v>FA-294</v>
      </c>
      <c r="AK3650" t="s">
        <v>46</v>
      </c>
      <c r="AL3650" s="1">
        <v>44816.559618055559</v>
      </c>
      <c r="AM3650" t="s">
        <v>44</v>
      </c>
    </row>
    <row r="3651" spans="1:39" x14ac:dyDescent="0.2">
      <c r="A3651" t="s">
        <v>3462</v>
      </c>
      <c r="B3651" t="s">
        <v>40</v>
      </c>
      <c r="C3651" t="s">
        <v>3380</v>
      </c>
      <c r="D3651" t="s">
        <v>42</v>
      </c>
      <c r="E3651" t="s">
        <v>43</v>
      </c>
      <c r="F3651" t="s">
        <v>44</v>
      </c>
      <c r="G3651" t="s">
        <v>45</v>
      </c>
      <c r="AH3651" t="s">
        <v>42</v>
      </c>
      <c r="AI3651" t="str">
        <f>"66298915181812"</f>
        <v>66298915181812</v>
      </c>
      <c r="AJ3651" t="str">
        <f>"P10057"</f>
        <v>P10057</v>
      </c>
      <c r="AK3651" t="s">
        <v>46</v>
      </c>
      <c r="AL3651" s="1">
        <v>44816.559618055559</v>
      </c>
      <c r="AM3651" t="s">
        <v>44</v>
      </c>
    </row>
    <row r="3652" spans="1:39" x14ac:dyDescent="0.2">
      <c r="A3652" t="s">
        <v>3463</v>
      </c>
      <c r="B3652" t="s">
        <v>40</v>
      </c>
      <c r="C3652" t="s">
        <v>3380</v>
      </c>
      <c r="D3652" t="s">
        <v>42</v>
      </c>
      <c r="E3652" t="s">
        <v>43</v>
      </c>
      <c r="F3652" t="s">
        <v>44</v>
      </c>
      <c r="G3652" t="s">
        <v>45</v>
      </c>
      <c r="AH3652" t="s">
        <v>42</v>
      </c>
      <c r="AI3652" t="str">
        <f>"66298915269984"</f>
        <v>66298915269984</v>
      </c>
      <c r="AJ3652" t="str">
        <f>"U039"</f>
        <v>U039</v>
      </c>
      <c r="AK3652" t="s">
        <v>46</v>
      </c>
      <c r="AL3652" s="1">
        <v>44816.559629629628</v>
      </c>
      <c r="AM3652" t="s">
        <v>44</v>
      </c>
    </row>
    <row r="3653" spans="1:39" x14ac:dyDescent="0.2">
      <c r="A3653" t="s">
        <v>3464</v>
      </c>
      <c r="B3653" t="s">
        <v>40</v>
      </c>
      <c r="C3653" t="s">
        <v>3380</v>
      </c>
      <c r="D3653" t="s">
        <v>42</v>
      </c>
      <c r="E3653" t="s">
        <v>43</v>
      </c>
      <c r="F3653" t="s">
        <v>44</v>
      </c>
      <c r="G3653" t="s">
        <v>45</v>
      </c>
      <c r="AH3653" t="s">
        <v>42</v>
      </c>
      <c r="AI3653" t="str">
        <f>"66298915226162"</f>
        <v>66298915226162</v>
      </c>
      <c r="AJ3653" t="str">
        <f>"400291"</f>
        <v>400291</v>
      </c>
      <c r="AK3653" t="s">
        <v>46</v>
      </c>
      <c r="AL3653" s="1">
        <v>44816.559629629628</v>
      </c>
      <c r="AM3653" t="s">
        <v>44</v>
      </c>
    </row>
    <row r="3654" spans="1:39" x14ac:dyDescent="0.2">
      <c r="A3654" t="s">
        <v>3465</v>
      </c>
      <c r="B3654" t="s">
        <v>40</v>
      </c>
      <c r="C3654" t="s">
        <v>3380</v>
      </c>
      <c r="D3654" t="s">
        <v>42</v>
      </c>
      <c r="E3654" t="s">
        <v>43</v>
      </c>
      <c r="F3654" t="s">
        <v>44</v>
      </c>
      <c r="G3654" t="s">
        <v>45</v>
      </c>
      <c r="AH3654" t="s">
        <v>42</v>
      </c>
      <c r="AI3654" t="str">
        <f>"66298915314371"</f>
        <v>66298915314371</v>
      </c>
      <c r="AJ3654" t="str">
        <f>"LMP367OR"</f>
        <v>LMP367OR</v>
      </c>
      <c r="AK3654" t="s">
        <v>46</v>
      </c>
      <c r="AL3654" s="1">
        <v>44816.559641203705</v>
      </c>
      <c r="AM3654" t="s">
        <v>44</v>
      </c>
    </row>
    <row r="3655" spans="1:39" x14ac:dyDescent="0.2">
      <c r="A3655" t="s">
        <v>3466</v>
      </c>
      <c r="B3655" t="s">
        <v>40</v>
      </c>
      <c r="C3655" t="s">
        <v>3380</v>
      </c>
      <c r="D3655" t="s">
        <v>42</v>
      </c>
      <c r="E3655" t="s">
        <v>43</v>
      </c>
      <c r="F3655" t="s">
        <v>44</v>
      </c>
      <c r="G3655" t="s">
        <v>45</v>
      </c>
      <c r="AH3655" t="s">
        <v>42</v>
      </c>
      <c r="AI3655" t="str">
        <f>"66298915356304"</f>
        <v>66298915356304</v>
      </c>
      <c r="AJ3655" t="str">
        <f>"LMP369SR"</f>
        <v>LMP369SR</v>
      </c>
      <c r="AK3655" t="s">
        <v>46</v>
      </c>
      <c r="AL3655" s="1">
        <v>44816.559641203705</v>
      </c>
      <c r="AM3655" t="s">
        <v>44</v>
      </c>
    </row>
    <row r="3656" spans="1:39" x14ac:dyDescent="0.2">
      <c r="A3656" t="s">
        <v>3467</v>
      </c>
      <c r="B3656" t="s">
        <v>40</v>
      </c>
      <c r="C3656" t="s">
        <v>3380</v>
      </c>
      <c r="D3656" t="s">
        <v>42</v>
      </c>
      <c r="E3656" t="s">
        <v>43</v>
      </c>
      <c r="F3656" t="s">
        <v>44</v>
      </c>
      <c r="G3656" t="s">
        <v>45</v>
      </c>
      <c r="AH3656" t="s">
        <v>42</v>
      </c>
      <c r="AI3656" t="str">
        <f>"66298915398744"</f>
        <v>66298915398744</v>
      </c>
      <c r="AJ3656" t="str">
        <f>"LMP377OR"</f>
        <v>LMP377OR</v>
      </c>
      <c r="AK3656" t="s">
        <v>46</v>
      </c>
      <c r="AL3656" s="1">
        <v>44816.559641203705</v>
      </c>
      <c r="AM3656" t="s">
        <v>44</v>
      </c>
    </row>
    <row r="3657" spans="1:39" x14ac:dyDescent="0.2">
      <c r="A3657" t="s">
        <v>3468</v>
      </c>
      <c r="B3657" t="s">
        <v>40</v>
      </c>
      <c r="C3657" t="s">
        <v>3380</v>
      </c>
      <c r="D3657" t="s">
        <v>42</v>
      </c>
      <c r="E3657" t="s">
        <v>43</v>
      </c>
      <c r="F3657" t="s">
        <v>44</v>
      </c>
      <c r="G3657" t="s">
        <v>45</v>
      </c>
      <c r="AH3657" t="s">
        <v>42</v>
      </c>
      <c r="AI3657" t="str">
        <f>"BR-DFP-40835"</f>
        <v>BR-DFP-40835</v>
      </c>
      <c r="AJ3657" t="str">
        <f>"BR-DFP-40835"</f>
        <v>BR-DFP-40835</v>
      </c>
      <c r="AK3657" t="s">
        <v>46</v>
      </c>
      <c r="AL3657" s="1">
        <v>45140.798217592594</v>
      </c>
      <c r="AM3657" t="s">
        <v>44</v>
      </c>
    </row>
    <row r="3658" spans="1:39" x14ac:dyDescent="0.2">
      <c r="A3658" t="s">
        <v>3469</v>
      </c>
      <c r="B3658" t="s">
        <v>40</v>
      </c>
      <c r="C3658" t="s">
        <v>3380</v>
      </c>
      <c r="D3658" t="s">
        <v>42</v>
      </c>
      <c r="E3658" t="s">
        <v>43</v>
      </c>
      <c r="F3658" t="s">
        <v>44</v>
      </c>
      <c r="G3658" t="s">
        <v>45</v>
      </c>
      <c r="AH3658" t="s">
        <v>42</v>
      </c>
      <c r="AI3658" t="str">
        <f>"66298915445296"</f>
        <v>66298915445296</v>
      </c>
      <c r="AJ3658" t="str">
        <f>"P10050"</f>
        <v>P10050</v>
      </c>
      <c r="AK3658" t="s">
        <v>46</v>
      </c>
      <c r="AL3658" s="1">
        <v>44816.559652777774</v>
      </c>
      <c r="AM3658" t="s">
        <v>44</v>
      </c>
    </row>
    <row r="3659" spans="1:39" x14ac:dyDescent="0.2">
      <c r="A3659" t="s">
        <v>3470</v>
      </c>
      <c r="B3659" t="s">
        <v>40</v>
      </c>
      <c r="C3659" t="s">
        <v>3380</v>
      </c>
      <c r="D3659" t="s">
        <v>42</v>
      </c>
      <c r="E3659" t="s">
        <v>43</v>
      </c>
      <c r="F3659" t="s">
        <v>44</v>
      </c>
      <c r="G3659" t="s">
        <v>45</v>
      </c>
      <c r="AH3659" t="s">
        <v>42</v>
      </c>
      <c r="AI3659" t="str">
        <f>"66298915483180"</f>
        <v>66298915483180</v>
      </c>
      <c r="AJ3659" t="str">
        <f>"400292"</f>
        <v>400292</v>
      </c>
      <c r="AK3659" t="s">
        <v>46</v>
      </c>
      <c r="AL3659" s="1">
        <v>44816.559652777774</v>
      </c>
      <c r="AM3659" t="s">
        <v>44</v>
      </c>
    </row>
    <row r="3660" spans="1:39" x14ac:dyDescent="0.2">
      <c r="A3660" t="s">
        <v>3471</v>
      </c>
      <c r="B3660" t="s">
        <v>40</v>
      </c>
      <c r="C3660" t="s">
        <v>3380</v>
      </c>
      <c r="D3660" t="s">
        <v>42</v>
      </c>
      <c r="E3660" t="s">
        <v>43</v>
      </c>
      <c r="F3660" t="s">
        <v>44</v>
      </c>
      <c r="G3660" t="s">
        <v>45</v>
      </c>
      <c r="AH3660" t="s">
        <v>42</v>
      </c>
      <c r="AI3660" t="str">
        <f>"66298915524548"</f>
        <v>66298915524548</v>
      </c>
      <c r="AJ3660" t="str">
        <f>"82416"</f>
        <v>82416</v>
      </c>
      <c r="AK3660" t="s">
        <v>46</v>
      </c>
      <c r="AL3660" s="1">
        <v>44816.559664351851</v>
      </c>
      <c r="AM3660" t="s">
        <v>44</v>
      </c>
    </row>
    <row r="3661" spans="1:39" x14ac:dyDescent="0.2">
      <c r="A3661" t="s">
        <v>3472</v>
      </c>
      <c r="B3661" t="s">
        <v>40</v>
      </c>
      <c r="C3661" t="s">
        <v>3380</v>
      </c>
      <c r="D3661" t="s">
        <v>42</v>
      </c>
      <c r="E3661" t="s">
        <v>43</v>
      </c>
      <c r="F3661" t="s">
        <v>44</v>
      </c>
      <c r="G3661" t="s">
        <v>45</v>
      </c>
      <c r="AH3661" t="s">
        <v>42</v>
      </c>
      <c r="AI3661" t="str">
        <f>"66298915568509"</f>
        <v>66298915568509</v>
      </c>
      <c r="AJ3661" t="str">
        <f>"P10028"</f>
        <v>P10028</v>
      </c>
      <c r="AK3661" t="s">
        <v>46</v>
      </c>
      <c r="AL3661" s="1">
        <v>44816.559664351851</v>
      </c>
      <c r="AM3661" t="s">
        <v>44</v>
      </c>
    </row>
    <row r="3662" spans="1:39" x14ac:dyDescent="0.2">
      <c r="A3662" t="s">
        <v>3473</v>
      </c>
      <c r="B3662" t="s">
        <v>40</v>
      </c>
      <c r="C3662" t="s">
        <v>3380</v>
      </c>
      <c r="D3662" t="s">
        <v>42</v>
      </c>
      <c r="E3662" t="s">
        <v>43</v>
      </c>
      <c r="F3662" t="s">
        <v>44</v>
      </c>
      <c r="G3662" t="s">
        <v>45</v>
      </c>
      <c r="AH3662" t="s">
        <v>42</v>
      </c>
      <c r="AI3662" t="str">
        <f>"66298915608224"</f>
        <v>66298915608224</v>
      </c>
      <c r="AJ3662" t="str">
        <f>"LMP396"</f>
        <v>LMP396</v>
      </c>
      <c r="AK3662" t="s">
        <v>46</v>
      </c>
      <c r="AL3662" s="1">
        <v>44816.559675925928</v>
      </c>
      <c r="AM3662" t="s">
        <v>44</v>
      </c>
    </row>
    <row r="3663" spans="1:39" x14ac:dyDescent="0.2">
      <c r="A3663" t="s">
        <v>3474</v>
      </c>
      <c r="B3663" t="s">
        <v>40</v>
      </c>
      <c r="C3663" t="s">
        <v>3380</v>
      </c>
      <c r="D3663" t="s">
        <v>42</v>
      </c>
      <c r="E3663" t="s">
        <v>43</v>
      </c>
      <c r="F3663" t="s">
        <v>44</v>
      </c>
      <c r="G3663" t="s">
        <v>45</v>
      </c>
      <c r="AH3663" t="s">
        <v>42</v>
      </c>
      <c r="AI3663" t="str">
        <f>"66298915648409"</f>
        <v>66298915648409</v>
      </c>
      <c r="AJ3663" t="str">
        <f>"29173-000W-0001"</f>
        <v>29173-000W-0001</v>
      </c>
      <c r="AK3663" t="s">
        <v>46</v>
      </c>
      <c r="AL3663" s="1">
        <v>44816.559675925928</v>
      </c>
      <c r="AM3663" t="s">
        <v>44</v>
      </c>
    </row>
    <row r="3664" spans="1:39" x14ac:dyDescent="0.2">
      <c r="A3664" t="s">
        <v>3475</v>
      </c>
      <c r="B3664" t="s">
        <v>40</v>
      </c>
      <c r="C3664" t="s">
        <v>3380</v>
      </c>
      <c r="D3664" t="s">
        <v>42</v>
      </c>
      <c r="E3664" t="s">
        <v>43</v>
      </c>
      <c r="F3664" t="s">
        <v>44</v>
      </c>
      <c r="G3664" t="s">
        <v>45</v>
      </c>
      <c r="AH3664" t="s">
        <v>42</v>
      </c>
      <c r="AI3664" t="str">
        <f>"66298915686527"</f>
        <v>66298915686527</v>
      </c>
      <c r="AJ3664" t="str">
        <f>"P10047"</f>
        <v>P10047</v>
      </c>
      <c r="AK3664" t="s">
        <v>46</v>
      </c>
      <c r="AL3664" s="1">
        <v>44816.559675925928</v>
      </c>
      <c r="AM3664" t="s">
        <v>44</v>
      </c>
    </row>
    <row r="3665" spans="1:39" x14ac:dyDescent="0.2">
      <c r="A3665" t="s">
        <v>3476</v>
      </c>
      <c r="B3665" t="s">
        <v>40</v>
      </c>
      <c r="C3665" t="s">
        <v>3380</v>
      </c>
      <c r="D3665" t="s">
        <v>42</v>
      </c>
      <c r="E3665" t="s">
        <v>43</v>
      </c>
      <c r="F3665" t="s">
        <v>44</v>
      </c>
      <c r="G3665" t="s">
        <v>45</v>
      </c>
      <c r="AH3665" t="s">
        <v>42</v>
      </c>
      <c r="AI3665" t="str">
        <f>"66298915730032"</f>
        <v>66298915730032</v>
      </c>
      <c r="AJ3665" t="str">
        <f>"VD170HCERAM"</f>
        <v>VD170HCERAM</v>
      </c>
      <c r="AK3665" t="s">
        <v>46</v>
      </c>
      <c r="AL3665" s="1">
        <v>44816.559687499997</v>
      </c>
      <c r="AM3665" t="s">
        <v>44</v>
      </c>
    </row>
    <row r="3666" spans="1:39" x14ac:dyDescent="0.2">
      <c r="A3666" t="s">
        <v>3477</v>
      </c>
      <c r="B3666" t="s">
        <v>40</v>
      </c>
      <c r="C3666" t="s">
        <v>3380</v>
      </c>
      <c r="D3666" t="s">
        <v>42</v>
      </c>
      <c r="E3666" t="s">
        <v>43</v>
      </c>
      <c r="F3666" t="s">
        <v>44</v>
      </c>
      <c r="G3666" t="s">
        <v>45</v>
      </c>
      <c r="AH3666" t="s">
        <v>42</v>
      </c>
      <c r="AI3666" t="str">
        <f>"U002"</f>
        <v>U002</v>
      </c>
      <c r="AJ3666" t="str">
        <f>"U002"</f>
        <v>U002</v>
      </c>
      <c r="AK3666" t="s">
        <v>46</v>
      </c>
      <c r="AL3666" s="1">
        <v>45093.803460648145</v>
      </c>
      <c r="AM3666" t="s">
        <v>44</v>
      </c>
    </row>
    <row r="3667" spans="1:39" x14ac:dyDescent="0.2">
      <c r="A3667" t="s">
        <v>3478</v>
      </c>
      <c r="B3667" t="s">
        <v>40</v>
      </c>
      <c r="C3667" t="s">
        <v>3380</v>
      </c>
      <c r="D3667" t="s">
        <v>42</v>
      </c>
      <c r="E3667" t="s">
        <v>43</v>
      </c>
      <c r="F3667" t="s">
        <v>44</v>
      </c>
      <c r="G3667" t="s">
        <v>45</v>
      </c>
      <c r="AH3667" t="s">
        <v>42</v>
      </c>
      <c r="AI3667" t="str">
        <f>"66298915766926"</f>
        <v>66298915766926</v>
      </c>
      <c r="AJ3667" t="str">
        <f>"400295"</f>
        <v>400295</v>
      </c>
      <c r="AK3667" t="s">
        <v>46</v>
      </c>
      <c r="AL3667" s="1">
        <v>44816.559687499997</v>
      </c>
      <c r="AM3667" t="s">
        <v>44</v>
      </c>
    </row>
    <row r="3668" spans="1:39" x14ac:dyDescent="0.2">
      <c r="A3668" t="s">
        <v>3479</v>
      </c>
      <c r="B3668" t="s">
        <v>40</v>
      </c>
      <c r="C3668" t="s">
        <v>3380</v>
      </c>
      <c r="D3668" t="s">
        <v>42</v>
      </c>
      <c r="E3668" t="s">
        <v>43</v>
      </c>
      <c r="F3668" t="s">
        <v>44</v>
      </c>
      <c r="G3668" t="s">
        <v>45</v>
      </c>
      <c r="AH3668" t="s">
        <v>42</v>
      </c>
      <c r="AI3668" t="str">
        <f>"66298915806674"</f>
        <v>66298915806674</v>
      </c>
      <c r="AJ3668" t="str">
        <f>"FA436HH"</f>
        <v>FA436HH</v>
      </c>
      <c r="AK3668" t="s">
        <v>46</v>
      </c>
      <c r="AL3668" s="1">
        <v>44816.559699074074</v>
      </c>
      <c r="AM3668" t="s">
        <v>44</v>
      </c>
    </row>
    <row r="3669" spans="1:39" x14ac:dyDescent="0.2">
      <c r="A3669" t="s">
        <v>3480</v>
      </c>
      <c r="B3669" t="s">
        <v>40</v>
      </c>
      <c r="C3669" t="s">
        <v>3380</v>
      </c>
      <c r="D3669" t="s">
        <v>42</v>
      </c>
      <c r="E3669" t="s">
        <v>43</v>
      </c>
      <c r="F3669" t="s">
        <v>44</v>
      </c>
      <c r="G3669" t="s">
        <v>45</v>
      </c>
      <c r="AH3669" t="s">
        <v>42</v>
      </c>
      <c r="AI3669" t="str">
        <f>"66298915846194"</f>
        <v>66298915846194</v>
      </c>
      <c r="AJ3669" t="str">
        <f>"FA-447"</f>
        <v>FA-447</v>
      </c>
      <c r="AK3669" t="s">
        <v>46</v>
      </c>
      <c r="AL3669" s="1">
        <v>44816.559699074074</v>
      </c>
      <c r="AM3669" t="s">
        <v>44</v>
      </c>
    </row>
    <row r="3670" spans="1:39" x14ac:dyDescent="0.2">
      <c r="A3670" t="s">
        <v>3481</v>
      </c>
      <c r="B3670" t="s">
        <v>40</v>
      </c>
      <c r="C3670" t="s">
        <v>3380</v>
      </c>
      <c r="D3670" t="s">
        <v>42</v>
      </c>
      <c r="E3670" t="s">
        <v>43</v>
      </c>
      <c r="F3670" t="s">
        <v>44</v>
      </c>
      <c r="G3670" t="s">
        <v>45</v>
      </c>
      <c r="H3670" t="s">
        <v>3482</v>
      </c>
      <c r="AH3670" t="s">
        <v>42</v>
      </c>
      <c r="AI3670" t="str">
        <f>"4C9-W0045-00-CM"</f>
        <v>4C9-W0045-00-CM</v>
      </c>
      <c r="AJ3670" t="str">
        <f>"4C9-W0045-00-CM"</f>
        <v>4C9-W0045-00-CM</v>
      </c>
      <c r="AK3670" t="s">
        <v>46</v>
      </c>
      <c r="AL3670" s="1">
        <v>44870.647256944445</v>
      </c>
      <c r="AM3670" t="s">
        <v>44</v>
      </c>
    </row>
    <row r="3671" spans="1:39" x14ac:dyDescent="0.2">
      <c r="A3671" t="s">
        <v>3481</v>
      </c>
      <c r="B3671" t="s">
        <v>40</v>
      </c>
      <c r="C3671" t="s">
        <v>3380</v>
      </c>
      <c r="D3671" t="s">
        <v>42</v>
      </c>
      <c r="E3671" t="s">
        <v>43</v>
      </c>
      <c r="F3671" t="s">
        <v>44</v>
      </c>
      <c r="G3671" t="s">
        <v>45</v>
      </c>
      <c r="H3671" t="s">
        <v>3483</v>
      </c>
      <c r="AH3671" t="s">
        <v>42</v>
      </c>
      <c r="AI3671" t="str">
        <f>"4C9-W0045-00JP"</f>
        <v>4C9-W0045-00JP</v>
      </c>
      <c r="AJ3671" t="str">
        <f>"4C9-W0045-00JP"</f>
        <v>4C9-W0045-00JP</v>
      </c>
      <c r="AK3671" t="s">
        <v>46</v>
      </c>
      <c r="AL3671" s="1">
        <v>44816.559699074074</v>
      </c>
      <c r="AM3671" t="s">
        <v>44</v>
      </c>
    </row>
    <row r="3672" spans="1:39" x14ac:dyDescent="0.2">
      <c r="A3672" t="s">
        <v>3484</v>
      </c>
      <c r="B3672" t="s">
        <v>40</v>
      </c>
      <c r="C3672" t="s">
        <v>3380</v>
      </c>
      <c r="D3672" t="s">
        <v>42</v>
      </c>
      <c r="E3672" t="s">
        <v>43</v>
      </c>
      <c r="F3672" t="s">
        <v>44</v>
      </c>
      <c r="G3672" t="s">
        <v>45</v>
      </c>
      <c r="AH3672" t="s">
        <v>42</v>
      </c>
      <c r="AI3672" t="str">
        <f>"66298915936038"</f>
        <v>66298915936038</v>
      </c>
      <c r="AJ3672" t="str">
        <f>"400296"</f>
        <v>400296</v>
      </c>
      <c r="AK3672" t="s">
        <v>46</v>
      </c>
      <c r="AL3672" s="1">
        <v>44816.559710648151</v>
      </c>
      <c r="AM3672" t="s">
        <v>44</v>
      </c>
    </row>
    <row r="3673" spans="1:39" x14ac:dyDescent="0.2">
      <c r="A3673" t="s">
        <v>3485</v>
      </c>
      <c r="B3673" t="s">
        <v>40</v>
      </c>
      <c r="C3673" t="s">
        <v>3380</v>
      </c>
      <c r="D3673" t="s">
        <v>42</v>
      </c>
      <c r="E3673" t="s">
        <v>43</v>
      </c>
      <c r="F3673" t="s">
        <v>44</v>
      </c>
      <c r="G3673" t="s">
        <v>45</v>
      </c>
      <c r="AH3673" t="s">
        <v>42</v>
      </c>
      <c r="AI3673" t="str">
        <f>"U020"</f>
        <v>U020</v>
      </c>
      <c r="AJ3673" t="str">
        <f>"U020"</f>
        <v>U020</v>
      </c>
      <c r="AK3673" t="s">
        <v>46</v>
      </c>
      <c r="AL3673" s="1">
        <v>45093.803993055553</v>
      </c>
      <c r="AM3673" t="s">
        <v>44</v>
      </c>
    </row>
    <row r="3674" spans="1:39" x14ac:dyDescent="0.2">
      <c r="A3674" t="s">
        <v>3486</v>
      </c>
      <c r="B3674" t="s">
        <v>40</v>
      </c>
      <c r="C3674" t="s">
        <v>3380</v>
      </c>
      <c r="D3674" t="s">
        <v>42</v>
      </c>
      <c r="E3674" t="s">
        <v>43</v>
      </c>
      <c r="F3674" t="s">
        <v>44</v>
      </c>
      <c r="G3674" t="s">
        <v>45</v>
      </c>
      <c r="AH3674" t="s">
        <v>42</v>
      </c>
      <c r="AI3674" t="str">
        <f>"11417"</f>
        <v>11417</v>
      </c>
      <c r="AJ3674" t="str">
        <f>"11417"</f>
        <v>11417</v>
      </c>
      <c r="AK3674" t="s">
        <v>46</v>
      </c>
      <c r="AL3674" s="1">
        <v>44868.857175925928</v>
      </c>
      <c r="AM3674" t="s">
        <v>44</v>
      </c>
    </row>
    <row r="3675" spans="1:39" x14ac:dyDescent="0.2">
      <c r="A3675" t="s">
        <v>3487</v>
      </c>
      <c r="B3675" t="s">
        <v>40</v>
      </c>
      <c r="C3675" t="s">
        <v>3380</v>
      </c>
      <c r="D3675" t="s">
        <v>42</v>
      </c>
      <c r="E3675" t="s">
        <v>43</v>
      </c>
      <c r="F3675" t="s">
        <v>44</v>
      </c>
      <c r="G3675" t="s">
        <v>45</v>
      </c>
      <c r="AH3675" t="s">
        <v>42</v>
      </c>
      <c r="AI3675" t="str">
        <f>"66298915981957"</f>
        <v>66298915981957</v>
      </c>
      <c r="AJ3675" t="str">
        <f>"LMP462SR"</f>
        <v>LMP462SR</v>
      </c>
      <c r="AK3675" t="s">
        <v>46</v>
      </c>
      <c r="AL3675" s="1">
        <v>44816.559710648151</v>
      </c>
      <c r="AM3675" t="s">
        <v>44</v>
      </c>
    </row>
    <row r="3676" spans="1:39" x14ac:dyDescent="0.2">
      <c r="A3676" t="s">
        <v>3488</v>
      </c>
      <c r="B3676" t="s">
        <v>40</v>
      </c>
      <c r="C3676" t="s">
        <v>3380</v>
      </c>
      <c r="D3676" t="s">
        <v>42</v>
      </c>
      <c r="E3676" t="s">
        <v>43</v>
      </c>
      <c r="F3676" t="s">
        <v>44</v>
      </c>
      <c r="G3676" t="s">
        <v>45</v>
      </c>
      <c r="AH3676" t="s">
        <v>42</v>
      </c>
      <c r="AI3676" t="str">
        <f>"66298916029498"</f>
        <v>66298916029498</v>
      </c>
      <c r="AJ3676" t="str">
        <f>"17C-W0045-00JP"</f>
        <v>17C-W0045-00JP</v>
      </c>
      <c r="AK3676" t="s">
        <v>46</v>
      </c>
      <c r="AL3676" s="1">
        <v>44816.55972222222</v>
      </c>
      <c r="AM3676" t="s">
        <v>44</v>
      </c>
    </row>
    <row r="3677" spans="1:39" x14ac:dyDescent="0.2">
      <c r="A3677" t="s">
        <v>3489</v>
      </c>
      <c r="B3677" t="s">
        <v>40</v>
      </c>
      <c r="C3677" t="s">
        <v>3380</v>
      </c>
      <c r="D3677" t="s">
        <v>42</v>
      </c>
      <c r="E3677" t="s">
        <v>43</v>
      </c>
      <c r="F3677" t="s">
        <v>44</v>
      </c>
      <c r="G3677" t="s">
        <v>45</v>
      </c>
      <c r="AH3677" t="s">
        <v>42</v>
      </c>
      <c r="AI3677" t="str">
        <f>"66298916073071"</f>
        <v>66298916073071</v>
      </c>
      <c r="AJ3677" t="str">
        <f>"5S9-W0045-00JP"</f>
        <v>5S9-W0045-00JP</v>
      </c>
      <c r="AK3677" t="s">
        <v>46</v>
      </c>
      <c r="AL3677" s="1">
        <v>44816.55972222222</v>
      </c>
      <c r="AM3677" t="s">
        <v>44</v>
      </c>
    </row>
    <row r="3678" spans="1:39" x14ac:dyDescent="0.2">
      <c r="A3678" t="s">
        <v>3490</v>
      </c>
      <c r="B3678" t="s">
        <v>40</v>
      </c>
      <c r="C3678" t="s">
        <v>3380</v>
      </c>
      <c r="D3678" t="s">
        <v>42</v>
      </c>
      <c r="E3678" t="s">
        <v>43</v>
      </c>
      <c r="F3678" t="s">
        <v>44</v>
      </c>
      <c r="G3678" t="s">
        <v>45</v>
      </c>
      <c r="AH3678" t="s">
        <v>42</v>
      </c>
      <c r="AI3678" t="str">
        <f>"66298916174695"</f>
        <v>66298916174695</v>
      </c>
      <c r="AJ3678" t="str">
        <f>"FA606HH"</f>
        <v>FA606HH</v>
      </c>
      <c r="AK3678" t="s">
        <v>46</v>
      </c>
      <c r="AL3678" s="1">
        <v>44816.559733796297</v>
      </c>
      <c r="AM3678" t="s">
        <v>44</v>
      </c>
    </row>
    <row r="3679" spans="1:39" x14ac:dyDescent="0.2">
      <c r="A3679" t="s">
        <v>3491</v>
      </c>
      <c r="B3679" t="s">
        <v>40</v>
      </c>
      <c r="C3679" t="s">
        <v>3380</v>
      </c>
      <c r="D3679" t="s">
        <v>42</v>
      </c>
      <c r="E3679" t="s">
        <v>43</v>
      </c>
      <c r="F3679" t="s">
        <v>44</v>
      </c>
      <c r="G3679" t="s">
        <v>45</v>
      </c>
      <c r="AH3679" t="s">
        <v>42</v>
      </c>
      <c r="AI3679" t="str">
        <f>"66298916115251"</f>
        <v>66298916115251</v>
      </c>
      <c r="AJ3679" t="str">
        <f>"MBP-606HH"</f>
        <v>MBP-606HH</v>
      </c>
      <c r="AK3679" t="s">
        <v>46</v>
      </c>
      <c r="AL3679" s="1">
        <v>44816.559733796297</v>
      </c>
      <c r="AM3679" t="s">
        <v>44</v>
      </c>
    </row>
    <row r="3680" spans="1:39" x14ac:dyDescent="0.2">
      <c r="A3680" t="s">
        <v>3492</v>
      </c>
      <c r="B3680" t="s">
        <v>40</v>
      </c>
      <c r="C3680" t="s">
        <v>3380</v>
      </c>
      <c r="D3680" t="s">
        <v>42</v>
      </c>
      <c r="E3680" t="s">
        <v>43</v>
      </c>
      <c r="F3680" t="s">
        <v>44</v>
      </c>
      <c r="G3680" t="s">
        <v>45</v>
      </c>
      <c r="AH3680" t="s">
        <v>42</v>
      </c>
      <c r="AI3680" t="str">
        <f>"LMP481SR"</f>
        <v>LMP481SR</v>
      </c>
      <c r="AJ3680" t="str">
        <f>"LMP481SR"</f>
        <v>LMP481SR</v>
      </c>
      <c r="AK3680" t="s">
        <v>46</v>
      </c>
      <c r="AL3680" s="1">
        <v>44939.79105324074</v>
      </c>
      <c r="AM3680" t="s">
        <v>44</v>
      </c>
    </row>
    <row r="3681" spans="1:39" x14ac:dyDescent="0.2">
      <c r="A3681" t="s">
        <v>3493</v>
      </c>
      <c r="B3681" t="s">
        <v>40</v>
      </c>
      <c r="C3681" t="s">
        <v>3380</v>
      </c>
      <c r="D3681" t="s">
        <v>42</v>
      </c>
      <c r="E3681" t="s">
        <v>43</v>
      </c>
      <c r="F3681" t="s">
        <v>44</v>
      </c>
      <c r="G3681" t="s">
        <v>45</v>
      </c>
      <c r="AH3681" t="s">
        <v>42</v>
      </c>
      <c r="AI3681" t="str">
        <f>"69100-04830-CM"</f>
        <v>69100-04830-CM</v>
      </c>
      <c r="AJ3681" t="str">
        <f>"69100-04830-CM"</f>
        <v>69100-04830-CM</v>
      </c>
      <c r="AK3681" t="s">
        <v>46</v>
      </c>
      <c r="AL3681" s="1">
        <v>44898.619537037041</v>
      </c>
      <c r="AM3681" t="s">
        <v>44</v>
      </c>
    </row>
    <row r="3682" spans="1:39" x14ac:dyDescent="0.2">
      <c r="A3682" t="s">
        <v>3494</v>
      </c>
      <c r="B3682" t="s">
        <v>40</v>
      </c>
      <c r="C3682" t="s">
        <v>3380</v>
      </c>
      <c r="D3682" t="s">
        <v>42</v>
      </c>
      <c r="E3682" t="s">
        <v>43</v>
      </c>
      <c r="F3682" t="s">
        <v>44</v>
      </c>
      <c r="G3682" t="s">
        <v>45</v>
      </c>
      <c r="AH3682" t="s">
        <v>42</v>
      </c>
      <c r="AI3682" t="str">
        <f>"LMP500SF"</f>
        <v>LMP500SF</v>
      </c>
      <c r="AJ3682" t="str">
        <f>"LMP500SF"</f>
        <v>LMP500SF</v>
      </c>
      <c r="AK3682" t="s">
        <v>46</v>
      </c>
      <c r="AL3682" s="1">
        <v>44883.85732638889</v>
      </c>
      <c r="AM3682" t="s">
        <v>44</v>
      </c>
    </row>
    <row r="3683" spans="1:39" x14ac:dyDescent="0.2">
      <c r="A3683" t="s">
        <v>3495</v>
      </c>
      <c r="B3683" t="s">
        <v>40</v>
      </c>
      <c r="C3683" t="s">
        <v>3380</v>
      </c>
      <c r="D3683" t="s">
        <v>42</v>
      </c>
      <c r="E3683" t="s">
        <v>43</v>
      </c>
      <c r="F3683" t="s">
        <v>44</v>
      </c>
      <c r="G3683" t="s">
        <v>45</v>
      </c>
      <c r="AH3683" t="s">
        <v>42</v>
      </c>
      <c r="AI3683" t="str">
        <f>"66298916226472"</f>
        <v>66298916226472</v>
      </c>
      <c r="AJ3683" t="str">
        <f>"FA630HH"</f>
        <v>FA630HH</v>
      </c>
      <c r="AK3683" t="s">
        <v>46</v>
      </c>
      <c r="AL3683" s="1">
        <v>44816.559745370374</v>
      </c>
      <c r="AM3683" t="s">
        <v>44</v>
      </c>
    </row>
    <row r="3684" spans="1:39" x14ac:dyDescent="0.2">
      <c r="A3684" t="s">
        <v>3496</v>
      </c>
      <c r="B3684" t="s">
        <v>40</v>
      </c>
      <c r="C3684" t="s">
        <v>3380</v>
      </c>
      <c r="D3684" t="s">
        <v>42</v>
      </c>
      <c r="E3684" t="s">
        <v>43</v>
      </c>
      <c r="F3684" t="s">
        <v>44</v>
      </c>
      <c r="G3684" t="s">
        <v>45</v>
      </c>
      <c r="AH3684" t="s">
        <v>42</v>
      </c>
      <c r="AI3684" t="str">
        <f>"66298916279409"</f>
        <v>66298916279409</v>
      </c>
      <c r="AJ3684" t="str">
        <f>"59301-30810-000"</f>
        <v>59301-30810-000</v>
      </c>
      <c r="AK3684" t="s">
        <v>46</v>
      </c>
      <c r="AL3684" s="1">
        <v>44816.559745370374</v>
      </c>
      <c r="AM3684" t="s">
        <v>44</v>
      </c>
    </row>
    <row r="3685" spans="1:39" x14ac:dyDescent="0.2">
      <c r="A3685" t="s">
        <v>3497</v>
      </c>
      <c r="B3685" t="s">
        <v>40</v>
      </c>
      <c r="C3685" t="s">
        <v>3380</v>
      </c>
      <c r="D3685" t="s">
        <v>42</v>
      </c>
      <c r="E3685" t="s">
        <v>43</v>
      </c>
      <c r="F3685" t="s">
        <v>44</v>
      </c>
      <c r="G3685" t="s">
        <v>45</v>
      </c>
      <c r="AH3685" t="s">
        <v>42</v>
      </c>
      <c r="AI3685" t="str">
        <f>"66298916321472"</f>
        <v>66298916321472</v>
      </c>
      <c r="AJ3685" t="str">
        <f>"P10052"</f>
        <v>P10052</v>
      </c>
      <c r="AK3685" t="s">
        <v>46</v>
      </c>
      <c r="AL3685" s="1">
        <v>44816.559756944444</v>
      </c>
      <c r="AM3685" t="s">
        <v>44</v>
      </c>
    </row>
    <row r="3686" spans="1:39" x14ac:dyDescent="0.2">
      <c r="A3686" t="s">
        <v>3498</v>
      </c>
      <c r="B3686" t="s">
        <v>40</v>
      </c>
      <c r="C3686" t="s">
        <v>3380</v>
      </c>
      <c r="D3686" t="s">
        <v>42</v>
      </c>
      <c r="E3686" t="s">
        <v>43</v>
      </c>
      <c r="F3686" t="s">
        <v>44</v>
      </c>
      <c r="G3686" t="s">
        <v>45</v>
      </c>
      <c r="AH3686" t="s">
        <v>42</v>
      </c>
      <c r="AI3686" t="str">
        <f>"66298916366391"</f>
        <v>66298916366391</v>
      </c>
      <c r="AJ3686" t="str">
        <f>"06455-KCC-841CM"</f>
        <v>06455-KCC-841CM</v>
      </c>
      <c r="AK3686" t="s">
        <v>46</v>
      </c>
      <c r="AL3686" s="1">
        <v>44816.559756944444</v>
      </c>
      <c r="AM3686" t="s">
        <v>44</v>
      </c>
    </row>
    <row r="3687" spans="1:39" x14ac:dyDescent="0.2">
      <c r="A3687" t="s">
        <v>3499</v>
      </c>
      <c r="B3687" t="s">
        <v>40</v>
      </c>
      <c r="C3687" t="s">
        <v>3380</v>
      </c>
      <c r="D3687" t="s">
        <v>42</v>
      </c>
      <c r="E3687" t="s">
        <v>43</v>
      </c>
      <c r="F3687" t="s">
        <v>44</v>
      </c>
      <c r="G3687" t="s">
        <v>45</v>
      </c>
      <c r="AH3687" t="s">
        <v>42</v>
      </c>
      <c r="AI3687" t="str">
        <f>"59100-34880CM"</f>
        <v>59100-34880CM</v>
      </c>
      <c r="AJ3687" t="str">
        <f>"59100-34880CM"</f>
        <v>59100-34880CM</v>
      </c>
      <c r="AK3687" t="s">
        <v>46</v>
      </c>
      <c r="AL3687" s="1">
        <v>44819.584629629629</v>
      </c>
      <c r="AM3687" t="s">
        <v>44</v>
      </c>
    </row>
    <row r="3688" spans="1:39" x14ac:dyDescent="0.2">
      <c r="A3688" t="s">
        <v>3499</v>
      </c>
      <c r="B3688" t="s">
        <v>40</v>
      </c>
      <c r="C3688" t="s">
        <v>3380</v>
      </c>
      <c r="D3688" t="s">
        <v>42</v>
      </c>
      <c r="E3688" t="s">
        <v>43</v>
      </c>
      <c r="F3688" t="s">
        <v>44</v>
      </c>
      <c r="G3688" t="s">
        <v>45</v>
      </c>
      <c r="AH3688" t="s">
        <v>42</v>
      </c>
      <c r="AI3688" t="str">
        <f>"06455-KCC-841SEMI"</f>
        <v>06455-KCC-841SEMI</v>
      </c>
      <c r="AJ3688" t="str">
        <f>"06455-KCC-841SEMI"</f>
        <v>06455-KCC-841SEMI</v>
      </c>
      <c r="AK3688" t="s">
        <v>46</v>
      </c>
      <c r="AL3688" s="1">
        <v>44855.711064814815</v>
      </c>
      <c r="AM3688" t="s">
        <v>44</v>
      </c>
    </row>
    <row r="3689" spans="1:39" x14ac:dyDescent="0.2">
      <c r="A3689" t="s">
        <v>3500</v>
      </c>
      <c r="B3689" t="s">
        <v>40</v>
      </c>
      <c r="C3689" t="s">
        <v>3380</v>
      </c>
      <c r="D3689" t="s">
        <v>42</v>
      </c>
      <c r="E3689" t="s">
        <v>43</v>
      </c>
      <c r="F3689" t="s">
        <v>44</v>
      </c>
      <c r="G3689" t="s">
        <v>45</v>
      </c>
      <c r="AH3689" t="s">
        <v>42</v>
      </c>
      <c r="AI3689" t="str">
        <f>"66298916411768"</f>
        <v>66298916411768</v>
      </c>
      <c r="AJ3689" t="str">
        <f>"400298"</f>
        <v>400298</v>
      </c>
      <c r="AK3689" t="s">
        <v>46</v>
      </c>
      <c r="AL3689" s="1">
        <v>44816.55976851852</v>
      </c>
      <c r="AM3689" t="s">
        <v>44</v>
      </c>
    </row>
    <row r="3690" spans="1:39" x14ac:dyDescent="0.2">
      <c r="A3690" t="s">
        <v>3501</v>
      </c>
      <c r="B3690" t="s">
        <v>40</v>
      </c>
      <c r="C3690" t="s">
        <v>3380</v>
      </c>
      <c r="D3690" t="s">
        <v>42</v>
      </c>
      <c r="E3690" t="s">
        <v>43</v>
      </c>
      <c r="F3690" t="s">
        <v>44</v>
      </c>
      <c r="G3690" t="s">
        <v>45</v>
      </c>
      <c r="AH3690" t="s">
        <v>42</v>
      </c>
      <c r="AI3690" t="str">
        <f>"06435-KSP-B01-CM"</f>
        <v>06435-KSP-B01-CM</v>
      </c>
      <c r="AJ3690" t="str">
        <f>"06435-KSP-B01-CM"</f>
        <v>06435-KSP-B01-CM</v>
      </c>
      <c r="AK3690" t="s">
        <v>46</v>
      </c>
      <c r="AL3690" s="1">
        <v>44870.694641203707</v>
      </c>
      <c r="AM3690" t="s">
        <v>44</v>
      </c>
    </row>
    <row r="3691" spans="1:39" x14ac:dyDescent="0.2">
      <c r="A3691" t="s">
        <v>3501</v>
      </c>
      <c r="B3691" t="s">
        <v>40</v>
      </c>
      <c r="C3691" t="s">
        <v>3380</v>
      </c>
      <c r="D3691" t="s">
        <v>42</v>
      </c>
      <c r="E3691" t="s">
        <v>43</v>
      </c>
      <c r="F3691" t="s">
        <v>44</v>
      </c>
      <c r="G3691" t="s">
        <v>45</v>
      </c>
      <c r="AH3691" t="s">
        <v>42</v>
      </c>
      <c r="AI3691" t="str">
        <f>"U040"</f>
        <v>U040</v>
      </c>
      <c r="AJ3691" t="str">
        <f>"U040"</f>
        <v>U040</v>
      </c>
      <c r="AK3691" t="s">
        <v>46</v>
      </c>
      <c r="AL3691" s="1">
        <v>45093.804675925923</v>
      </c>
      <c r="AM3691" t="s">
        <v>44</v>
      </c>
    </row>
    <row r="3692" spans="1:39" x14ac:dyDescent="0.2">
      <c r="A3692" t="s">
        <v>3502</v>
      </c>
      <c r="B3692" t="s">
        <v>40</v>
      </c>
      <c r="C3692" t="s">
        <v>3380</v>
      </c>
      <c r="D3692" t="s">
        <v>42</v>
      </c>
      <c r="E3692" t="s">
        <v>43</v>
      </c>
      <c r="F3692" t="s">
        <v>44</v>
      </c>
      <c r="G3692" t="s">
        <v>45</v>
      </c>
      <c r="AH3692" t="s">
        <v>42</v>
      </c>
      <c r="AI3692" t="str">
        <f>"66298917121260"</f>
        <v>66298917121260</v>
      </c>
      <c r="AJ3692" t="str">
        <f>"59100-41HAOJP"</f>
        <v>59100-41HAOJP</v>
      </c>
      <c r="AK3692" t="s">
        <v>46</v>
      </c>
      <c r="AL3692" s="1">
        <v>44816.559849537036</v>
      </c>
      <c r="AM3692" t="s">
        <v>44</v>
      </c>
    </row>
    <row r="3693" spans="1:39" x14ac:dyDescent="0.2">
      <c r="A3693" t="s">
        <v>3502</v>
      </c>
      <c r="B3693" t="s">
        <v>40</v>
      </c>
      <c r="C3693" t="s">
        <v>3380</v>
      </c>
      <c r="D3693" t="s">
        <v>42</v>
      </c>
      <c r="E3693" t="s">
        <v>43</v>
      </c>
      <c r="F3693" t="s">
        <v>44</v>
      </c>
      <c r="G3693" t="s">
        <v>45</v>
      </c>
      <c r="AH3693" t="s">
        <v>42</v>
      </c>
      <c r="AI3693" t="str">
        <f>"12889"</f>
        <v>12889</v>
      </c>
      <c r="AJ3693" t="str">
        <f>"12889"</f>
        <v>12889</v>
      </c>
      <c r="AK3693" t="s">
        <v>46</v>
      </c>
      <c r="AL3693" s="1">
        <v>45006.623344907406</v>
      </c>
      <c r="AM3693" t="s">
        <v>44</v>
      </c>
    </row>
    <row r="3694" spans="1:39" x14ac:dyDescent="0.2">
      <c r="A3694" t="s">
        <v>3503</v>
      </c>
      <c r="B3694" t="s">
        <v>40</v>
      </c>
      <c r="C3694" t="s">
        <v>3380</v>
      </c>
      <c r="D3694" t="s">
        <v>42</v>
      </c>
      <c r="E3694" t="s">
        <v>43</v>
      </c>
      <c r="F3694" t="s">
        <v>44</v>
      </c>
      <c r="G3694" t="s">
        <v>45</v>
      </c>
      <c r="AH3694" t="s">
        <v>42</v>
      </c>
      <c r="AI3694" t="str">
        <f>"U045"</f>
        <v>U045</v>
      </c>
      <c r="AJ3694" t="str">
        <f>"U045"</f>
        <v>U045</v>
      </c>
      <c r="AK3694" t="s">
        <v>46</v>
      </c>
      <c r="AL3694" s="1">
        <v>45093.805868055555</v>
      </c>
      <c r="AM3694" t="s">
        <v>44</v>
      </c>
    </row>
    <row r="3695" spans="1:39" x14ac:dyDescent="0.2">
      <c r="A3695" t="s">
        <v>3504</v>
      </c>
      <c r="B3695" t="s">
        <v>40</v>
      </c>
      <c r="C3695" t="s">
        <v>3380</v>
      </c>
      <c r="D3695" t="s">
        <v>42</v>
      </c>
      <c r="E3695" t="s">
        <v>43</v>
      </c>
      <c r="F3695" t="s">
        <v>44</v>
      </c>
      <c r="G3695" t="s">
        <v>45</v>
      </c>
      <c r="AH3695" t="s">
        <v>42</v>
      </c>
      <c r="AI3695" t="str">
        <f>"66298916451659"</f>
        <v>66298916451659</v>
      </c>
      <c r="AJ3695" t="str">
        <f>"400299"</f>
        <v>400299</v>
      </c>
      <c r="AK3695" t="s">
        <v>46</v>
      </c>
      <c r="AL3695" s="1">
        <v>44816.55976851852</v>
      </c>
      <c r="AM3695" t="s">
        <v>44</v>
      </c>
    </row>
    <row r="3696" spans="1:39" x14ac:dyDescent="0.2">
      <c r="A3696" t="s">
        <v>3505</v>
      </c>
      <c r="B3696" t="s">
        <v>40</v>
      </c>
      <c r="C3696" t="s">
        <v>3380</v>
      </c>
      <c r="D3696" t="s">
        <v>42</v>
      </c>
      <c r="E3696" t="s">
        <v>43</v>
      </c>
      <c r="F3696" t="s">
        <v>44</v>
      </c>
      <c r="G3696" t="s">
        <v>45</v>
      </c>
      <c r="AH3696" t="s">
        <v>42</v>
      </c>
      <c r="AI3696" t="str">
        <f>"3509"</f>
        <v>3509</v>
      </c>
      <c r="AJ3696" t="str">
        <f>"3509"</f>
        <v>3509</v>
      </c>
      <c r="AK3696" t="s">
        <v>46</v>
      </c>
      <c r="AL3696" s="1">
        <v>44877.683310185188</v>
      </c>
      <c r="AM3696" t="s">
        <v>44</v>
      </c>
    </row>
    <row r="3697" spans="1:39" x14ac:dyDescent="0.2">
      <c r="A3697" t="s">
        <v>3505</v>
      </c>
      <c r="B3697" t="s">
        <v>40</v>
      </c>
      <c r="C3697" t="s">
        <v>3380</v>
      </c>
      <c r="D3697" t="s">
        <v>42</v>
      </c>
      <c r="E3697" t="s">
        <v>43</v>
      </c>
      <c r="F3697" t="s">
        <v>44</v>
      </c>
      <c r="G3697" t="s">
        <v>45</v>
      </c>
      <c r="AH3697" t="s">
        <v>42</v>
      </c>
      <c r="AI3697" t="str">
        <f>"12890"</f>
        <v>12890</v>
      </c>
      <c r="AJ3697" t="str">
        <f>"12890"</f>
        <v>12890</v>
      </c>
      <c r="AK3697" t="s">
        <v>46</v>
      </c>
      <c r="AL3697" s="1">
        <v>45006.619791666664</v>
      </c>
      <c r="AM3697" t="s">
        <v>44</v>
      </c>
    </row>
    <row r="3698" spans="1:39" x14ac:dyDescent="0.2">
      <c r="A3698" t="s">
        <v>3506</v>
      </c>
      <c r="B3698" t="s">
        <v>40</v>
      </c>
      <c r="C3698" t="s">
        <v>3380</v>
      </c>
      <c r="D3698" t="s">
        <v>42</v>
      </c>
      <c r="E3698" t="s">
        <v>43</v>
      </c>
      <c r="F3698" t="s">
        <v>44</v>
      </c>
      <c r="G3698" t="s">
        <v>45</v>
      </c>
      <c r="AH3698" t="s">
        <v>42</v>
      </c>
      <c r="AI3698" t="str">
        <f>"12350"</f>
        <v>12350</v>
      </c>
      <c r="AJ3698" t="str">
        <f>"12350"</f>
        <v>12350</v>
      </c>
      <c r="AK3698" t="s">
        <v>46</v>
      </c>
      <c r="AL3698" s="1">
        <v>45062.626354166663</v>
      </c>
      <c r="AM3698" t="s">
        <v>44</v>
      </c>
    </row>
    <row r="3699" spans="1:39" x14ac:dyDescent="0.2">
      <c r="A3699" t="s">
        <v>3507</v>
      </c>
      <c r="B3699" t="s">
        <v>40</v>
      </c>
      <c r="C3699" t="s">
        <v>3380</v>
      </c>
      <c r="D3699" t="s">
        <v>42</v>
      </c>
      <c r="E3699" t="s">
        <v>43</v>
      </c>
      <c r="F3699" t="s">
        <v>44</v>
      </c>
      <c r="G3699" t="s">
        <v>45</v>
      </c>
      <c r="AH3699" t="s">
        <v>42</v>
      </c>
      <c r="AI3699" t="str">
        <f>"66298916489440"</f>
        <v>66298916489440</v>
      </c>
      <c r="AJ3699" t="str">
        <f>"MBP-63HH"</f>
        <v>MBP-63HH</v>
      </c>
      <c r="AK3699" t="s">
        <v>46</v>
      </c>
      <c r="AL3699" s="1">
        <v>44816.55976851852</v>
      </c>
      <c r="AM3699" t="s">
        <v>44</v>
      </c>
    </row>
    <row r="3700" spans="1:39" x14ac:dyDescent="0.2">
      <c r="A3700" t="s">
        <v>3508</v>
      </c>
      <c r="B3700" t="s">
        <v>40</v>
      </c>
      <c r="C3700" t="s">
        <v>3380</v>
      </c>
      <c r="D3700" t="s">
        <v>42</v>
      </c>
      <c r="E3700" t="s">
        <v>43</v>
      </c>
      <c r="F3700" t="s">
        <v>44</v>
      </c>
      <c r="G3700" t="s">
        <v>45</v>
      </c>
      <c r="AH3700" t="s">
        <v>42</v>
      </c>
      <c r="AI3700" t="str">
        <f>"66298916532785"</f>
        <v>66298916532785</v>
      </c>
      <c r="AJ3700" t="str">
        <f>"MBP-67HH"</f>
        <v>MBP-67HH</v>
      </c>
      <c r="AK3700" t="s">
        <v>46</v>
      </c>
      <c r="AL3700" s="1">
        <v>44816.55978009259</v>
      </c>
      <c r="AM3700" t="s">
        <v>44</v>
      </c>
    </row>
    <row r="3701" spans="1:39" x14ac:dyDescent="0.2">
      <c r="A3701" t="s">
        <v>3509</v>
      </c>
      <c r="B3701" t="s">
        <v>40</v>
      </c>
      <c r="C3701" t="s">
        <v>3380</v>
      </c>
      <c r="D3701" t="s">
        <v>42</v>
      </c>
      <c r="E3701" t="s">
        <v>43</v>
      </c>
      <c r="F3701" t="s">
        <v>44</v>
      </c>
      <c r="G3701" t="s">
        <v>45</v>
      </c>
      <c r="AH3701" t="s">
        <v>42</v>
      </c>
      <c r="AI3701" t="str">
        <f>"66298916573933"</f>
        <v>66298916573933</v>
      </c>
      <c r="AJ3701" t="str">
        <f>"MBP-228HH"</f>
        <v>MBP-228HH</v>
      </c>
      <c r="AK3701" t="s">
        <v>46</v>
      </c>
      <c r="AL3701" s="1">
        <v>44816.55978009259</v>
      </c>
      <c r="AM3701" t="s">
        <v>44</v>
      </c>
    </row>
    <row r="3702" spans="1:39" x14ac:dyDescent="0.2">
      <c r="A3702" t="s">
        <v>3510</v>
      </c>
      <c r="B3702" t="s">
        <v>40</v>
      </c>
      <c r="C3702" t="s">
        <v>3380</v>
      </c>
      <c r="D3702" t="s">
        <v>42</v>
      </c>
      <c r="E3702" t="s">
        <v>43</v>
      </c>
      <c r="F3702" t="s">
        <v>44</v>
      </c>
      <c r="G3702" t="s">
        <v>45</v>
      </c>
      <c r="AH3702" t="s">
        <v>42</v>
      </c>
      <c r="AI3702" t="str">
        <f>"MBP-140HH"</f>
        <v>MBP-140HH</v>
      </c>
      <c r="AJ3702" t="str">
        <f>"MBP-140HH"</f>
        <v>MBP-140HH</v>
      </c>
      <c r="AK3702" t="s">
        <v>46</v>
      </c>
      <c r="AL3702" s="1">
        <v>44902.810844907406</v>
      </c>
      <c r="AM3702" t="s">
        <v>44</v>
      </c>
    </row>
    <row r="3703" spans="1:39" x14ac:dyDescent="0.2">
      <c r="A3703" t="s">
        <v>3511</v>
      </c>
      <c r="B3703" t="s">
        <v>40</v>
      </c>
      <c r="C3703" t="s">
        <v>3380</v>
      </c>
      <c r="D3703" t="s">
        <v>42</v>
      </c>
      <c r="E3703" t="s">
        <v>43</v>
      </c>
      <c r="F3703" t="s">
        <v>44</v>
      </c>
      <c r="G3703" t="s">
        <v>45</v>
      </c>
      <c r="AH3703" t="s">
        <v>42</v>
      </c>
      <c r="AI3703" t="str">
        <f>"66298916616919"</f>
        <v>66298916616919</v>
      </c>
      <c r="AJ3703" t="str">
        <f>"MBP-158HH"</f>
        <v>MBP-158HH</v>
      </c>
      <c r="AK3703" t="s">
        <v>46</v>
      </c>
      <c r="AL3703" s="1">
        <v>44816.559791666667</v>
      </c>
      <c r="AM3703" t="s">
        <v>44</v>
      </c>
    </row>
    <row r="3704" spans="1:39" x14ac:dyDescent="0.2">
      <c r="A3704" t="s">
        <v>3512</v>
      </c>
      <c r="B3704" t="s">
        <v>40</v>
      </c>
      <c r="C3704" t="s">
        <v>3380</v>
      </c>
      <c r="D3704" t="s">
        <v>42</v>
      </c>
      <c r="E3704" t="s">
        <v>43</v>
      </c>
      <c r="F3704" t="s">
        <v>44</v>
      </c>
      <c r="G3704" t="s">
        <v>45</v>
      </c>
      <c r="AH3704" t="s">
        <v>42</v>
      </c>
      <c r="AI3704" t="str">
        <f>"MBP-152HH"</f>
        <v>MBP-152HH</v>
      </c>
      <c r="AJ3704" t="str">
        <f>"MBP-152HH"</f>
        <v>MBP-152HH</v>
      </c>
      <c r="AK3704" t="s">
        <v>46</v>
      </c>
      <c r="AL3704" s="1">
        <v>44870.654444444444</v>
      </c>
      <c r="AM3704" t="s">
        <v>44</v>
      </c>
    </row>
    <row r="3705" spans="1:39" x14ac:dyDescent="0.2">
      <c r="A3705" t="s">
        <v>3513</v>
      </c>
      <c r="B3705" t="s">
        <v>40</v>
      </c>
      <c r="C3705" t="s">
        <v>3380</v>
      </c>
      <c r="D3705" t="s">
        <v>42</v>
      </c>
      <c r="E3705" t="s">
        <v>43</v>
      </c>
      <c r="F3705" t="s">
        <v>44</v>
      </c>
      <c r="G3705" t="s">
        <v>45</v>
      </c>
      <c r="AH3705" t="s">
        <v>42</v>
      </c>
      <c r="AI3705" t="str">
        <f>"MBP-252HH"</f>
        <v>MBP-252HH</v>
      </c>
      <c r="AJ3705" t="str">
        <f>"MBP-252HH"</f>
        <v>MBP-252HH</v>
      </c>
      <c r="AK3705" t="s">
        <v>46</v>
      </c>
      <c r="AL3705" s="1">
        <v>44819.586261574077</v>
      </c>
      <c r="AM3705" t="s">
        <v>44</v>
      </c>
    </row>
    <row r="3706" spans="1:39" x14ac:dyDescent="0.2">
      <c r="A3706" t="s">
        <v>3514</v>
      </c>
      <c r="B3706" t="s">
        <v>40</v>
      </c>
      <c r="C3706" t="s">
        <v>3380</v>
      </c>
      <c r="D3706" t="s">
        <v>42</v>
      </c>
      <c r="E3706" t="s">
        <v>43</v>
      </c>
      <c r="F3706" t="s">
        <v>44</v>
      </c>
      <c r="G3706" t="s">
        <v>45</v>
      </c>
      <c r="AH3706" t="s">
        <v>42</v>
      </c>
      <c r="AI3706" t="str">
        <f>"66298916658253"</f>
        <v>66298916658253</v>
      </c>
      <c r="AJ3706" t="str">
        <f>"MBP-197HH"</f>
        <v>MBP-197HH</v>
      </c>
      <c r="AK3706" t="s">
        <v>46</v>
      </c>
      <c r="AL3706" s="1">
        <v>44816.559791666667</v>
      </c>
      <c r="AM3706" t="s">
        <v>44</v>
      </c>
    </row>
    <row r="3707" spans="1:39" x14ac:dyDescent="0.2">
      <c r="A3707" t="s">
        <v>3515</v>
      </c>
      <c r="B3707" t="s">
        <v>40</v>
      </c>
      <c r="C3707" t="s">
        <v>3380</v>
      </c>
      <c r="D3707" t="s">
        <v>42</v>
      </c>
      <c r="E3707" t="s">
        <v>43</v>
      </c>
      <c r="F3707" t="s">
        <v>44</v>
      </c>
      <c r="G3707" t="s">
        <v>45</v>
      </c>
      <c r="AH3707" t="s">
        <v>42</v>
      </c>
      <c r="AI3707" t="str">
        <f>"66298916697329"</f>
        <v>66298916697329</v>
      </c>
      <c r="AJ3707" t="str">
        <f>"MBP-165HH"</f>
        <v>MBP-165HH</v>
      </c>
      <c r="AK3707" t="s">
        <v>46</v>
      </c>
      <c r="AL3707" s="1">
        <v>44816.559791666667</v>
      </c>
      <c r="AM3707" t="s">
        <v>44</v>
      </c>
    </row>
    <row r="3708" spans="1:39" x14ac:dyDescent="0.2">
      <c r="A3708" t="s">
        <v>3516</v>
      </c>
      <c r="B3708" t="s">
        <v>40</v>
      </c>
      <c r="C3708" t="s">
        <v>3380</v>
      </c>
      <c r="D3708" t="s">
        <v>42</v>
      </c>
      <c r="E3708" t="s">
        <v>43</v>
      </c>
      <c r="F3708" t="s">
        <v>44</v>
      </c>
      <c r="G3708" t="s">
        <v>45</v>
      </c>
      <c r="AH3708" t="s">
        <v>42</v>
      </c>
      <c r="AI3708" t="str">
        <f>"66298916739928"</f>
        <v>66298916739928</v>
      </c>
      <c r="AJ3708" t="str">
        <f>"MBP-181HH"</f>
        <v>MBP-181HH</v>
      </c>
      <c r="AK3708" t="s">
        <v>46</v>
      </c>
      <c r="AL3708" s="1">
        <v>44816.559803240743</v>
      </c>
      <c r="AM3708" t="s">
        <v>44</v>
      </c>
    </row>
    <row r="3709" spans="1:39" x14ac:dyDescent="0.2">
      <c r="A3709" t="s">
        <v>3517</v>
      </c>
      <c r="B3709" t="s">
        <v>40</v>
      </c>
      <c r="C3709" t="s">
        <v>3380</v>
      </c>
      <c r="D3709" t="s">
        <v>42</v>
      </c>
      <c r="E3709" t="s">
        <v>43</v>
      </c>
      <c r="F3709" t="s">
        <v>44</v>
      </c>
      <c r="G3709" t="s">
        <v>45</v>
      </c>
      <c r="AH3709" t="s">
        <v>42</v>
      </c>
      <c r="AI3709" t="str">
        <f>"66298916779919"</f>
        <v>66298916779919</v>
      </c>
      <c r="AJ3709" t="str">
        <f>"MBP-209HH"</f>
        <v>MBP-209HH</v>
      </c>
      <c r="AK3709" t="s">
        <v>46</v>
      </c>
      <c r="AL3709" s="1">
        <v>44816.559803240743</v>
      </c>
      <c r="AM3709" t="s">
        <v>44</v>
      </c>
    </row>
    <row r="3710" spans="1:39" x14ac:dyDescent="0.2">
      <c r="A3710" t="s">
        <v>3518</v>
      </c>
      <c r="B3710" t="s">
        <v>40</v>
      </c>
      <c r="C3710" t="s">
        <v>3380</v>
      </c>
      <c r="D3710" t="s">
        <v>42</v>
      </c>
      <c r="E3710" t="s">
        <v>43</v>
      </c>
      <c r="F3710" t="s">
        <v>44</v>
      </c>
      <c r="G3710" t="s">
        <v>45</v>
      </c>
      <c r="AH3710" t="s">
        <v>42</v>
      </c>
      <c r="AI3710" t="str">
        <f>"66298916821775"</f>
        <v>66298916821775</v>
      </c>
      <c r="AJ3710" t="str">
        <f>"MBP-185HH"</f>
        <v>MBP-185HH</v>
      </c>
      <c r="AK3710" t="s">
        <v>46</v>
      </c>
      <c r="AL3710" s="1">
        <v>44816.559814814813</v>
      </c>
      <c r="AM3710" t="s">
        <v>44</v>
      </c>
    </row>
    <row r="3711" spans="1:39" x14ac:dyDescent="0.2">
      <c r="A3711" t="s">
        <v>3519</v>
      </c>
      <c r="B3711" t="s">
        <v>40</v>
      </c>
      <c r="C3711" t="s">
        <v>3380</v>
      </c>
      <c r="D3711" t="s">
        <v>42</v>
      </c>
      <c r="E3711" t="s">
        <v>43</v>
      </c>
      <c r="F3711" t="s">
        <v>44</v>
      </c>
      <c r="G3711" t="s">
        <v>45</v>
      </c>
      <c r="AH3711" t="s">
        <v>42</v>
      </c>
      <c r="AI3711" t="str">
        <f>"66298916865961"</f>
        <v>66298916865961</v>
      </c>
      <c r="AJ3711" t="str">
        <f>"MBP-231HH"</f>
        <v>MBP-231HH</v>
      </c>
      <c r="AK3711" t="s">
        <v>46</v>
      </c>
      <c r="AL3711" s="1">
        <v>44816.559814814813</v>
      </c>
      <c r="AM3711" t="s">
        <v>44</v>
      </c>
    </row>
    <row r="3712" spans="1:39" x14ac:dyDescent="0.2">
      <c r="A3712" t="s">
        <v>3520</v>
      </c>
      <c r="B3712" t="s">
        <v>40</v>
      </c>
      <c r="C3712" t="s">
        <v>3380</v>
      </c>
      <c r="D3712" t="s">
        <v>42</v>
      </c>
      <c r="E3712" t="s">
        <v>43</v>
      </c>
      <c r="F3712" t="s">
        <v>44</v>
      </c>
      <c r="G3712" t="s">
        <v>45</v>
      </c>
      <c r="AH3712" t="s">
        <v>42</v>
      </c>
      <c r="AI3712" t="str">
        <f>"66298916910960"</f>
        <v>66298916910960</v>
      </c>
      <c r="AJ3712" t="str">
        <f>"MBP-229HH"</f>
        <v>MBP-229HH</v>
      </c>
      <c r="AK3712" t="s">
        <v>46</v>
      </c>
      <c r="AL3712" s="1">
        <v>44816.55982638889</v>
      </c>
      <c r="AM3712" t="s">
        <v>44</v>
      </c>
    </row>
    <row r="3713" spans="1:39" x14ac:dyDescent="0.2">
      <c r="A3713" t="s">
        <v>3521</v>
      </c>
      <c r="B3713" t="s">
        <v>40</v>
      </c>
      <c r="C3713" t="s">
        <v>3380</v>
      </c>
      <c r="D3713" t="s">
        <v>42</v>
      </c>
      <c r="E3713" t="s">
        <v>43</v>
      </c>
      <c r="F3713" t="s">
        <v>44</v>
      </c>
      <c r="G3713" t="s">
        <v>45</v>
      </c>
      <c r="AH3713" t="s">
        <v>42</v>
      </c>
      <c r="AI3713" t="str">
        <f>"66298916950787"</f>
        <v>66298916950787</v>
      </c>
      <c r="AJ3713" t="str">
        <f>"MBP-335HH"</f>
        <v>MBP-335HH</v>
      </c>
      <c r="AK3713" t="s">
        <v>46</v>
      </c>
      <c r="AL3713" s="1">
        <v>44816.55982638889</v>
      </c>
      <c r="AM3713" t="s">
        <v>44</v>
      </c>
    </row>
    <row r="3714" spans="1:39" x14ac:dyDescent="0.2">
      <c r="A3714" t="s">
        <v>3522</v>
      </c>
      <c r="B3714" t="s">
        <v>40</v>
      </c>
      <c r="C3714" t="s">
        <v>3380</v>
      </c>
      <c r="D3714" t="s">
        <v>42</v>
      </c>
      <c r="E3714" t="s">
        <v>43</v>
      </c>
      <c r="F3714" t="s">
        <v>44</v>
      </c>
      <c r="G3714" t="s">
        <v>45</v>
      </c>
      <c r="AH3714" t="s">
        <v>42</v>
      </c>
      <c r="AI3714" t="str">
        <f>"66298916991673"</f>
        <v>66298916991673</v>
      </c>
      <c r="AJ3714" t="str">
        <f>"MBP-388HH"</f>
        <v>MBP-388HH</v>
      </c>
      <c r="AK3714" t="s">
        <v>46</v>
      </c>
      <c r="AL3714" s="1">
        <v>44816.55982638889</v>
      </c>
      <c r="AM3714" t="s">
        <v>44</v>
      </c>
    </row>
    <row r="3715" spans="1:39" x14ac:dyDescent="0.2">
      <c r="A3715" t="s">
        <v>3523</v>
      </c>
      <c r="B3715" t="s">
        <v>40</v>
      </c>
      <c r="C3715" t="s">
        <v>3380</v>
      </c>
      <c r="D3715" t="s">
        <v>42</v>
      </c>
      <c r="E3715" t="s">
        <v>43</v>
      </c>
      <c r="F3715" t="s">
        <v>44</v>
      </c>
      <c r="G3715" t="s">
        <v>45</v>
      </c>
      <c r="AH3715" t="s">
        <v>42</v>
      </c>
      <c r="AI3715" t="str">
        <f>"66298917035044"</f>
        <v>66298917035044</v>
      </c>
      <c r="AJ3715" t="str">
        <f>"MBP-419HH"</f>
        <v>MBP-419HH</v>
      </c>
      <c r="AK3715" t="s">
        <v>46</v>
      </c>
      <c r="AL3715" s="1">
        <v>44816.559837962966</v>
      </c>
      <c r="AM3715" t="s">
        <v>44</v>
      </c>
    </row>
    <row r="3716" spans="1:39" x14ac:dyDescent="0.2">
      <c r="A3716" t="s">
        <v>3524</v>
      </c>
      <c r="B3716" t="s">
        <v>40</v>
      </c>
      <c r="C3716" t="s">
        <v>3380</v>
      </c>
      <c r="D3716" t="s">
        <v>42</v>
      </c>
      <c r="E3716" t="s">
        <v>43</v>
      </c>
      <c r="F3716" t="s">
        <v>44</v>
      </c>
      <c r="G3716" t="s">
        <v>45</v>
      </c>
      <c r="AH3716" t="s">
        <v>42</v>
      </c>
      <c r="AI3716" t="str">
        <f>"MBP-629HH"</f>
        <v>MBP-629HH</v>
      </c>
      <c r="AJ3716" t="str">
        <f>"MBP-629HH"</f>
        <v>MBP-629HH</v>
      </c>
      <c r="AK3716" t="s">
        <v>46</v>
      </c>
      <c r="AL3716" s="1">
        <v>44898.621631944443</v>
      </c>
      <c r="AM3716" t="s">
        <v>44</v>
      </c>
    </row>
    <row r="3717" spans="1:39" x14ac:dyDescent="0.2">
      <c r="A3717" t="s">
        <v>3525</v>
      </c>
      <c r="B3717" t="s">
        <v>40</v>
      </c>
      <c r="C3717" t="s">
        <v>3380</v>
      </c>
      <c r="D3717" t="s">
        <v>42</v>
      </c>
      <c r="E3717" t="s">
        <v>43</v>
      </c>
      <c r="F3717" t="s">
        <v>44</v>
      </c>
      <c r="G3717" t="s">
        <v>45</v>
      </c>
      <c r="AH3717" t="s">
        <v>42</v>
      </c>
      <c r="AI3717" t="str">
        <f>"MBP-663HH"</f>
        <v>MBP-663HH</v>
      </c>
      <c r="AJ3717" t="str">
        <f>"MBP-663HH"</f>
        <v>MBP-663HH</v>
      </c>
      <c r="AK3717" t="s">
        <v>46</v>
      </c>
      <c r="AL3717" s="1">
        <v>44870.647974537038</v>
      </c>
      <c r="AM3717" t="s">
        <v>44</v>
      </c>
    </row>
    <row r="3718" spans="1:39" x14ac:dyDescent="0.2">
      <c r="A3718" t="s">
        <v>3526</v>
      </c>
      <c r="B3718" t="s">
        <v>40</v>
      </c>
      <c r="C3718" t="s">
        <v>3380</v>
      </c>
      <c r="D3718" t="s">
        <v>42</v>
      </c>
      <c r="E3718" t="s">
        <v>43</v>
      </c>
      <c r="F3718" t="s">
        <v>44</v>
      </c>
      <c r="G3718" t="s">
        <v>45</v>
      </c>
      <c r="AH3718" t="s">
        <v>42</v>
      </c>
      <c r="AI3718" t="str">
        <f>"MBP-662HH"</f>
        <v>MBP-662HH</v>
      </c>
      <c r="AJ3718" t="str">
        <f>"MBP-662HH"</f>
        <v>MBP-662HH</v>
      </c>
      <c r="AK3718" t="s">
        <v>46</v>
      </c>
      <c r="AL3718" s="1">
        <v>45036.867476851854</v>
      </c>
      <c r="AM3718" t="s">
        <v>44</v>
      </c>
    </row>
    <row r="3719" spans="1:39" x14ac:dyDescent="0.2">
      <c r="A3719" t="s">
        <v>3527</v>
      </c>
      <c r="B3719" t="s">
        <v>40</v>
      </c>
      <c r="C3719" t="s">
        <v>3380</v>
      </c>
      <c r="D3719" t="s">
        <v>42</v>
      </c>
      <c r="E3719" t="s">
        <v>43</v>
      </c>
      <c r="F3719" t="s">
        <v>44</v>
      </c>
      <c r="G3719" t="s">
        <v>45</v>
      </c>
      <c r="AH3719" t="s">
        <v>42</v>
      </c>
      <c r="AI3719" t="str">
        <f>"10177100"</f>
        <v>10177100</v>
      </c>
      <c r="AJ3719" t="str">
        <f>"10177100"</f>
        <v>10177100</v>
      </c>
      <c r="AK3719" t="s">
        <v>46</v>
      </c>
      <c r="AL3719" s="1">
        <v>45083.821898148148</v>
      </c>
      <c r="AM3719" t="s">
        <v>44</v>
      </c>
    </row>
    <row r="3720" spans="1:39" x14ac:dyDescent="0.2">
      <c r="A3720" t="s">
        <v>3528</v>
      </c>
      <c r="B3720" t="s">
        <v>40</v>
      </c>
      <c r="C3720" t="s">
        <v>3380</v>
      </c>
      <c r="D3720" t="s">
        <v>42</v>
      </c>
      <c r="E3720" t="s">
        <v>43</v>
      </c>
      <c r="F3720" t="s">
        <v>44</v>
      </c>
      <c r="G3720" t="s">
        <v>45</v>
      </c>
      <c r="AH3720" t="s">
        <v>42</v>
      </c>
      <c r="AI3720" t="str">
        <f>"06455-KRF-H60JP"</f>
        <v>06455-KRF-H60JP</v>
      </c>
      <c r="AJ3720" t="str">
        <f>"06455-KRF-H60JP"</f>
        <v>06455-KRF-H60JP</v>
      </c>
      <c r="AK3720" t="s">
        <v>46</v>
      </c>
      <c r="AL3720" s="1">
        <v>44819.589328703703</v>
      </c>
      <c r="AM3720" t="s">
        <v>44</v>
      </c>
    </row>
    <row r="3721" spans="1:39" x14ac:dyDescent="0.2">
      <c r="A3721" t="s">
        <v>3529</v>
      </c>
      <c r="B3721" t="s">
        <v>40</v>
      </c>
      <c r="C3721" t="s">
        <v>3380</v>
      </c>
      <c r="D3721" t="s">
        <v>42</v>
      </c>
      <c r="E3721" t="s">
        <v>43</v>
      </c>
      <c r="F3721" t="s">
        <v>44</v>
      </c>
      <c r="G3721" t="s">
        <v>45</v>
      </c>
      <c r="AH3721" t="s">
        <v>42</v>
      </c>
      <c r="AI3721" t="str">
        <f>"66298917080486"</f>
        <v>66298917080486</v>
      </c>
      <c r="AJ3721" t="str">
        <f>"N9322240"</f>
        <v>N9322240</v>
      </c>
      <c r="AK3721" t="s">
        <v>46</v>
      </c>
      <c r="AL3721" s="1">
        <v>44816.559837962966</v>
      </c>
      <c r="AM3721" t="s">
        <v>44</v>
      </c>
    </row>
    <row r="3722" spans="1:39" x14ac:dyDescent="0.2">
      <c r="A3722" t="s">
        <v>3530</v>
      </c>
      <c r="B3722" t="s">
        <v>40</v>
      </c>
      <c r="C3722" t="s">
        <v>3380</v>
      </c>
      <c r="D3722" t="s">
        <v>42</v>
      </c>
      <c r="E3722" t="s">
        <v>43</v>
      </c>
      <c r="F3722" t="s">
        <v>44</v>
      </c>
      <c r="G3722" t="s">
        <v>45</v>
      </c>
      <c r="AH3722" t="s">
        <v>42</v>
      </c>
      <c r="AI3722" t="str">
        <f>"3521"</f>
        <v>3521</v>
      </c>
      <c r="AJ3722" t="str">
        <f>"3521"</f>
        <v>3521</v>
      </c>
      <c r="AK3722" t="s">
        <v>46</v>
      </c>
      <c r="AL3722" s="1">
        <v>45159.808240740742</v>
      </c>
      <c r="AM3722" t="s">
        <v>44</v>
      </c>
    </row>
    <row r="3723" spans="1:39" x14ac:dyDescent="0.2">
      <c r="A3723" t="s">
        <v>3531</v>
      </c>
      <c r="B3723" t="s">
        <v>40</v>
      </c>
      <c r="C3723" t="s">
        <v>3380</v>
      </c>
      <c r="D3723" t="s">
        <v>42</v>
      </c>
      <c r="E3723" t="s">
        <v>43</v>
      </c>
      <c r="F3723" t="s">
        <v>44</v>
      </c>
      <c r="G3723" t="s">
        <v>45</v>
      </c>
      <c r="AH3723" t="s">
        <v>42</v>
      </c>
      <c r="AI3723" t="str">
        <f>"3516"</f>
        <v>3516</v>
      </c>
      <c r="AJ3723" t="str">
        <f>"3516"</f>
        <v>3516</v>
      </c>
      <c r="AK3723" t="s">
        <v>46</v>
      </c>
      <c r="AL3723" s="1">
        <v>45159.80736111111</v>
      </c>
      <c r="AM3723" t="s">
        <v>44</v>
      </c>
    </row>
    <row r="3724" spans="1:39" x14ac:dyDescent="0.2">
      <c r="A3724" t="s">
        <v>3532</v>
      </c>
      <c r="B3724" t="s">
        <v>40</v>
      </c>
      <c r="C3724" t="s">
        <v>3380</v>
      </c>
      <c r="D3724" t="s">
        <v>42</v>
      </c>
      <c r="E3724" t="s">
        <v>43</v>
      </c>
      <c r="F3724" t="s">
        <v>44</v>
      </c>
      <c r="G3724" t="s">
        <v>45</v>
      </c>
      <c r="AH3724" t="s">
        <v>42</v>
      </c>
      <c r="AI3724" t="str">
        <f>"66298917166806"</f>
        <v>66298917166806</v>
      </c>
      <c r="AJ3724" t="str">
        <f>"MBP-920"</f>
        <v>MBP-920</v>
      </c>
      <c r="AK3724" t="s">
        <v>46</v>
      </c>
      <c r="AL3724" s="1">
        <v>44816.559849537036</v>
      </c>
      <c r="AM3724" t="s">
        <v>44</v>
      </c>
    </row>
    <row r="3725" spans="1:39" x14ac:dyDescent="0.2">
      <c r="A3725" t="s">
        <v>3532</v>
      </c>
      <c r="B3725" t="s">
        <v>40</v>
      </c>
      <c r="C3725" t="s">
        <v>3380</v>
      </c>
      <c r="D3725" t="s">
        <v>42</v>
      </c>
      <c r="E3725" t="s">
        <v>43</v>
      </c>
      <c r="F3725" t="s">
        <v>44</v>
      </c>
      <c r="G3725" t="s">
        <v>45</v>
      </c>
      <c r="AH3725" t="s">
        <v>42</v>
      </c>
      <c r="AI3725" t="str">
        <f>"U020P"</f>
        <v>U020P</v>
      </c>
      <c r="AJ3725" t="str">
        <f>"U020P"</f>
        <v>U020P</v>
      </c>
      <c r="AK3725" t="s">
        <v>46</v>
      </c>
      <c r="AL3725" s="1">
        <v>45093.638761574075</v>
      </c>
      <c r="AM3725" t="s">
        <v>44</v>
      </c>
    </row>
    <row r="3726" spans="1:39" x14ac:dyDescent="0.2">
      <c r="A3726" t="s">
        <v>3533</v>
      </c>
      <c r="B3726" t="s">
        <v>40</v>
      </c>
      <c r="C3726" t="s">
        <v>3380</v>
      </c>
      <c r="D3726" t="s">
        <v>42</v>
      </c>
      <c r="E3726" t="s">
        <v>43</v>
      </c>
      <c r="F3726" t="s">
        <v>44</v>
      </c>
      <c r="G3726" t="s">
        <v>45</v>
      </c>
      <c r="AH3726" t="s">
        <v>42</v>
      </c>
      <c r="AI3726" t="str">
        <f>"66298917208977"</f>
        <v>66298917208977</v>
      </c>
      <c r="AJ3726" t="str">
        <f>"B06070002"</f>
        <v>B06070002</v>
      </c>
      <c r="AK3726" t="s">
        <v>46</v>
      </c>
      <c r="AL3726" s="1">
        <v>44816.559861111113</v>
      </c>
      <c r="AM3726" t="s">
        <v>44</v>
      </c>
    </row>
    <row r="3727" spans="1:39" x14ac:dyDescent="0.2">
      <c r="A3727" t="s">
        <v>3533</v>
      </c>
      <c r="B3727" t="s">
        <v>40</v>
      </c>
      <c r="C3727" t="s">
        <v>3380</v>
      </c>
      <c r="D3727" t="s">
        <v>42</v>
      </c>
      <c r="E3727" t="s">
        <v>43</v>
      </c>
      <c r="F3727" t="s">
        <v>44</v>
      </c>
      <c r="G3727" t="s">
        <v>45</v>
      </c>
      <c r="AH3727" t="s">
        <v>42</v>
      </c>
      <c r="AI3727" t="str">
        <f>"U030P"</f>
        <v>U030P</v>
      </c>
      <c r="AJ3727" t="str">
        <f>"U030P"</f>
        <v>U030P</v>
      </c>
      <c r="AK3727" t="s">
        <v>46</v>
      </c>
      <c r="AL3727" s="1">
        <v>45093.637743055559</v>
      </c>
      <c r="AM3727" t="s">
        <v>44</v>
      </c>
    </row>
    <row r="3728" spans="1:39" x14ac:dyDescent="0.2">
      <c r="A3728" t="s">
        <v>3534</v>
      </c>
      <c r="B3728" t="s">
        <v>40</v>
      </c>
      <c r="C3728" t="s">
        <v>3380</v>
      </c>
      <c r="D3728" t="s">
        <v>42</v>
      </c>
      <c r="E3728" t="s">
        <v>43</v>
      </c>
      <c r="F3728" t="s">
        <v>44</v>
      </c>
      <c r="G3728" t="s">
        <v>45</v>
      </c>
      <c r="AH3728" t="s">
        <v>42</v>
      </c>
      <c r="AI3728" t="str">
        <f>"66298917251809"</f>
        <v>66298917251809</v>
      </c>
      <c r="AJ3728" t="str">
        <f>"TK250-F8-15"</f>
        <v>TK250-F8-15</v>
      </c>
      <c r="AK3728" t="s">
        <v>46</v>
      </c>
      <c r="AL3728" s="1">
        <v>44816.559861111113</v>
      </c>
      <c r="AM3728" t="s">
        <v>44</v>
      </c>
    </row>
    <row r="3729" spans="1:39" x14ac:dyDescent="0.2">
      <c r="A3729" t="s">
        <v>3535</v>
      </c>
      <c r="B3729" t="s">
        <v>40</v>
      </c>
      <c r="C3729" t="s">
        <v>3380</v>
      </c>
      <c r="D3729" t="s">
        <v>42</v>
      </c>
      <c r="E3729" t="s">
        <v>43</v>
      </c>
      <c r="F3729" t="s">
        <v>44</v>
      </c>
      <c r="G3729" t="s">
        <v>45</v>
      </c>
      <c r="AH3729" t="s">
        <v>42</v>
      </c>
      <c r="AI3729" t="str">
        <f>"66298917296300"</f>
        <v>66298917296300</v>
      </c>
      <c r="AJ3729" t="str">
        <f>"DSR2"</f>
        <v>DSR2</v>
      </c>
      <c r="AK3729" t="s">
        <v>46</v>
      </c>
      <c r="AL3729" s="1">
        <v>44816.559861111113</v>
      </c>
      <c r="AM3729" t="s">
        <v>44</v>
      </c>
    </row>
    <row r="3730" spans="1:39" x14ac:dyDescent="0.2">
      <c r="A3730" t="s">
        <v>3536</v>
      </c>
      <c r="B3730" t="s">
        <v>40</v>
      </c>
      <c r="C3730" t="s">
        <v>3537</v>
      </c>
      <c r="D3730" t="s">
        <v>42</v>
      </c>
      <c r="E3730" t="s">
        <v>43</v>
      </c>
      <c r="F3730" t="s">
        <v>44</v>
      </c>
      <c r="G3730" t="s">
        <v>45</v>
      </c>
      <c r="AH3730" t="s">
        <v>42</v>
      </c>
      <c r="AI3730" t="str">
        <f>"42100H2C000H000"</f>
        <v>42100H2C000H000</v>
      </c>
      <c r="AJ3730" t="str">
        <f>"42100H2C000H000"</f>
        <v>42100H2C000H000</v>
      </c>
      <c r="AK3730" t="s">
        <v>46</v>
      </c>
      <c r="AL3730" s="1">
        <v>44951.626655092594</v>
      </c>
      <c r="AM3730" t="s">
        <v>44</v>
      </c>
    </row>
    <row r="3731" spans="1:39" x14ac:dyDescent="0.2">
      <c r="A3731" t="s">
        <v>3538</v>
      </c>
      <c r="B3731" t="s">
        <v>40</v>
      </c>
      <c r="C3731" t="s">
        <v>3537</v>
      </c>
      <c r="D3731" t="s">
        <v>42</v>
      </c>
      <c r="E3731" t="s">
        <v>43</v>
      </c>
      <c r="F3731" t="s">
        <v>44</v>
      </c>
      <c r="G3731" t="s">
        <v>45</v>
      </c>
      <c r="AH3731" t="s">
        <v>42</v>
      </c>
      <c r="AI3731" t="str">
        <f>"G202"</f>
        <v>G202</v>
      </c>
      <c r="AJ3731" t="str">
        <f>"G202"</f>
        <v>G202</v>
      </c>
      <c r="AK3731" t="s">
        <v>46</v>
      </c>
      <c r="AL3731" s="1">
        <v>44978.707499999997</v>
      </c>
      <c r="AM3731" t="s">
        <v>44</v>
      </c>
    </row>
    <row r="3732" spans="1:39" x14ac:dyDescent="0.2">
      <c r="A3732" t="s">
        <v>3539</v>
      </c>
      <c r="B3732" t="s">
        <v>40</v>
      </c>
      <c r="C3732" t="s">
        <v>3537</v>
      </c>
      <c r="D3732" t="s">
        <v>42</v>
      </c>
      <c r="E3732" t="s">
        <v>43</v>
      </c>
      <c r="F3732" t="s">
        <v>44</v>
      </c>
      <c r="G3732" t="s">
        <v>45</v>
      </c>
      <c r="AH3732" t="s">
        <v>42</v>
      </c>
      <c r="AI3732" t="str">
        <f>"G201"</f>
        <v>G201</v>
      </c>
      <c r="AJ3732" t="str">
        <f>"G201"</f>
        <v>G201</v>
      </c>
      <c r="AK3732" t="s">
        <v>46</v>
      </c>
      <c r="AL3732" s="1">
        <v>44858.727858796294</v>
      </c>
      <c r="AM3732" t="s">
        <v>44</v>
      </c>
    </row>
    <row r="3733" spans="1:39" x14ac:dyDescent="0.2">
      <c r="A3733" t="s">
        <v>3539</v>
      </c>
      <c r="B3733" t="s">
        <v>40</v>
      </c>
      <c r="C3733" t="s">
        <v>3537</v>
      </c>
      <c r="D3733" t="s">
        <v>42</v>
      </c>
      <c r="E3733" t="s">
        <v>43</v>
      </c>
      <c r="F3733" t="s">
        <v>44</v>
      </c>
      <c r="G3733" t="s">
        <v>45</v>
      </c>
      <c r="AH3733" t="s">
        <v>42</v>
      </c>
      <c r="AI3733" t="str">
        <f>"PATA-LATERAL"</f>
        <v>PATA-LATERAL</v>
      </c>
      <c r="AJ3733" t="str">
        <f>"PATA-LATERAL"</f>
        <v>PATA-LATERAL</v>
      </c>
      <c r="AK3733" t="s">
        <v>46</v>
      </c>
      <c r="AL3733" s="1">
        <v>45000.656365740739</v>
      </c>
      <c r="AM3733" t="s">
        <v>44</v>
      </c>
    </row>
    <row r="3734" spans="1:39" x14ac:dyDescent="0.2">
      <c r="A3734" t="s">
        <v>3540</v>
      </c>
      <c r="B3734" t="s">
        <v>40</v>
      </c>
      <c r="C3734" t="s">
        <v>3537</v>
      </c>
      <c r="D3734" t="s">
        <v>42</v>
      </c>
      <c r="E3734" t="s">
        <v>43</v>
      </c>
      <c r="F3734" t="s">
        <v>44</v>
      </c>
      <c r="G3734" t="s">
        <v>45</v>
      </c>
      <c r="AH3734" t="s">
        <v>42</v>
      </c>
      <c r="AI3734" t="str">
        <f>"21C-F7311-00"</f>
        <v>21C-F7311-00</v>
      </c>
      <c r="AJ3734" t="str">
        <f>"21C-F7311-00"</f>
        <v>21C-F7311-00</v>
      </c>
      <c r="AK3734" t="s">
        <v>46</v>
      </c>
      <c r="AL3734" s="1">
        <v>45020.664259259262</v>
      </c>
      <c r="AM3734" t="s">
        <v>44</v>
      </c>
    </row>
    <row r="3735" spans="1:39" x14ac:dyDescent="0.2">
      <c r="A3735" t="s">
        <v>3541</v>
      </c>
      <c r="B3735" t="s">
        <v>40</v>
      </c>
      <c r="C3735" t="s">
        <v>3537</v>
      </c>
      <c r="D3735" t="s">
        <v>42</v>
      </c>
      <c r="E3735" t="s">
        <v>43</v>
      </c>
      <c r="F3735" t="s">
        <v>44</v>
      </c>
      <c r="G3735" t="s">
        <v>45</v>
      </c>
      <c r="AH3735" t="s">
        <v>42</v>
      </c>
      <c r="AI3735" t="str">
        <f>"66298917338655"</f>
        <v>66298917338655</v>
      </c>
      <c r="AJ3735" t="str">
        <f>"JC090-DORADO"</f>
        <v>JC090-DORADO</v>
      </c>
      <c r="AK3735" t="s">
        <v>46</v>
      </c>
      <c r="AL3735" s="1">
        <v>44816.559872685182</v>
      </c>
      <c r="AM3735" t="s">
        <v>44</v>
      </c>
    </row>
    <row r="3736" spans="1:39" x14ac:dyDescent="0.2">
      <c r="A3736" t="s">
        <v>3542</v>
      </c>
      <c r="B3736" t="s">
        <v>40</v>
      </c>
      <c r="C3736" t="s">
        <v>3537</v>
      </c>
      <c r="D3736" t="s">
        <v>42</v>
      </c>
      <c r="E3736" t="s">
        <v>43</v>
      </c>
      <c r="F3736" t="s">
        <v>44</v>
      </c>
      <c r="G3736" t="s">
        <v>45</v>
      </c>
      <c r="AH3736" t="s">
        <v>42</v>
      </c>
      <c r="AI3736" t="str">
        <f>"66298917378434"</f>
        <v>66298917378434</v>
      </c>
      <c r="AJ3736" t="str">
        <f>"JC090-ROJO"</f>
        <v>JC090-ROJO</v>
      </c>
      <c r="AK3736" t="s">
        <v>46</v>
      </c>
      <c r="AL3736" s="1">
        <v>44816.559872685182</v>
      </c>
      <c r="AM3736" t="s">
        <v>44</v>
      </c>
    </row>
    <row r="3737" spans="1:39" x14ac:dyDescent="0.2">
      <c r="A3737" t="s">
        <v>3543</v>
      </c>
      <c r="B3737" t="s">
        <v>40</v>
      </c>
      <c r="C3737" t="s">
        <v>3537</v>
      </c>
      <c r="D3737" t="s">
        <v>42</v>
      </c>
      <c r="E3737" t="s">
        <v>43</v>
      </c>
      <c r="F3737" t="s">
        <v>44</v>
      </c>
      <c r="G3737" t="s">
        <v>45</v>
      </c>
      <c r="AH3737" t="s">
        <v>42</v>
      </c>
      <c r="AI3737" t="str">
        <f>"BRCA62HP"</f>
        <v>BRCA62HP</v>
      </c>
      <c r="AJ3737" t="str">
        <f>"BRCA62HP"</f>
        <v>BRCA62HP</v>
      </c>
      <c r="AK3737" t="s">
        <v>46</v>
      </c>
      <c r="AL3737" s="1">
        <v>44880.594907407409</v>
      </c>
      <c r="AM3737" t="s">
        <v>44</v>
      </c>
    </row>
    <row r="3738" spans="1:39" x14ac:dyDescent="0.2">
      <c r="A3738" t="s">
        <v>3544</v>
      </c>
      <c r="B3738" t="s">
        <v>40</v>
      </c>
      <c r="C3738" t="s">
        <v>129</v>
      </c>
      <c r="D3738" t="s">
        <v>42</v>
      </c>
      <c r="E3738" t="s">
        <v>43</v>
      </c>
      <c r="F3738" t="s">
        <v>44</v>
      </c>
      <c r="G3738" t="s">
        <v>45</v>
      </c>
      <c r="AH3738" t="s">
        <v>42</v>
      </c>
      <c r="AI3738" t="str">
        <f>"66298917418373"</f>
        <v>66298917418373</v>
      </c>
      <c r="AJ3738" t="str">
        <f>"22350-HKE-000"</f>
        <v>22350-HKE-000</v>
      </c>
      <c r="AK3738" t="s">
        <v>46</v>
      </c>
      <c r="AL3738" s="1">
        <v>44816.559884259259</v>
      </c>
      <c r="AM3738" t="s">
        <v>44</v>
      </c>
    </row>
    <row r="3739" spans="1:39" x14ac:dyDescent="0.2">
      <c r="A3739" t="s">
        <v>3545</v>
      </c>
      <c r="B3739" t="s">
        <v>40</v>
      </c>
      <c r="C3739" t="s">
        <v>3546</v>
      </c>
      <c r="D3739" t="s">
        <v>42</v>
      </c>
      <c r="E3739" t="s">
        <v>43</v>
      </c>
      <c r="F3739" t="s">
        <v>44</v>
      </c>
      <c r="G3739" t="s">
        <v>45</v>
      </c>
      <c r="AH3739" t="s">
        <v>42</v>
      </c>
      <c r="AI3739" t="str">
        <f>"66298917457810"</f>
        <v>66298917457810</v>
      </c>
      <c r="AJ3739" t="str">
        <f>"3KG-W253E-00JP"</f>
        <v>3KG-W253E-00JP</v>
      </c>
      <c r="AK3739" t="s">
        <v>46</v>
      </c>
      <c r="AL3739" s="1">
        <v>44816.559884259259</v>
      </c>
      <c r="AM3739" t="s">
        <v>44</v>
      </c>
    </row>
    <row r="3740" spans="1:39" x14ac:dyDescent="0.2">
      <c r="A3740" t="s">
        <v>3547</v>
      </c>
      <c r="B3740" t="s">
        <v>40</v>
      </c>
      <c r="C3740" t="s">
        <v>3546</v>
      </c>
      <c r="D3740" t="s">
        <v>42</v>
      </c>
      <c r="E3740" t="s">
        <v>43</v>
      </c>
      <c r="F3740" t="s">
        <v>44</v>
      </c>
      <c r="G3740" t="s">
        <v>45</v>
      </c>
      <c r="AH3740" t="s">
        <v>42</v>
      </c>
      <c r="AI3740" t="str">
        <f>"66298917495381"</f>
        <v>66298917495381</v>
      </c>
      <c r="AJ3740" t="str">
        <f>"843-AN125"</f>
        <v>843-AN125</v>
      </c>
      <c r="AK3740" t="s">
        <v>46</v>
      </c>
      <c r="AL3740" s="1">
        <v>44816.559884259259</v>
      </c>
      <c r="AM3740" t="s">
        <v>44</v>
      </c>
    </row>
    <row r="3741" spans="1:39" x14ac:dyDescent="0.2">
      <c r="A3741" t="s">
        <v>3548</v>
      </c>
      <c r="B3741" t="s">
        <v>40</v>
      </c>
      <c r="C3741" t="s">
        <v>3546</v>
      </c>
      <c r="D3741" t="s">
        <v>42</v>
      </c>
      <c r="E3741" t="s">
        <v>43</v>
      </c>
      <c r="F3741" t="s">
        <v>44</v>
      </c>
      <c r="G3741" t="s">
        <v>45</v>
      </c>
      <c r="AH3741" t="s">
        <v>42</v>
      </c>
      <c r="AI3741" t="str">
        <f>"66298917536417"</f>
        <v>66298917536417</v>
      </c>
      <c r="AJ3741" t="str">
        <f>"400214"</f>
        <v>400214</v>
      </c>
      <c r="AK3741" t="s">
        <v>46</v>
      </c>
      <c r="AL3741" s="1">
        <v>44816.559895833336</v>
      </c>
      <c r="AM3741" t="s">
        <v>44</v>
      </c>
    </row>
    <row r="3742" spans="1:39" x14ac:dyDescent="0.2">
      <c r="A3742" t="s">
        <v>3549</v>
      </c>
      <c r="B3742" t="s">
        <v>40</v>
      </c>
      <c r="C3742" t="s">
        <v>3546</v>
      </c>
      <c r="D3742" t="s">
        <v>42</v>
      </c>
      <c r="E3742" t="s">
        <v>43</v>
      </c>
      <c r="F3742" t="s">
        <v>44</v>
      </c>
      <c r="G3742" t="s">
        <v>45</v>
      </c>
      <c r="AH3742" t="s">
        <v>42</v>
      </c>
      <c r="AI3742" t="str">
        <f>"66298917575278"</f>
        <v>66298917575278</v>
      </c>
      <c r="AJ3742" t="str">
        <f>"41048-017JP"</f>
        <v>41048-017JP</v>
      </c>
      <c r="AK3742" t="s">
        <v>46</v>
      </c>
      <c r="AL3742" s="1">
        <v>44816.559895833336</v>
      </c>
      <c r="AM3742" t="s">
        <v>44</v>
      </c>
    </row>
    <row r="3743" spans="1:39" x14ac:dyDescent="0.2">
      <c r="A3743" t="s">
        <v>3550</v>
      </c>
      <c r="B3743" t="s">
        <v>40</v>
      </c>
      <c r="C3743" t="s">
        <v>3546</v>
      </c>
      <c r="D3743" t="s">
        <v>42</v>
      </c>
      <c r="E3743" t="s">
        <v>43</v>
      </c>
      <c r="F3743" t="s">
        <v>44</v>
      </c>
      <c r="G3743" t="s">
        <v>45</v>
      </c>
      <c r="AH3743" t="s">
        <v>42</v>
      </c>
      <c r="AI3743" t="str">
        <f>"66298917615489"</f>
        <v>66298917615489</v>
      </c>
      <c r="AJ3743" t="str">
        <f>"31-1510-60-HT"</f>
        <v>31-1510-60-HT</v>
      </c>
      <c r="AK3743" t="s">
        <v>46</v>
      </c>
      <c r="AL3743" s="1">
        <v>44816.559907407405</v>
      </c>
      <c r="AM3743" t="s">
        <v>44</v>
      </c>
    </row>
    <row r="3744" spans="1:39" x14ac:dyDescent="0.2">
      <c r="A3744" t="s">
        <v>3551</v>
      </c>
      <c r="B3744" t="s">
        <v>40</v>
      </c>
      <c r="C3744" t="s">
        <v>3546</v>
      </c>
      <c r="D3744" t="s">
        <v>42</v>
      </c>
      <c r="E3744" t="s">
        <v>43</v>
      </c>
      <c r="F3744" t="s">
        <v>44</v>
      </c>
      <c r="G3744" t="s">
        <v>45</v>
      </c>
      <c r="AH3744" t="s">
        <v>42</v>
      </c>
      <c r="AI3744" t="str">
        <f>"49CC50"</f>
        <v>49CC50</v>
      </c>
      <c r="AJ3744" t="str">
        <f>"49CC50"</f>
        <v>49CC50</v>
      </c>
      <c r="AK3744" t="s">
        <v>46</v>
      </c>
      <c r="AL3744" s="1">
        <v>45093.810567129629</v>
      </c>
      <c r="AM3744" t="s">
        <v>44</v>
      </c>
    </row>
    <row r="3745" spans="1:39" x14ac:dyDescent="0.2">
      <c r="A3745" t="s">
        <v>3552</v>
      </c>
      <c r="B3745" t="s">
        <v>40</v>
      </c>
      <c r="C3745" t="s">
        <v>3546</v>
      </c>
      <c r="D3745" t="s">
        <v>42</v>
      </c>
      <c r="E3745" t="s">
        <v>43</v>
      </c>
      <c r="F3745" t="s">
        <v>44</v>
      </c>
      <c r="G3745" t="s">
        <v>45</v>
      </c>
      <c r="AH3745" t="s">
        <v>42</v>
      </c>
      <c r="AI3745" t="str">
        <f>"66298917655846"</f>
        <v>66298917655846</v>
      </c>
      <c r="AJ3745" t="str">
        <f>"U043"</f>
        <v>U043</v>
      </c>
      <c r="AK3745" t="s">
        <v>46</v>
      </c>
      <c r="AL3745" s="1">
        <v>44816.559907407405</v>
      </c>
      <c r="AM3745" t="s">
        <v>44</v>
      </c>
    </row>
    <row r="3746" spans="1:39" x14ac:dyDescent="0.2">
      <c r="A3746" t="s">
        <v>3553</v>
      </c>
      <c r="B3746" t="s">
        <v>40</v>
      </c>
      <c r="C3746" t="s">
        <v>3546</v>
      </c>
      <c r="D3746" t="s">
        <v>42</v>
      </c>
      <c r="E3746" t="s">
        <v>43</v>
      </c>
      <c r="F3746" t="s">
        <v>44</v>
      </c>
      <c r="G3746" t="s">
        <v>45</v>
      </c>
      <c r="AH3746" t="s">
        <v>42</v>
      </c>
      <c r="AI3746" t="str">
        <f>"66298917696223"</f>
        <v>66298917696223</v>
      </c>
      <c r="AJ3746" t="str">
        <f>"45125-KCC-900JP"</f>
        <v>45125-KCC-900JP</v>
      </c>
      <c r="AK3746" t="s">
        <v>46</v>
      </c>
      <c r="AL3746" s="1">
        <v>44816.559907407405</v>
      </c>
      <c r="AM3746" t="s">
        <v>44</v>
      </c>
    </row>
    <row r="3747" spans="1:39" x14ac:dyDescent="0.2">
      <c r="A3747" t="s">
        <v>3554</v>
      </c>
      <c r="B3747" t="s">
        <v>40</v>
      </c>
      <c r="C3747" t="s">
        <v>3546</v>
      </c>
      <c r="D3747" t="s">
        <v>42</v>
      </c>
      <c r="E3747" t="s">
        <v>43</v>
      </c>
      <c r="F3747" t="s">
        <v>44</v>
      </c>
      <c r="G3747" t="s">
        <v>45</v>
      </c>
      <c r="AH3747" t="s">
        <v>42</v>
      </c>
      <c r="AI3747" t="str">
        <f>"66298917736483"</f>
        <v>66298917736483</v>
      </c>
      <c r="AJ3747" t="str">
        <f>"45120-096-652JP"</f>
        <v>45120-096-652JP</v>
      </c>
      <c r="AK3747" t="s">
        <v>46</v>
      </c>
      <c r="AL3747" s="1">
        <v>44816.559918981482</v>
      </c>
      <c r="AM3747" t="s">
        <v>44</v>
      </c>
    </row>
    <row r="3748" spans="1:39" x14ac:dyDescent="0.2">
      <c r="A3748" t="s">
        <v>3555</v>
      </c>
      <c r="B3748" t="s">
        <v>40</v>
      </c>
      <c r="C3748" t="s">
        <v>3546</v>
      </c>
      <c r="D3748" t="s">
        <v>42</v>
      </c>
      <c r="E3748" t="s">
        <v>43</v>
      </c>
      <c r="F3748" t="s">
        <v>44</v>
      </c>
      <c r="G3748" t="s">
        <v>45</v>
      </c>
      <c r="AH3748" t="s">
        <v>42</v>
      </c>
      <c r="AI3748" t="str">
        <f>"9632"</f>
        <v>9632</v>
      </c>
      <c r="AJ3748" t="str">
        <f>"9632"</f>
        <v>9632</v>
      </c>
      <c r="AK3748" t="s">
        <v>46</v>
      </c>
      <c r="AL3748" s="1">
        <v>44950.796759259261</v>
      </c>
      <c r="AM3748" t="s">
        <v>44</v>
      </c>
    </row>
    <row r="3749" spans="1:39" x14ac:dyDescent="0.2">
      <c r="A3749" t="s">
        <v>3556</v>
      </c>
      <c r="B3749" t="s">
        <v>40</v>
      </c>
      <c r="C3749" t="s">
        <v>3546</v>
      </c>
      <c r="D3749" t="s">
        <v>42</v>
      </c>
      <c r="E3749" t="s">
        <v>43</v>
      </c>
      <c r="F3749" t="s">
        <v>44</v>
      </c>
      <c r="G3749" t="s">
        <v>45</v>
      </c>
      <c r="AH3749" t="s">
        <v>42</v>
      </c>
      <c r="AI3749" t="str">
        <f>"U023"</f>
        <v>U023</v>
      </c>
      <c r="AJ3749" t="str">
        <f>"U023"</f>
        <v>U023</v>
      </c>
      <c r="AK3749" t="s">
        <v>46</v>
      </c>
      <c r="AL3749" s="1">
        <v>44846.634722222225</v>
      </c>
      <c r="AM3749" t="s">
        <v>44</v>
      </c>
    </row>
    <row r="3750" spans="1:39" x14ac:dyDescent="0.2">
      <c r="A3750" t="s">
        <v>3557</v>
      </c>
      <c r="B3750" t="s">
        <v>40</v>
      </c>
      <c r="C3750" t="s">
        <v>3546</v>
      </c>
      <c r="D3750" t="s">
        <v>42</v>
      </c>
      <c r="E3750" t="s">
        <v>43</v>
      </c>
      <c r="F3750" t="s">
        <v>44</v>
      </c>
      <c r="G3750" t="s">
        <v>45</v>
      </c>
      <c r="AH3750" t="s">
        <v>42</v>
      </c>
      <c r="AI3750" t="str">
        <f>"183-25330-00JP"</f>
        <v>183-25330-00JP</v>
      </c>
      <c r="AJ3750" t="str">
        <f>"183-25330-00JP"</f>
        <v>183-25330-00JP</v>
      </c>
      <c r="AK3750" t="s">
        <v>46</v>
      </c>
      <c r="AL3750" s="1">
        <v>44819.594282407408</v>
      </c>
      <c r="AM3750" t="s">
        <v>44</v>
      </c>
    </row>
    <row r="3751" spans="1:39" x14ac:dyDescent="0.2">
      <c r="A3751" t="s">
        <v>3558</v>
      </c>
      <c r="B3751" t="s">
        <v>40</v>
      </c>
      <c r="C3751" t="s">
        <v>3546</v>
      </c>
      <c r="D3751" t="s">
        <v>42</v>
      </c>
      <c r="E3751" t="s">
        <v>43</v>
      </c>
      <c r="F3751" t="s">
        <v>44</v>
      </c>
      <c r="G3751" t="s">
        <v>45</v>
      </c>
      <c r="AH3751" t="s">
        <v>42</v>
      </c>
      <c r="AI3751" t="str">
        <f>"6380"</f>
        <v>6380</v>
      </c>
      <c r="AJ3751" t="str">
        <f>"6380"</f>
        <v>6380</v>
      </c>
      <c r="AK3751" t="s">
        <v>46</v>
      </c>
      <c r="AL3751" s="1">
        <v>44999.603055555555</v>
      </c>
      <c r="AM3751" t="s">
        <v>44</v>
      </c>
    </row>
    <row r="3752" spans="1:39" x14ac:dyDescent="0.2">
      <c r="A3752" t="s">
        <v>3559</v>
      </c>
      <c r="B3752" t="s">
        <v>40</v>
      </c>
      <c r="C3752" t="s">
        <v>3546</v>
      </c>
      <c r="D3752" t="s">
        <v>42</v>
      </c>
      <c r="E3752" t="s">
        <v>43</v>
      </c>
      <c r="F3752" t="s">
        <v>44</v>
      </c>
      <c r="G3752" t="s">
        <v>45</v>
      </c>
      <c r="AH3752" t="s">
        <v>42</v>
      </c>
      <c r="AI3752" t="str">
        <f>"66298917777558"</f>
        <v>66298917777558</v>
      </c>
      <c r="AJ3752" t="str">
        <f>"54410-02410JP"</f>
        <v>54410-02410JP</v>
      </c>
      <c r="AK3752" t="s">
        <v>46</v>
      </c>
      <c r="AL3752" s="1">
        <v>44816.559918981482</v>
      </c>
      <c r="AM3752" t="s">
        <v>44</v>
      </c>
    </row>
    <row r="3753" spans="1:39" x14ac:dyDescent="0.2">
      <c r="A3753" t="s">
        <v>3560</v>
      </c>
      <c r="B3753" t="s">
        <v>40</v>
      </c>
      <c r="C3753" t="s">
        <v>3546</v>
      </c>
      <c r="D3753" t="s">
        <v>42</v>
      </c>
      <c r="E3753" t="s">
        <v>43</v>
      </c>
      <c r="F3753" t="s">
        <v>44</v>
      </c>
      <c r="G3753" t="s">
        <v>45</v>
      </c>
      <c r="AH3753" t="s">
        <v>42</v>
      </c>
      <c r="AI3753" t="str">
        <f>"U026"</f>
        <v>U026</v>
      </c>
      <c r="AJ3753" t="str">
        <f>"U026"</f>
        <v>U026</v>
      </c>
      <c r="AK3753" t="s">
        <v>46</v>
      </c>
      <c r="AL3753" s="1">
        <v>44929.672997685186</v>
      </c>
      <c r="AM3753" t="s">
        <v>44</v>
      </c>
    </row>
    <row r="3754" spans="1:39" x14ac:dyDescent="0.2">
      <c r="A3754" t="s">
        <v>3561</v>
      </c>
      <c r="B3754" t="s">
        <v>40</v>
      </c>
      <c r="C3754" t="s">
        <v>3546</v>
      </c>
      <c r="D3754" t="s">
        <v>42</v>
      </c>
      <c r="E3754" t="s">
        <v>43</v>
      </c>
      <c r="F3754" t="s">
        <v>44</v>
      </c>
      <c r="G3754" t="s">
        <v>45</v>
      </c>
      <c r="AH3754" t="s">
        <v>42</v>
      </c>
      <c r="AI3754" t="str">
        <f>"66298917834645"</f>
        <v>66298917834645</v>
      </c>
      <c r="AJ3754" t="str">
        <f>"54400-07880JP"</f>
        <v>54400-07880JP</v>
      </c>
      <c r="AK3754" t="s">
        <v>46</v>
      </c>
      <c r="AL3754" s="1">
        <v>44816.559930555559</v>
      </c>
      <c r="AM3754" t="s">
        <v>44</v>
      </c>
    </row>
    <row r="3755" spans="1:39" x14ac:dyDescent="0.2">
      <c r="A3755" t="s">
        <v>3561</v>
      </c>
      <c r="B3755" t="s">
        <v>40</v>
      </c>
      <c r="C3755" t="s">
        <v>3546</v>
      </c>
      <c r="D3755" t="s">
        <v>42</v>
      </c>
      <c r="E3755" t="s">
        <v>43</v>
      </c>
      <c r="F3755" t="s">
        <v>44</v>
      </c>
      <c r="G3755" t="s">
        <v>45</v>
      </c>
      <c r="AH3755" t="s">
        <v>42</v>
      </c>
      <c r="AI3755" t="str">
        <f>"20905"</f>
        <v>20905</v>
      </c>
      <c r="AJ3755" t="str">
        <f>"20905"</f>
        <v>20905</v>
      </c>
      <c r="AK3755" t="s">
        <v>46</v>
      </c>
      <c r="AL3755" s="1">
        <v>44998.658391203702</v>
      </c>
      <c r="AM3755" t="s">
        <v>44</v>
      </c>
    </row>
    <row r="3756" spans="1:39" x14ac:dyDescent="0.2">
      <c r="A3756" t="s">
        <v>3561</v>
      </c>
      <c r="B3756" t="s">
        <v>40</v>
      </c>
      <c r="C3756" t="s">
        <v>3546</v>
      </c>
      <c r="D3756" t="s">
        <v>42</v>
      </c>
      <c r="E3756" t="s">
        <v>43</v>
      </c>
      <c r="F3756" t="s">
        <v>44</v>
      </c>
      <c r="G3756" t="s">
        <v>45</v>
      </c>
      <c r="AH3756" t="s">
        <v>42</v>
      </c>
      <c r="AI3756" t="str">
        <f>"PAT-GN125H"</f>
        <v>PAT-GN125H</v>
      </c>
      <c r="AJ3756" t="str">
        <f>"PAT-GN125H"</f>
        <v>PAT-GN125H</v>
      </c>
      <c r="AK3756" t="s">
        <v>46</v>
      </c>
      <c r="AL3756" s="1">
        <v>44999.831921296296</v>
      </c>
      <c r="AM3756" t="s">
        <v>44</v>
      </c>
    </row>
    <row r="3757" spans="1:39" x14ac:dyDescent="0.2">
      <c r="A3757" t="s">
        <v>3562</v>
      </c>
      <c r="B3757" t="s">
        <v>40</v>
      </c>
      <c r="C3757" t="s">
        <v>3546</v>
      </c>
      <c r="D3757" t="s">
        <v>42</v>
      </c>
      <c r="E3757" t="s">
        <v>43</v>
      </c>
      <c r="F3757" t="s">
        <v>44</v>
      </c>
      <c r="G3757" t="s">
        <v>45</v>
      </c>
      <c r="AH3757" t="s">
        <v>42</v>
      </c>
      <c r="AI3757" t="str">
        <f>"54400H22Y00H000"</f>
        <v>54400H22Y00H000</v>
      </c>
      <c r="AJ3757" t="str">
        <f>"54400H22Y00H000"</f>
        <v>54400H22Y00H000</v>
      </c>
      <c r="AK3757" t="s">
        <v>46</v>
      </c>
      <c r="AL3757" s="1">
        <v>44875.762523148151</v>
      </c>
      <c r="AM3757" t="s">
        <v>44</v>
      </c>
    </row>
    <row r="3758" spans="1:39" x14ac:dyDescent="0.2">
      <c r="A3758" t="s">
        <v>3563</v>
      </c>
      <c r="B3758" t="s">
        <v>40</v>
      </c>
      <c r="C3758" t="s">
        <v>3546</v>
      </c>
      <c r="D3758" t="s">
        <v>42</v>
      </c>
      <c r="E3758" t="s">
        <v>43</v>
      </c>
      <c r="F3758" t="s">
        <v>44</v>
      </c>
      <c r="G3758" t="s">
        <v>45</v>
      </c>
      <c r="AH3758" t="s">
        <v>42</v>
      </c>
      <c r="AI3758" t="str">
        <f>"66298917920238"</f>
        <v>66298917920238</v>
      </c>
      <c r="AJ3758" t="str">
        <f>"400387"</f>
        <v>400387</v>
      </c>
      <c r="AK3758" t="s">
        <v>46</v>
      </c>
      <c r="AL3758" s="1">
        <v>44816.559942129628</v>
      </c>
      <c r="AM3758" t="s">
        <v>44</v>
      </c>
    </row>
    <row r="3759" spans="1:39" x14ac:dyDescent="0.2">
      <c r="A3759" t="s">
        <v>3564</v>
      </c>
      <c r="B3759" t="s">
        <v>40</v>
      </c>
      <c r="C3759" t="s">
        <v>3546</v>
      </c>
      <c r="D3759" t="s">
        <v>42</v>
      </c>
      <c r="E3759" t="s">
        <v>43</v>
      </c>
      <c r="F3759" t="s">
        <v>44</v>
      </c>
      <c r="G3759" t="s">
        <v>45</v>
      </c>
      <c r="AH3759" t="s">
        <v>42</v>
      </c>
      <c r="AI3759" t="str">
        <f>"64410H40Y00H000"</f>
        <v>64410H40Y00H000</v>
      </c>
      <c r="AJ3759" t="str">
        <f>"64410H40Y00H000"</f>
        <v>64410H40Y00H000</v>
      </c>
      <c r="AK3759" t="s">
        <v>46</v>
      </c>
      <c r="AL3759" s="1">
        <v>44875.60434027778</v>
      </c>
      <c r="AM3759" t="s">
        <v>44</v>
      </c>
    </row>
    <row r="3760" spans="1:39" x14ac:dyDescent="0.2">
      <c r="A3760" t="s">
        <v>3565</v>
      </c>
      <c r="B3760" t="s">
        <v>40</v>
      </c>
      <c r="C3760" t="s">
        <v>3546</v>
      </c>
      <c r="D3760" t="s">
        <v>42</v>
      </c>
      <c r="E3760" t="s">
        <v>43</v>
      </c>
      <c r="F3760" t="s">
        <v>44</v>
      </c>
      <c r="G3760" t="s">
        <v>45</v>
      </c>
      <c r="AH3760" t="s">
        <v>42</v>
      </c>
      <c r="AI3760" t="str">
        <f>"U021"</f>
        <v>U021</v>
      </c>
      <c r="AJ3760" t="str">
        <f>"U021"</f>
        <v>U021</v>
      </c>
      <c r="AK3760" t="s">
        <v>46</v>
      </c>
      <c r="AL3760" s="1">
        <v>45093.813217592593</v>
      </c>
      <c r="AM3760" t="s">
        <v>44</v>
      </c>
    </row>
    <row r="3761" spans="1:39" x14ac:dyDescent="0.2">
      <c r="A3761" t="s">
        <v>3566</v>
      </c>
      <c r="B3761" t="s">
        <v>40</v>
      </c>
      <c r="C3761" t="s">
        <v>3546</v>
      </c>
      <c r="D3761" t="s">
        <v>42</v>
      </c>
      <c r="E3761" t="s">
        <v>43</v>
      </c>
      <c r="F3761" t="s">
        <v>44</v>
      </c>
      <c r="G3761" t="s">
        <v>45</v>
      </c>
      <c r="AH3761" t="s">
        <v>42</v>
      </c>
      <c r="AI3761" t="str">
        <f>"66298917875143"</f>
        <v>66298917875143</v>
      </c>
      <c r="AJ3761" t="str">
        <f>"18A-W2534-00JP"</f>
        <v>18A-W2534-00JP</v>
      </c>
      <c r="AK3761" t="s">
        <v>46</v>
      </c>
      <c r="AL3761" s="1">
        <v>44816.559930555559</v>
      </c>
      <c r="AM3761" t="s">
        <v>44</v>
      </c>
    </row>
    <row r="3762" spans="1:39" x14ac:dyDescent="0.2">
      <c r="A3762" t="s">
        <v>3567</v>
      </c>
      <c r="B3762" t="s">
        <v>40</v>
      </c>
      <c r="C3762" t="s">
        <v>3546</v>
      </c>
      <c r="D3762" t="s">
        <v>42</v>
      </c>
      <c r="E3762" t="s">
        <v>43</v>
      </c>
      <c r="F3762" t="s">
        <v>44</v>
      </c>
      <c r="G3762" t="s">
        <v>45</v>
      </c>
      <c r="AH3762" t="s">
        <v>42</v>
      </c>
      <c r="AI3762" t="str">
        <f>"U027"</f>
        <v>U027</v>
      </c>
      <c r="AJ3762" t="str">
        <f>"U027"</f>
        <v>U027</v>
      </c>
      <c r="AK3762" t="s">
        <v>46</v>
      </c>
      <c r="AL3762" s="1">
        <v>45093.813923611109</v>
      </c>
      <c r="AM3762" t="s">
        <v>44</v>
      </c>
    </row>
    <row r="3763" spans="1:39" x14ac:dyDescent="0.2">
      <c r="A3763" t="s">
        <v>3568</v>
      </c>
      <c r="B3763" t="s">
        <v>40</v>
      </c>
      <c r="C3763" t="s">
        <v>3546</v>
      </c>
      <c r="D3763" t="s">
        <v>42</v>
      </c>
      <c r="E3763" t="s">
        <v>43</v>
      </c>
      <c r="F3763" t="s">
        <v>44</v>
      </c>
      <c r="G3763" t="s">
        <v>45</v>
      </c>
      <c r="AH3763" t="s">
        <v>42</v>
      </c>
      <c r="AI3763" t="str">
        <f>"66298917965048"</f>
        <v>66298917965048</v>
      </c>
      <c r="AJ3763" t="str">
        <f>"M150"</f>
        <v>M150</v>
      </c>
      <c r="AK3763" t="s">
        <v>46</v>
      </c>
      <c r="AL3763" s="1">
        <v>44816.559942129628</v>
      </c>
      <c r="AM3763" t="s">
        <v>44</v>
      </c>
    </row>
    <row r="3764" spans="1:39" x14ac:dyDescent="0.2">
      <c r="A3764" t="s">
        <v>3569</v>
      </c>
      <c r="B3764" t="s">
        <v>40</v>
      </c>
      <c r="C3764" t="s">
        <v>3546</v>
      </c>
      <c r="D3764" t="s">
        <v>42</v>
      </c>
      <c r="E3764" t="s">
        <v>43</v>
      </c>
      <c r="F3764" t="s">
        <v>44</v>
      </c>
      <c r="G3764" t="s">
        <v>45</v>
      </c>
      <c r="AH3764" t="s">
        <v>42</v>
      </c>
      <c r="AI3764" t="str">
        <f>"66298918049957"</f>
        <v>66298918049957</v>
      </c>
      <c r="AJ3764" t="str">
        <f>"400217"</f>
        <v>400217</v>
      </c>
      <c r="AK3764" t="s">
        <v>46</v>
      </c>
      <c r="AL3764" s="1">
        <v>44816.559953703705</v>
      </c>
      <c r="AM3764" t="s">
        <v>44</v>
      </c>
    </row>
    <row r="3765" spans="1:39" x14ac:dyDescent="0.2">
      <c r="A3765" t="s">
        <v>3570</v>
      </c>
      <c r="B3765" t="s">
        <v>40</v>
      </c>
      <c r="C3765" t="s">
        <v>3546</v>
      </c>
      <c r="D3765" t="s">
        <v>42</v>
      </c>
      <c r="E3765" t="s">
        <v>43</v>
      </c>
      <c r="F3765" t="s">
        <v>44</v>
      </c>
      <c r="G3765" t="s">
        <v>45</v>
      </c>
      <c r="AH3765" t="s">
        <v>42</v>
      </c>
      <c r="AI3765" t="str">
        <f>"66298918091277"</f>
        <v>66298918091277</v>
      </c>
      <c r="AJ3765" t="str">
        <f>"43120-362-000JP"</f>
        <v>43120-362-000JP</v>
      </c>
      <c r="AK3765" t="s">
        <v>46</v>
      </c>
      <c r="AL3765" s="1">
        <v>44816.559953703705</v>
      </c>
      <c r="AM3765" t="s">
        <v>44</v>
      </c>
    </row>
    <row r="3766" spans="1:39" x14ac:dyDescent="0.2">
      <c r="A3766" t="s">
        <v>3571</v>
      </c>
      <c r="B3766" t="s">
        <v>40</v>
      </c>
      <c r="C3766" t="s">
        <v>3546</v>
      </c>
      <c r="D3766" t="s">
        <v>42</v>
      </c>
      <c r="E3766" t="s">
        <v>43</v>
      </c>
      <c r="F3766" t="s">
        <v>44</v>
      </c>
      <c r="G3766" t="s">
        <v>45</v>
      </c>
      <c r="AH3766" t="s">
        <v>42</v>
      </c>
      <c r="AI3766" t="str">
        <f>"66298918010544"</f>
        <v>66298918010544</v>
      </c>
      <c r="AJ3766" t="str">
        <f>"06430-KBR-003JP"</f>
        <v>06430-KBR-003JP</v>
      </c>
      <c r="AK3766" t="s">
        <v>46</v>
      </c>
      <c r="AL3766" s="1">
        <v>44816.559953703705</v>
      </c>
      <c r="AM3766" t="s">
        <v>44</v>
      </c>
    </row>
    <row r="3767" spans="1:39" x14ac:dyDescent="0.2">
      <c r="A3767" t="s">
        <v>3572</v>
      </c>
      <c r="B3767" t="s">
        <v>40</v>
      </c>
      <c r="C3767" t="s">
        <v>3546</v>
      </c>
      <c r="D3767" t="s">
        <v>42</v>
      </c>
      <c r="E3767" t="s">
        <v>43</v>
      </c>
      <c r="F3767" t="s">
        <v>44</v>
      </c>
      <c r="G3767" t="s">
        <v>45</v>
      </c>
      <c r="AH3767" t="s">
        <v>42</v>
      </c>
      <c r="AI3767" t="str">
        <f>"66298918133675"</f>
        <v>66298918133675</v>
      </c>
      <c r="AJ3767" t="str">
        <f>"400218"</f>
        <v>400218</v>
      </c>
      <c r="AK3767" t="s">
        <v>46</v>
      </c>
      <c r="AL3767" s="1">
        <v>44816.559965277775</v>
      </c>
      <c r="AM3767" t="s">
        <v>44</v>
      </c>
    </row>
    <row r="3768" spans="1:39" x14ac:dyDescent="0.2">
      <c r="A3768" t="s">
        <v>3573</v>
      </c>
      <c r="B3768" t="s">
        <v>40</v>
      </c>
      <c r="C3768" t="s">
        <v>3546</v>
      </c>
      <c r="D3768" t="s">
        <v>42</v>
      </c>
      <c r="E3768" t="s">
        <v>43</v>
      </c>
      <c r="F3768" t="s">
        <v>44</v>
      </c>
      <c r="G3768" t="s">
        <v>45</v>
      </c>
      <c r="AH3768" t="s">
        <v>42</v>
      </c>
      <c r="AI3768" t="str">
        <f>"66298918176747"</f>
        <v>66298918176747</v>
      </c>
      <c r="AJ3768" t="str">
        <f>"5ML-XF533-00"</f>
        <v>5ML-XF533-00</v>
      </c>
      <c r="AK3768" t="s">
        <v>46</v>
      </c>
      <c r="AL3768" s="1">
        <v>44816.559965277775</v>
      </c>
      <c r="AM3768" t="s">
        <v>44</v>
      </c>
    </row>
    <row r="3769" spans="1:39" x14ac:dyDescent="0.2">
      <c r="A3769" t="s">
        <v>3574</v>
      </c>
      <c r="B3769" t="s">
        <v>40</v>
      </c>
      <c r="C3769" t="s">
        <v>3575</v>
      </c>
      <c r="D3769" t="s">
        <v>42</v>
      </c>
      <c r="E3769" t="s">
        <v>43</v>
      </c>
      <c r="F3769" t="s">
        <v>44</v>
      </c>
      <c r="G3769" t="s">
        <v>45</v>
      </c>
      <c r="AH3769" t="s">
        <v>42</v>
      </c>
      <c r="AI3769" t="str">
        <f>"66298918217029"</f>
        <v>66298918217029</v>
      </c>
      <c r="AJ3769" t="str">
        <f>"400548"</f>
        <v>400548</v>
      </c>
      <c r="AK3769" t="s">
        <v>46</v>
      </c>
      <c r="AL3769" s="1">
        <v>44816.559976851851</v>
      </c>
      <c r="AM3769" t="s">
        <v>44</v>
      </c>
    </row>
    <row r="3770" spans="1:39" x14ac:dyDescent="0.2">
      <c r="A3770" t="s">
        <v>3576</v>
      </c>
      <c r="B3770" t="s">
        <v>40</v>
      </c>
      <c r="C3770" t="s">
        <v>3575</v>
      </c>
      <c r="D3770" t="s">
        <v>42</v>
      </c>
      <c r="E3770" t="s">
        <v>43</v>
      </c>
      <c r="F3770" t="s">
        <v>44</v>
      </c>
      <c r="G3770" t="s">
        <v>45</v>
      </c>
      <c r="AH3770" t="s">
        <v>42</v>
      </c>
      <c r="AI3770" t="str">
        <f>"66298918257659"</f>
        <v>66298918257659</v>
      </c>
      <c r="AJ3770" t="str">
        <f>"GB015"</f>
        <v>GB015</v>
      </c>
      <c r="AK3770" t="s">
        <v>46</v>
      </c>
      <c r="AL3770" s="1">
        <v>44816.559976851851</v>
      </c>
      <c r="AM3770" t="s">
        <v>44</v>
      </c>
    </row>
    <row r="3771" spans="1:39" x14ac:dyDescent="0.2">
      <c r="A3771" t="s">
        <v>3577</v>
      </c>
      <c r="B3771" t="s">
        <v>40</v>
      </c>
      <c r="C3771" t="s">
        <v>3575</v>
      </c>
      <c r="D3771" t="s">
        <v>42</v>
      </c>
      <c r="E3771" t="s">
        <v>43</v>
      </c>
      <c r="F3771" t="s">
        <v>44</v>
      </c>
      <c r="G3771" t="s">
        <v>45</v>
      </c>
      <c r="AH3771" t="s">
        <v>42</v>
      </c>
      <c r="AI3771" t="str">
        <f>"66298918341354"</f>
        <v>66298918341354</v>
      </c>
      <c r="AJ3771" t="str">
        <f>"83157"</f>
        <v>83157</v>
      </c>
      <c r="AK3771" t="s">
        <v>46</v>
      </c>
      <c r="AL3771" s="1">
        <v>44816.559988425928</v>
      </c>
      <c r="AM3771" t="s">
        <v>44</v>
      </c>
    </row>
    <row r="3772" spans="1:39" x14ac:dyDescent="0.2">
      <c r="A3772" t="s">
        <v>3578</v>
      </c>
      <c r="B3772" t="s">
        <v>40</v>
      </c>
      <c r="C3772" t="s">
        <v>3575</v>
      </c>
      <c r="D3772" t="s">
        <v>42</v>
      </c>
      <c r="E3772" t="s">
        <v>43</v>
      </c>
      <c r="F3772" t="s">
        <v>44</v>
      </c>
      <c r="G3772" t="s">
        <v>45</v>
      </c>
      <c r="AH3772" t="s">
        <v>42</v>
      </c>
      <c r="AI3772" t="str">
        <f>"66298918302384"</f>
        <v>66298918302384</v>
      </c>
      <c r="AJ3772" t="str">
        <f>"JPC-1801-107"</f>
        <v>JPC-1801-107</v>
      </c>
      <c r="AK3772" t="s">
        <v>46</v>
      </c>
      <c r="AL3772" s="1">
        <v>44816.559988425928</v>
      </c>
      <c r="AM3772" t="s">
        <v>44</v>
      </c>
    </row>
    <row r="3773" spans="1:39" x14ac:dyDescent="0.2">
      <c r="A3773" t="s">
        <v>3579</v>
      </c>
      <c r="B3773" t="s">
        <v>40</v>
      </c>
      <c r="C3773" t="s">
        <v>3575</v>
      </c>
      <c r="D3773" t="s">
        <v>42</v>
      </c>
      <c r="E3773" t="s">
        <v>43</v>
      </c>
      <c r="F3773" t="s">
        <v>44</v>
      </c>
      <c r="G3773" t="s">
        <v>45</v>
      </c>
      <c r="AH3773" t="s">
        <v>42</v>
      </c>
      <c r="AI3773" t="str">
        <f>"66298918427187"</f>
        <v>66298918427187</v>
      </c>
      <c r="AJ3773" t="str">
        <f>"401029"</f>
        <v>401029</v>
      </c>
      <c r="AK3773" t="s">
        <v>46</v>
      </c>
      <c r="AL3773" s="1">
        <v>44816.56</v>
      </c>
      <c r="AM3773" t="s">
        <v>44</v>
      </c>
    </row>
    <row r="3774" spans="1:39" x14ac:dyDescent="0.2">
      <c r="A3774" t="s">
        <v>3580</v>
      </c>
      <c r="B3774" t="s">
        <v>40</v>
      </c>
      <c r="C3774" t="s">
        <v>3575</v>
      </c>
      <c r="D3774" t="s">
        <v>42</v>
      </c>
      <c r="E3774" t="s">
        <v>43</v>
      </c>
      <c r="F3774" t="s">
        <v>44</v>
      </c>
      <c r="G3774" t="s">
        <v>45</v>
      </c>
      <c r="AH3774" t="s">
        <v>42</v>
      </c>
      <c r="AI3774" t="str">
        <f>"66298918381775"</f>
        <v>66298918381775</v>
      </c>
      <c r="AJ3774" t="str">
        <f>"GB002"</f>
        <v>GB002</v>
      </c>
      <c r="AK3774" t="s">
        <v>46</v>
      </c>
      <c r="AL3774" s="1">
        <v>44816.559988425928</v>
      </c>
      <c r="AM3774" t="s">
        <v>44</v>
      </c>
    </row>
    <row r="3775" spans="1:39" x14ac:dyDescent="0.2">
      <c r="A3775" t="s">
        <v>3581</v>
      </c>
      <c r="B3775" t="s">
        <v>40</v>
      </c>
      <c r="C3775" t="s">
        <v>3575</v>
      </c>
      <c r="D3775" t="s">
        <v>42</v>
      </c>
      <c r="E3775" t="s">
        <v>43</v>
      </c>
      <c r="F3775" t="s">
        <v>44</v>
      </c>
      <c r="G3775" t="s">
        <v>45</v>
      </c>
      <c r="AH3775" t="s">
        <v>42</v>
      </c>
      <c r="AI3775" t="str">
        <f>"66298918467729"</f>
        <v>66298918467729</v>
      </c>
      <c r="AJ3775" t="str">
        <f>"24653"</f>
        <v>24653</v>
      </c>
      <c r="AK3775" t="s">
        <v>46</v>
      </c>
      <c r="AL3775" s="1">
        <v>44816.56</v>
      </c>
      <c r="AM3775" t="s">
        <v>44</v>
      </c>
    </row>
    <row r="3776" spans="1:39" x14ac:dyDescent="0.2">
      <c r="A3776" t="s">
        <v>3582</v>
      </c>
      <c r="B3776" t="s">
        <v>40</v>
      </c>
      <c r="C3776" t="s">
        <v>3575</v>
      </c>
      <c r="D3776" t="s">
        <v>42</v>
      </c>
      <c r="E3776" t="s">
        <v>43</v>
      </c>
      <c r="F3776" t="s">
        <v>44</v>
      </c>
      <c r="G3776" t="s">
        <v>45</v>
      </c>
      <c r="AH3776" t="s">
        <v>42</v>
      </c>
      <c r="AI3776" t="str">
        <f>"66298918510768"</f>
        <v>66298918510768</v>
      </c>
      <c r="AJ3776" t="str">
        <f>"GB001"</f>
        <v>GB001</v>
      </c>
      <c r="AK3776" t="s">
        <v>46</v>
      </c>
      <c r="AL3776" s="1">
        <v>44816.560011574074</v>
      </c>
      <c r="AM3776" t="s">
        <v>44</v>
      </c>
    </row>
    <row r="3777" spans="1:39" x14ac:dyDescent="0.2">
      <c r="A3777" t="s">
        <v>3583</v>
      </c>
      <c r="B3777" t="s">
        <v>40</v>
      </c>
      <c r="C3777" t="s">
        <v>3575</v>
      </c>
      <c r="D3777" t="s">
        <v>42</v>
      </c>
      <c r="E3777" t="s">
        <v>43</v>
      </c>
      <c r="F3777" t="s">
        <v>44</v>
      </c>
      <c r="G3777" t="s">
        <v>45</v>
      </c>
      <c r="AH3777" t="s">
        <v>42</v>
      </c>
      <c r="AI3777" t="str">
        <f>"66298918557448"</f>
        <v>66298918557448</v>
      </c>
      <c r="AJ3777" t="str">
        <f>"GB003"</f>
        <v>GB003</v>
      </c>
      <c r="AK3777" t="s">
        <v>46</v>
      </c>
      <c r="AL3777" s="1">
        <v>44816.560011574074</v>
      </c>
      <c r="AM3777" t="s">
        <v>44</v>
      </c>
    </row>
    <row r="3778" spans="1:39" x14ac:dyDescent="0.2">
      <c r="A3778" t="s">
        <v>3584</v>
      </c>
      <c r="B3778" t="s">
        <v>40</v>
      </c>
      <c r="C3778" t="s">
        <v>3575</v>
      </c>
      <c r="D3778" t="s">
        <v>42</v>
      </c>
      <c r="E3778" t="s">
        <v>43</v>
      </c>
      <c r="F3778" t="s">
        <v>44</v>
      </c>
      <c r="G3778" t="s">
        <v>45</v>
      </c>
      <c r="AH3778" t="s">
        <v>42</v>
      </c>
      <c r="AI3778" t="str">
        <f>"GB004"</f>
        <v>GB004</v>
      </c>
      <c r="AJ3778" t="str">
        <f>"GB004"</f>
        <v>GB004</v>
      </c>
      <c r="AK3778" t="s">
        <v>46</v>
      </c>
      <c r="AL3778" s="1">
        <v>44858.728460648148</v>
      </c>
      <c r="AM3778" t="s">
        <v>44</v>
      </c>
    </row>
    <row r="3779" spans="1:39" x14ac:dyDescent="0.2">
      <c r="A3779" t="s">
        <v>3585</v>
      </c>
      <c r="B3779" t="s">
        <v>40</v>
      </c>
      <c r="C3779" t="s">
        <v>3575</v>
      </c>
      <c r="D3779" t="s">
        <v>42</v>
      </c>
      <c r="E3779" t="s">
        <v>43</v>
      </c>
      <c r="F3779" t="s">
        <v>44</v>
      </c>
      <c r="G3779" t="s">
        <v>45</v>
      </c>
      <c r="AH3779" t="s">
        <v>42</v>
      </c>
      <c r="AI3779" t="str">
        <f>"66298918596754"</f>
        <v>66298918596754</v>
      </c>
      <c r="AJ3779" t="str">
        <f>"400437"</f>
        <v>400437</v>
      </c>
      <c r="AK3779" t="s">
        <v>46</v>
      </c>
      <c r="AL3779" s="1">
        <v>44816.560011574074</v>
      </c>
      <c r="AM3779" t="s">
        <v>44</v>
      </c>
    </row>
    <row r="3780" spans="1:39" x14ac:dyDescent="0.2">
      <c r="A3780" t="s">
        <v>3586</v>
      </c>
      <c r="B3780" t="s">
        <v>40</v>
      </c>
      <c r="C3780" t="s">
        <v>3575</v>
      </c>
      <c r="D3780" t="s">
        <v>42</v>
      </c>
      <c r="E3780" t="s">
        <v>43</v>
      </c>
      <c r="F3780" t="s">
        <v>44</v>
      </c>
      <c r="G3780" t="s">
        <v>45</v>
      </c>
      <c r="AH3780" t="s">
        <v>42</v>
      </c>
      <c r="AI3780" t="str">
        <f>"GB006"</f>
        <v>GB006</v>
      </c>
      <c r="AJ3780" t="str">
        <f>"GB006"</f>
        <v>GB006</v>
      </c>
      <c r="AK3780" t="s">
        <v>46</v>
      </c>
      <c r="AL3780" s="1">
        <v>45093.81490740741</v>
      </c>
      <c r="AM3780" t="s">
        <v>44</v>
      </c>
    </row>
    <row r="3781" spans="1:39" x14ac:dyDescent="0.2">
      <c r="A3781" t="s">
        <v>3587</v>
      </c>
      <c r="B3781" t="s">
        <v>40</v>
      </c>
      <c r="C3781" t="s">
        <v>3575</v>
      </c>
      <c r="D3781" t="s">
        <v>42</v>
      </c>
      <c r="E3781" t="s">
        <v>43</v>
      </c>
      <c r="F3781" t="s">
        <v>44</v>
      </c>
      <c r="G3781" t="s">
        <v>45</v>
      </c>
      <c r="AH3781" t="s">
        <v>42</v>
      </c>
      <c r="AI3781" t="str">
        <f>"66298918637269"</f>
        <v>66298918637269</v>
      </c>
      <c r="AJ3781" t="str">
        <f>"400010"</f>
        <v>400010</v>
      </c>
      <c r="AK3781" t="s">
        <v>46</v>
      </c>
      <c r="AL3781" s="1">
        <v>44816.560023148151</v>
      </c>
      <c r="AM3781" t="s">
        <v>44</v>
      </c>
    </row>
    <row r="3782" spans="1:39" x14ac:dyDescent="0.2">
      <c r="A3782" t="s">
        <v>3588</v>
      </c>
      <c r="B3782" t="s">
        <v>40</v>
      </c>
      <c r="C3782" t="s">
        <v>3575</v>
      </c>
      <c r="D3782" t="s">
        <v>42</v>
      </c>
      <c r="E3782" t="s">
        <v>43</v>
      </c>
      <c r="F3782" t="s">
        <v>44</v>
      </c>
      <c r="G3782" t="s">
        <v>45</v>
      </c>
      <c r="AH3782" t="s">
        <v>42</v>
      </c>
      <c r="AI3782" t="str">
        <f>"66298918680060"</f>
        <v>66298918680060</v>
      </c>
      <c r="AJ3782" t="str">
        <f>"25600H2C000H000"</f>
        <v>25600H2C000H000</v>
      </c>
      <c r="AK3782" t="s">
        <v>46</v>
      </c>
      <c r="AL3782" s="1">
        <v>44816.560023148151</v>
      </c>
      <c r="AM3782" t="s">
        <v>44</v>
      </c>
    </row>
    <row r="3783" spans="1:39" x14ac:dyDescent="0.2">
      <c r="A3783" t="s">
        <v>3589</v>
      </c>
      <c r="B3783" t="s">
        <v>40</v>
      </c>
      <c r="C3783" t="s">
        <v>3575</v>
      </c>
      <c r="D3783" t="s">
        <v>42</v>
      </c>
      <c r="E3783" t="s">
        <v>43</v>
      </c>
      <c r="F3783" t="s">
        <v>44</v>
      </c>
      <c r="G3783" t="s">
        <v>45</v>
      </c>
      <c r="AH3783" t="s">
        <v>42</v>
      </c>
      <c r="AI3783" t="str">
        <f>"66298918723487"</f>
        <v>66298918723487</v>
      </c>
      <c r="AJ3783" t="str">
        <f>"25600H40100H000"</f>
        <v>25600H40100H000</v>
      </c>
      <c r="AK3783" t="s">
        <v>46</v>
      </c>
      <c r="AL3783" s="1">
        <v>44816.560034722221</v>
      </c>
      <c r="AM3783" t="s">
        <v>44</v>
      </c>
    </row>
    <row r="3784" spans="1:39" x14ac:dyDescent="0.2">
      <c r="A3784" t="s">
        <v>3590</v>
      </c>
      <c r="B3784" t="s">
        <v>40</v>
      </c>
      <c r="C3784" t="s">
        <v>3575</v>
      </c>
      <c r="D3784" t="s">
        <v>42</v>
      </c>
      <c r="E3784" t="s">
        <v>43</v>
      </c>
      <c r="F3784" t="s">
        <v>44</v>
      </c>
      <c r="G3784" t="s">
        <v>45</v>
      </c>
      <c r="AH3784" t="s">
        <v>42</v>
      </c>
      <c r="AI3784" t="str">
        <f>"66298918811092"</f>
        <v>66298918811092</v>
      </c>
      <c r="AJ3784" t="str">
        <f>"400229"</f>
        <v>400229</v>
      </c>
      <c r="AK3784" t="s">
        <v>46</v>
      </c>
      <c r="AL3784" s="1">
        <v>44816.560046296298</v>
      </c>
      <c r="AM3784" t="s">
        <v>44</v>
      </c>
    </row>
    <row r="3785" spans="1:39" x14ac:dyDescent="0.2">
      <c r="A3785" t="s">
        <v>3591</v>
      </c>
      <c r="B3785" t="s">
        <v>40</v>
      </c>
      <c r="C3785" t="s">
        <v>3575</v>
      </c>
      <c r="D3785" t="s">
        <v>42</v>
      </c>
      <c r="E3785" t="s">
        <v>43</v>
      </c>
      <c r="F3785" t="s">
        <v>44</v>
      </c>
      <c r="G3785" t="s">
        <v>45</v>
      </c>
      <c r="AH3785" t="s">
        <v>42</v>
      </c>
      <c r="AI3785" t="str">
        <f>"66298918767415"</f>
        <v>66298918767415</v>
      </c>
      <c r="AJ3785" t="str">
        <f>"PED-CAM-NXR"</f>
        <v>PED-CAM-NXR</v>
      </c>
      <c r="AK3785" t="s">
        <v>46</v>
      </c>
      <c r="AL3785" s="1">
        <v>44816.560034722221</v>
      </c>
      <c r="AM3785" t="s">
        <v>44</v>
      </c>
    </row>
    <row r="3786" spans="1:39" x14ac:dyDescent="0.2">
      <c r="A3786" t="s">
        <v>3592</v>
      </c>
      <c r="B3786" t="s">
        <v>40</v>
      </c>
      <c r="C3786" t="s">
        <v>3575</v>
      </c>
      <c r="D3786" t="s">
        <v>42</v>
      </c>
      <c r="E3786" t="s">
        <v>43</v>
      </c>
      <c r="F3786" t="s">
        <v>44</v>
      </c>
      <c r="G3786" t="s">
        <v>45</v>
      </c>
      <c r="AH3786" t="s">
        <v>42</v>
      </c>
      <c r="AI3786" t="str">
        <f>"66298918852235"</f>
        <v>66298918852235</v>
      </c>
      <c r="AJ3786" t="str">
        <f>"400444"</f>
        <v>400444</v>
      </c>
      <c r="AK3786" t="s">
        <v>46</v>
      </c>
      <c r="AL3786" s="1">
        <v>44816.560046296298</v>
      </c>
      <c r="AM3786" t="s">
        <v>44</v>
      </c>
    </row>
    <row r="3787" spans="1:39" x14ac:dyDescent="0.2">
      <c r="A3787" t="s">
        <v>3593</v>
      </c>
      <c r="B3787" t="s">
        <v>40</v>
      </c>
      <c r="C3787" t="s">
        <v>3575</v>
      </c>
      <c r="D3787" t="s">
        <v>42</v>
      </c>
      <c r="E3787" t="s">
        <v>43</v>
      </c>
      <c r="F3787" t="s">
        <v>44</v>
      </c>
      <c r="G3787" t="s">
        <v>45</v>
      </c>
      <c r="AH3787" t="s">
        <v>42</v>
      </c>
      <c r="AI3787" t="str">
        <f>"66298918894612"</f>
        <v>66298918894612</v>
      </c>
      <c r="AJ3787" t="str">
        <f>"400440"</f>
        <v>400440</v>
      </c>
      <c r="AK3787" t="s">
        <v>46</v>
      </c>
      <c r="AL3787" s="1">
        <v>44816.560046296298</v>
      </c>
      <c r="AM3787" t="s">
        <v>44</v>
      </c>
    </row>
    <row r="3788" spans="1:39" x14ac:dyDescent="0.2">
      <c r="A3788" t="s">
        <v>3594</v>
      </c>
      <c r="B3788" t="s">
        <v>40</v>
      </c>
      <c r="C3788" t="s">
        <v>3575</v>
      </c>
      <c r="D3788" t="s">
        <v>42</v>
      </c>
      <c r="E3788" t="s">
        <v>43</v>
      </c>
      <c r="F3788" t="s">
        <v>44</v>
      </c>
      <c r="G3788" t="s">
        <v>45</v>
      </c>
      <c r="AH3788" t="s">
        <v>42</v>
      </c>
      <c r="AI3788" t="str">
        <f>"66298918935840"</f>
        <v>66298918935840</v>
      </c>
      <c r="AJ3788" t="str">
        <f>"400441"</f>
        <v>400441</v>
      </c>
      <c r="AK3788" t="s">
        <v>46</v>
      </c>
      <c r="AL3788" s="1">
        <v>44816.560057870367</v>
      </c>
      <c r="AM3788" t="s">
        <v>44</v>
      </c>
    </row>
    <row r="3789" spans="1:39" x14ac:dyDescent="0.2">
      <c r="A3789" t="s">
        <v>3595</v>
      </c>
      <c r="B3789" t="s">
        <v>40</v>
      </c>
      <c r="C3789" t="s">
        <v>3575</v>
      </c>
      <c r="D3789" t="s">
        <v>42</v>
      </c>
      <c r="E3789" t="s">
        <v>43</v>
      </c>
      <c r="F3789" t="s">
        <v>44</v>
      </c>
      <c r="G3789" t="s">
        <v>45</v>
      </c>
      <c r="AH3789" t="s">
        <v>42</v>
      </c>
      <c r="AI3789" t="str">
        <f>"66298918977564"</f>
        <v>66298918977564</v>
      </c>
      <c r="AJ3789" t="str">
        <f>"25600H37210H000"</f>
        <v>25600H37210H000</v>
      </c>
      <c r="AK3789" t="s">
        <v>46</v>
      </c>
      <c r="AL3789" s="1">
        <v>44816.560057870367</v>
      </c>
      <c r="AM3789" t="s">
        <v>44</v>
      </c>
    </row>
    <row r="3790" spans="1:39" x14ac:dyDescent="0.2">
      <c r="A3790" t="s">
        <v>3596</v>
      </c>
      <c r="B3790" t="s">
        <v>40</v>
      </c>
      <c r="C3790" t="s">
        <v>3575</v>
      </c>
      <c r="D3790" t="s">
        <v>42</v>
      </c>
      <c r="E3790" t="s">
        <v>43</v>
      </c>
      <c r="F3790" t="s">
        <v>44</v>
      </c>
      <c r="G3790" t="s">
        <v>45</v>
      </c>
      <c r="AH3790" t="s">
        <v>42</v>
      </c>
      <c r="AI3790" t="str">
        <f>"66298919020223"</f>
        <v>66298919020223</v>
      </c>
      <c r="AJ3790" t="str">
        <f>"400442"</f>
        <v>400442</v>
      </c>
      <c r="AK3790" t="s">
        <v>46</v>
      </c>
      <c r="AL3790" s="1">
        <v>44816.560069444444</v>
      </c>
      <c r="AM3790" t="s">
        <v>44</v>
      </c>
    </row>
    <row r="3791" spans="1:39" x14ac:dyDescent="0.2">
      <c r="A3791" t="s">
        <v>3597</v>
      </c>
      <c r="B3791" t="s">
        <v>40</v>
      </c>
      <c r="C3791" t="s">
        <v>3575</v>
      </c>
      <c r="D3791" t="s">
        <v>42</v>
      </c>
      <c r="E3791" t="s">
        <v>43</v>
      </c>
      <c r="F3791" t="s">
        <v>44</v>
      </c>
      <c r="G3791" t="s">
        <v>45</v>
      </c>
      <c r="AH3791" t="s">
        <v>42</v>
      </c>
      <c r="AI3791" t="str">
        <f>"66298919061798"</f>
        <v>66298919061798</v>
      </c>
      <c r="AJ3791" t="str">
        <f>"400438"</f>
        <v>400438</v>
      </c>
      <c r="AK3791" t="s">
        <v>46</v>
      </c>
      <c r="AL3791" s="1">
        <v>44816.560069444444</v>
      </c>
      <c r="AM3791" t="s">
        <v>44</v>
      </c>
    </row>
    <row r="3792" spans="1:39" x14ac:dyDescent="0.2">
      <c r="A3792" t="s">
        <v>3598</v>
      </c>
      <c r="B3792" t="s">
        <v>40</v>
      </c>
      <c r="C3792" t="s">
        <v>3575</v>
      </c>
      <c r="D3792" t="s">
        <v>42</v>
      </c>
      <c r="E3792" t="s">
        <v>43</v>
      </c>
      <c r="F3792" t="s">
        <v>44</v>
      </c>
      <c r="G3792" t="s">
        <v>45</v>
      </c>
      <c r="AH3792" t="s">
        <v>42</v>
      </c>
      <c r="AI3792" t="str">
        <f>"66298919103237"</f>
        <v>66298919103237</v>
      </c>
      <c r="AJ3792" t="str">
        <f>"20PWE811100"</f>
        <v>20PWE811100</v>
      </c>
      <c r="AK3792" t="s">
        <v>46</v>
      </c>
      <c r="AL3792" s="1">
        <v>44816.560081018521</v>
      </c>
      <c r="AM3792" t="s">
        <v>44</v>
      </c>
    </row>
    <row r="3793" spans="1:39" x14ac:dyDescent="0.2">
      <c r="A3793" t="s">
        <v>3599</v>
      </c>
      <c r="B3793" t="s">
        <v>40</v>
      </c>
      <c r="C3793" t="s">
        <v>3575</v>
      </c>
      <c r="D3793" t="s">
        <v>42</v>
      </c>
      <c r="E3793" t="s">
        <v>43</v>
      </c>
      <c r="F3793" t="s">
        <v>44</v>
      </c>
      <c r="G3793" t="s">
        <v>45</v>
      </c>
      <c r="AH3793" t="s">
        <v>42</v>
      </c>
      <c r="AI3793" t="str">
        <f>"B070"</f>
        <v>B070</v>
      </c>
      <c r="AJ3793" t="str">
        <f>"B070"</f>
        <v>B070</v>
      </c>
      <c r="AK3793" t="s">
        <v>46</v>
      </c>
      <c r="AL3793" s="1">
        <v>45093.815509259257</v>
      </c>
      <c r="AM3793" t="s">
        <v>44</v>
      </c>
    </row>
    <row r="3794" spans="1:39" x14ac:dyDescent="0.2">
      <c r="A3794" t="s">
        <v>3600</v>
      </c>
      <c r="B3794" t="s">
        <v>40</v>
      </c>
      <c r="C3794" t="s">
        <v>3575</v>
      </c>
      <c r="D3794" t="s">
        <v>42</v>
      </c>
      <c r="E3794" t="s">
        <v>43</v>
      </c>
      <c r="F3794" t="s">
        <v>44</v>
      </c>
      <c r="G3794" t="s">
        <v>45</v>
      </c>
      <c r="AH3794" t="s">
        <v>42</v>
      </c>
      <c r="AI3794" t="str">
        <f>"66298919141626"</f>
        <v>66298919141626</v>
      </c>
      <c r="AJ3794" t="str">
        <f>"588006"</f>
        <v>588006</v>
      </c>
      <c r="AK3794" t="s">
        <v>46</v>
      </c>
      <c r="AL3794" s="1">
        <v>44816.560081018521</v>
      </c>
      <c r="AM3794" t="s">
        <v>44</v>
      </c>
    </row>
    <row r="3795" spans="1:39" x14ac:dyDescent="0.2">
      <c r="A3795" t="s">
        <v>3601</v>
      </c>
      <c r="B3795" t="s">
        <v>40</v>
      </c>
      <c r="C3795" t="s">
        <v>3575</v>
      </c>
      <c r="D3795" t="s">
        <v>42</v>
      </c>
      <c r="E3795" t="s">
        <v>43</v>
      </c>
      <c r="F3795" t="s">
        <v>44</v>
      </c>
      <c r="G3795" t="s">
        <v>45</v>
      </c>
      <c r="AH3795" t="s">
        <v>42</v>
      </c>
      <c r="AI3795" t="str">
        <f>"66298919180117"</f>
        <v>66298919180117</v>
      </c>
      <c r="AJ3795" t="str">
        <f>"400457"</f>
        <v>400457</v>
      </c>
      <c r="AK3795" t="s">
        <v>46</v>
      </c>
      <c r="AL3795" s="1">
        <v>44816.560081018521</v>
      </c>
      <c r="AM3795" t="s">
        <v>44</v>
      </c>
    </row>
    <row r="3796" spans="1:39" x14ac:dyDescent="0.2">
      <c r="A3796" t="s">
        <v>3602</v>
      </c>
      <c r="B3796" t="s">
        <v>40</v>
      </c>
      <c r="C3796" t="s">
        <v>3575</v>
      </c>
      <c r="D3796" t="s">
        <v>42</v>
      </c>
      <c r="E3796" t="s">
        <v>43</v>
      </c>
      <c r="F3796" t="s">
        <v>44</v>
      </c>
      <c r="G3796" t="s">
        <v>45</v>
      </c>
      <c r="AH3796" t="s">
        <v>42</v>
      </c>
      <c r="AI3796" t="str">
        <f>"66298919218508"</f>
        <v>66298919218508</v>
      </c>
      <c r="AJ3796" t="str">
        <f>"GC003"</f>
        <v>GC003</v>
      </c>
      <c r="AK3796" t="s">
        <v>46</v>
      </c>
      <c r="AL3796" s="1">
        <v>44816.56009259259</v>
      </c>
      <c r="AM3796" t="s">
        <v>44</v>
      </c>
    </row>
    <row r="3797" spans="1:39" x14ac:dyDescent="0.2">
      <c r="A3797" t="s">
        <v>3603</v>
      </c>
      <c r="B3797" t="s">
        <v>40</v>
      </c>
      <c r="C3797" t="s">
        <v>3575</v>
      </c>
      <c r="D3797" t="s">
        <v>42</v>
      </c>
      <c r="E3797" t="s">
        <v>43</v>
      </c>
      <c r="F3797" t="s">
        <v>44</v>
      </c>
      <c r="G3797" t="s">
        <v>45</v>
      </c>
      <c r="AH3797" t="s">
        <v>42</v>
      </c>
      <c r="AI3797" t="str">
        <f>"66298919256418"</f>
        <v>66298919256418</v>
      </c>
      <c r="AJ3797" t="str">
        <f>"PED-PART-CG100"</f>
        <v>PED-PART-CG100</v>
      </c>
      <c r="AK3797" t="s">
        <v>46</v>
      </c>
      <c r="AL3797" s="1">
        <v>44816.56009259259</v>
      </c>
      <c r="AM3797" t="s">
        <v>44</v>
      </c>
    </row>
    <row r="3798" spans="1:39" x14ac:dyDescent="0.2">
      <c r="A3798" t="s">
        <v>3604</v>
      </c>
      <c r="B3798" t="s">
        <v>40</v>
      </c>
      <c r="C3798" t="s">
        <v>3575</v>
      </c>
      <c r="D3798" t="s">
        <v>42</v>
      </c>
      <c r="E3798" t="s">
        <v>43</v>
      </c>
      <c r="F3798" t="s">
        <v>44</v>
      </c>
      <c r="G3798" t="s">
        <v>45</v>
      </c>
      <c r="AH3798" t="s">
        <v>42</v>
      </c>
      <c r="AI3798" t="str">
        <f>"66298919346472"</f>
        <v>66298919346472</v>
      </c>
      <c r="AJ3798" t="str">
        <f>"400473"</f>
        <v>400473</v>
      </c>
      <c r="AK3798" t="s">
        <v>46</v>
      </c>
      <c r="AL3798" s="1">
        <v>44816.560104166667</v>
      </c>
      <c r="AM3798" t="s">
        <v>44</v>
      </c>
    </row>
    <row r="3799" spans="1:39" x14ac:dyDescent="0.2">
      <c r="A3799" t="s">
        <v>3605</v>
      </c>
      <c r="B3799" t="s">
        <v>40</v>
      </c>
      <c r="C3799" t="s">
        <v>3575</v>
      </c>
      <c r="D3799" t="s">
        <v>42</v>
      </c>
      <c r="E3799" t="s">
        <v>43</v>
      </c>
      <c r="F3799" t="s">
        <v>44</v>
      </c>
      <c r="G3799" t="s">
        <v>45</v>
      </c>
      <c r="AH3799" t="s">
        <v>42</v>
      </c>
      <c r="AI3799" t="str">
        <f>"66298919389219"</f>
        <v>66298919389219</v>
      </c>
      <c r="AJ3799" t="str">
        <f>"GA008"</f>
        <v>GA008</v>
      </c>
      <c r="AK3799" t="s">
        <v>46</v>
      </c>
      <c r="AL3799" s="1">
        <v>44816.560104166667</v>
      </c>
      <c r="AM3799" t="s">
        <v>44</v>
      </c>
    </row>
    <row r="3800" spans="1:39" x14ac:dyDescent="0.2">
      <c r="A3800" t="s">
        <v>3606</v>
      </c>
      <c r="B3800" t="s">
        <v>40</v>
      </c>
      <c r="C3800" t="s">
        <v>3575</v>
      </c>
      <c r="D3800" t="s">
        <v>42</v>
      </c>
      <c r="E3800" t="s">
        <v>43</v>
      </c>
      <c r="F3800" t="s">
        <v>44</v>
      </c>
      <c r="G3800" t="s">
        <v>45</v>
      </c>
      <c r="AH3800" t="s">
        <v>42</v>
      </c>
      <c r="AI3800" t="str">
        <f>"66298919430830"</f>
        <v>66298919430830</v>
      </c>
      <c r="AJ3800" t="str">
        <f>"2063"</f>
        <v>2063</v>
      </c>
      <c r="AK3800" t="s">
        <v>46</v>
      </c>
      <c r="AL3800" s="1">
        <v>44816.560115740744</v>
      </c>
      <c r="AM3800" t="s">
        <v>44</v>
      </c>
    </row>
    <row r="3801" spans="1:39" x14ac:dyDescent="0.2">
      <c r="A3801" t="s">
        <v>3607</v>
      </c>
      <c r="B3801" t="s">
        <v>40</v>
      </c>
      <c r="C3801" t="s">
        <v>3575</v>
      </c>
      <c r="D3801" t="s">
        <v>42</v>
      </c>
      <c r="E3801" t="s">
        <v>43</v>
      </c>
      <c r="F3801" t="s">
        <v>44</v>
      </c>
      <c r="G3801" t="s">
        <v>45</v>
      </c>
      <c r="AH3801" t="s">
        <v>42</v>
      </c>
      <c r="AI3801" t="str">
        <f>"66298919298152"</f>
        <v>66298919298152</v>
      </c>
      <c r="AJ3801" t="str">
        <f>"GA006"</f>
        <v>GA006</v>
      </c>
      <c r="AK3801" t="s">
        <v>46</v>
      </c>
      <c r="AL3801" s="1">
        <v>44816.56009259259</v>
      </c>
      <c r="AM3801" t="s">
        <v>44</v>
      </c>
    </row>
    <row r="3802" spans="1:39" x14ac:dyDescent="0.2">
      <c r="A3802" t="s">
        <v>3607</v>
      </c>
      <c r="B3802" t="s">
        <v>40</v>
      </c>
      <c r="C3802" t="s">
        <v>3575</v>
      </c>
      <c r="D3802" t="s">
        <v>42</v>
      </c>
      <c r="E3802" t="s">
        <v>43</v>
      </c>
      <c r="F3802" t="s">
        <v>44</v>
      </c>
      <c r="G3802" t="s">
        <v>45</v>
      </c>
      <c r="AH3802" t="s">
        <v>42</v>
      </c>
      <c r="AI3802" t="str">
        <f>"B071"</f>
        <v>B071</v>
      </c>
      <c r="AJ3802" t="str">
        <f>"B071"</f>
        <v>B071</v>
      </c>
      <c r="AK3802" t="s">
        <v>46</v>
      </c>
      <c r="AL3802" s="1">
        <v>45093.816331018519</v>
      </c>
      <c r="AM3802" t="s">
        <v>44</v>
      </c>
    </row>
    <row r="3803" spans="1:39" x14ac:dyDescent="0.2">
      <c r="A3803" t="s">
        <v>3608</v>
      </c>
      <c r="B3803" t="s">
        <v>40</v>
      </c>
      <c r="C3803" t="s">
        <v>3575</v>
      </c>
      <c r="D3803" t="s">
        <v>42</v>
      </c>
      <c r="E3803" t="s">
        <v>43</v>
      </c>
      <c r="F3803" t="s">
        <v>44</v>
      </c>
      <c r="G3803" t="s">
        <v>45</v>
      </c>
      <c r="AH3803" t="s">
        <v>42</v>
      </c>
      <c r="AI3803" t="str">
        <f>"66298919607747"</f>
        <v>66298919607747</v>
      </c>
      <c r="AJ3803" t="str">
        <f>"GA001"</f>
        <v>GA001</v>
      </c>
      <c r="AK3803" t="s">
        <v>46</v>
      </c>
      <c r="AL3803" s="1">
        <v>44816.56013888889</v>
      </c>
      <c r="AM3803" t="s">
        <v>44</v>
      </c>
    </row>
    <row r="3804" spans="1:39" x14ac:dyDescent="0.2">
      <c r="A3804" t="s">
        <v>3609</v>
      </c>
      <c r="B3804" t="s">
        <v>40</v>
      </c>
      <c r="C3804" t="s">
        <v>3575</v>
      </c>
      <c r="D3804" t="s">
        <v>42</v>
      </c>
      <c r="E3804" t="s">
        <v>43</v>
      </c>
      <c r="F3804" t="s">
        <v>44</v>
      </c>
      <c r="G3804" t="s">
        <v>45</v>
      </c>
      <c r="AH3804" t="s">
        <v>42</v>
      </c>
      <c r="AI3804" t="str">
        <f>"66298919566376"</f>
        <v>66298919566376</v>
      </c>
      <c r="AJ3804" t="str">
        <f>"400233"</f>
        <v>400233</v>
      </c>
      <c r="AK3804" t="s">
        <v>46</v>
      </c>
      <c r="AL3804" s="1">
        <v>44816.560127314813</v>
      </c>
      <c r="AM3804" t="s">
        <v>44</v>
      </c>
    </row>
    <row r="3805" spans="1:39" x14ac:dyDescent="0.2">
      <c r="A3805" t="s">
        <v>3610</v>
      </c>
      <c r="B3805" t="s">
        <v>40</v>
      </c>
      <c r="C3805" t="s">
        <v>3575</v>
      </c>
      <c r="D3805" t="s">
        <v>42</v>
      </c>
      <c r="E3805" t="s">
        <v>43</v>
      </c>
      <c r="F3805" t="s">
        <v>44</v>
      </c>
      <c r="G3805" t="s">
        <v>45</v>
      </c>
      <c r="AH3805" t="s">
        <v>42</v>
      </c>
      <c r="AI3805" t="str">
        <f>"66298919470820"</f>
        <v>66298919470820</v>
      </c>
      <c r="AJ3805" t="str">
        <f>"625"</f>
        <v>625</v>
      </c>
      <c r="AK3805" t="s">
        <v>46</v>
      </c>
      <c r="AL3805" s="1">
        <v>44816.560115740744</v>
      </c>
      <c r="AM3805" t="s">
        <v>44</v>
      </c>
    </row>
    <row r="3806" spans="1:39" x14ac:dyDescent="0.2">
      <c r="A3806" t="s">
        <v>3610</v>
      </c>
      <c r="B3806" t="s">
        <v>40</v>
      </c>
      <c r="C3806" t="s">
        <v>3575</v>
      </c>
      <c r="D3806" t="s">
        <v>42</v>
      </c>
      <c r="E3806" t="s">
        <v>43</v>
      </c>
      <c r="F3806" t="s">
        <v>44</v>
      </c>
      <c r="G3806" t="s">
        <v>45</v>
      </c>
      <c r="AH3806" t="s">
        <v>42</v>
      </c>
      <c r="AI3806" t="str">
        <f>"66298919521712"</f>
        <v>66298919521712</v>
      </c>
      <c r="AJ3806" t="str">
        <f>"GA009"</f>
        <v>GA009</v>
      </c>
      <c r="AK3806" t="s">
        <v>46</v>
      </c>
      <c r="AL3806" s="1">
        <v>44816.560127314813</v>
      </c>
      <c r="AM3806" t="s">
        <v>44</v>
      </c>
    </row>
    <row r="3807" spans="1:39" x14ac:dyDescent="0.2">
      <c r="A3807" t="s">
        <v>3611</v>
      </c>
      <c r="B3807" t="s">
        <v>40</v>
      </c>
      <c r="C3807" t="s">
        <v>3575</v>
      </c>
      <c r="D3807" t="s">
        <v>42</v>
      </c>
      <c r="E3807" t="s">
        <v>43</v>
      </c>
      <c r="F3807" t="s">
        <v>44</v>
      </c>
      <c r="G3807" t="s">
        <v>45</v>
      </c>
      <c r="AH3807" t="s">
        <v>42</v>
      </c>
      <c r="AI3807" t="str">
        <f>"66298919652638"</f>
        <v>66298919652638</v>
      </c>
      <c r="AJ3807" t="str">
        <f>"GA011"</f>
        <v>GA011</v>
      </c>
      <c r="AK3807" t="s">
        <v>46</v>
      </c>
      <c r="AL3807" s="1">
        <v>44816.56013888889</v>
      </c>
      <c r="AM3807" t="s">
        <v>44</v>
      </c>
    </row>
    <row r="3808" spans="1:39" x14ac:dyDescent="0.2">
      <c r="A3808" t="s">
        <v>3612</v>
      </c>
      <c r="B3808" t="s">
        <v>40</v>
      </c>
      <c r="C3808" t="s">
        <v>3575</v>
      </c>
      <c r="D3808" t="s">
        <v>42</v>
      </c>
      <c r="E3808" t="s">
        <v>43</v>
      </c>
      <c r="F3808" t="s">
        <v>44</v>
      </c>
      <c r="G3808" t="s">
        <v>45</v>
      </c>
      <c r="AH3808" t="s">
        <v>42</v>
      </c>
      <c r="AI3808" t="str">
        <f>"66298919694313"</f>
        <v>66298919694313</v>
      </c>
      <c r="AJ3808" t="str">
        <f>"400470"</f>
        <v>400470</v>
      </c>
      <c r="AK3808" t="s">
        <v>46</v>
      </c>
      <c r="AL3808" s="1">
        <v>44816.56013888889</v>
      </c>
      <c r="AM3808" t="s">
        <v>44</v>
      </c>
    </row>
    <row r="3809" spans="1:39" x14ac:dyDescent="0.2">
      <c r="A3809" t="s">
        <v>3613</v>
      </c>
      <c r="B3809" t="s">
        <v>40</v>
      </c>
      <c r="C3809" t="s">
        <v>3575</v>
      </c>
      <c r="D3809" t="s">
        <v>42</v>
      </c>
      <c r="E3809" t="s">
        <v>43</v>
      </c>
      <c r="F3809" t="s">
        <v>44</v>
      </c>
      <c r="G3809" t="s">
        <v>45</v>
      </c>
      <c r="AH3809" t="s">
        <v>42</v>
      </c>
      <c r="AI3809" t="str">
        <f>"66298919733595"</f>
        <v>66298919733595</v>
      </c>
      <c r="AJ3809" t="str">
        <f>"588005"</f>
        <v>588005</v>
      </c>
      <c r="AK3809" t="s">
        <v>46</v>
      </c>
      <c r="AL3809" s="1">
        <v>44816.560150462959</v>
      </c>
      <c r="AM3809" t="s">
        <v>44</v>
      </c>
    </row>
    <row r="3810" spans="1:39" x14ac:dyDescent="0.2">
      <c r="A3810" t="s">
        <v>3614</v>
      </c>
      <c r="B3810" t="s">
        <v>40</v>
      </c>
      <c r="C3810" t="s">
        <v>3575</v>
      </c>
      <c r="D3810" t="s">
        <v>42</v>
      </c>
      <c r="E3810" t="s">
        <v>43</v>
      </c>
      <c r="F3810" t="s">
        <v>44</v>
      </c>
      <c r="G3810" t="s">
        <v>45</v>
      </c>
      <c r="AH3810" t="s">
        <v>42</v>
      </c>
      <c r="AI3810" t="str">
        <f>"66298919777684"</f>
        <v>66298919777684</v>
      </c>
      <c r="AJ3810" t="str">
        <f>"GA003"</f>
        <v>GA003</v>
      </c>
      <c r="AK3810" t="s">
        <v>46</v>
      </c>
      <c r="AL3810" s="1">
        <v>44816.560150462959</v>
      </c>
      <c r="AM3810" t="s">
        <v>44</v>
      </c>
    </row>
    <row r="3811" spans="1:39" x14ac:dyDescent="0.2">
      <c r="A3811" t="s">
        <v>3615</v>
      </c>
      <c r="B3811" t="s">
        <v>40</v>
      </c>
      <c r="C3811" t="s">
        <v>3575</v>
      </c>
      <c r="D3811" t="s">
        <v>42</v>
      </c>
      <c r="E3811" t="s">
        <v>43</v>
      </c>
      <c r="F3811" t="s">
        <v>44</v>
      </c>
      <c r="G3811" t="s">
        <v>45</v>
      </c>
      <c r="AH3811" t="s">
        <v>42</v>
      </c>
      <c r="AI3811" t="str">
        <f>"66298919819333"</f>
        <v>66298919819333</v>
      </c>
      <c r="AJ3811" t="str">
        <f>"1573"</f>
        <v>1573</v>
      </c>
      <c r="AK3811" t="s">
        <v>46</v>
      </c>
      <c r="AL3811" s="1">
        <v>44816.560162037036</v>
      </c>
      <c r="AM3811" t="s">
        <v>44</v>
      </c>
    </row>
    <row r="3812" spans="1:39" x14ac:dyDescent="0.2">
      <c r="A3812" t="s">
        <v>3615</v>
      </c>
      <c r="B3812" t="s">
        <v>40</v>
      </c>
      <c r="C3812" t="s">
        <v>3575</v>
      </c>
      <c r="D3812" t="s">
        <v>42</v>
      </c>
      <c r="E3812" t="s">
        <v>43</v>
      </c>
      <c r="F3812" t="s">
        <v>44</v>
      </c>
      <c r="G3812" t="s">
        <v>45</v>
      </c>
      <c r="AH3812" t="s">
        <v>42</v>
      </c>
      <c r="AI3812" t="str">
        <f>"66298919877975"</f>
        <v>66298919877975</v>
      </c>
      <c r="AJ3812" t="str">
        <f>"82639"</f>
        <v>82639</v>
      </c>
      <c r="AK3812" t="s">
        <v>46</v>
      </c>
      <c r="AL3812" s="1">
        <v>44816.560162037036</v>
      </c>
      <c r="AM3812" t="s">
        <v>44</v>
      </c>
    </row>
    <row r="3813" spans="1:39" x14ac:dyDescent="0.2">
      <c r="A3813" t="s">
        <v>3616</v>
      </c>
      <c r="B3813" t="s">
        <v>40</v>
      </c>
      <c r="C3813" t="s">
        <v>3575</v>
      </c>
      <c r="D3813" t="s">
        <v>42</v>
      </c>
      <c r="E3813" t="s">
        <v>43</v>
      </c>
      <c r="F3813" t="s">
        <v>44</v>
      </c>
      <c r="G3813" t="s">
        <v>45</v>
      </c>
      <c r="AH3813" t="s">
        <v>42</v>
      </c>
      <c r="AI3813" t="str">
        <f>"66298919917960"</f>
        <v>66298919917960</v>
      </c>
      <c r="AJ3813" t="str">
        <f>"400472"</f>
        <v>400472</v>
      </c>
      <c r="AK3813" t="s">
        <v>46</v>
      </c>
      <c r="AL3813" s="1">
        <v>44816.560173611113</v>
      </c>
      <c r="AM3813" t="s">
        <v>44</v>
      </c>
    </row>
    <row r="3814" spans="1:39" x14ac:dyDescent="0.2">
      <c r="A3814" t="s">
        <v>3617</v>
      </c>
      <c r="B3814" t="s">
        <v>40</v>
      </c>
      <c r="C3814" t="s">
        <v>3575</v>
      </c>
      <c r="D3814" t="s">
        <v>42</v>
      </c>
      <c r="E3814" t="s">
        <v>43</v>
      </c>
      <c r="F3814" t="s">
        <v>44</v>
      </c>
      <c r="G3814" t="s">
        <v>45</v>
      </c>
      <c r="AH3814" t="s">
        <v>42</v>
      </c>
      <c r="AI3814" t="str">
        <f>"66298919960157"</f>
        <v>66298919960157</v>
      </c>
      <c r="AJ3814" t="str">
        <f>"C066"</f>
        <v>C066</v>
      </c>
      <c r="AK3814" t="s">
        <v>46</v>
      </c>
      <c r="AL3814" s="1">
        <v>44816.560173611113</v>
      </c>
      <c r="AM3814" t="s">
        <v>44</v>
      </c>
    </row>
    <row r="3815" spans="1:39" x14ac:dyDescent="0.2">
      <c r="A3815" t="s">
        <v>3618</v>
      </c>
      <c r="B3815" t="s">
        <v>40</v>
      </c>
      <c r="C3815" t="s">
        <v>3575</v>
      </c>
      <c r="D3815" t="s">
        <v>42</v>
      </c>
      <c r="E3815" t="s">
        <v>43</v>
      </c>
      <c r="F3815" t="s">
        <v>44</v>
      </c>
      <c r="G3815" t="s">
        <v>45</v>
      </c>
      <c r="AH3815" t="s">
        <v>42</v>
      </c>
      <c r="AI3815" t="str">
        <f>"66298920005016"</f>
        <v>66298920005016</v>
      </c>
      <c r="AJ3815" t="str">
        <f>"13519"</f>
        <v>13519</v>
      </c>
      <c r="AK3815" t="s">
        <v>46</v>
      </c>
      <c r="AL3815" s="1">
        <v>44816.560185185182</v>
      </c>
      <c r="AM3815" t="s">
        <v>44</v>
      </c>
    </row>
    <row r="3816" spans="1:39" x14ac:dyDescent="0.2">
      <c r="A3816" t="s">
        <v>3619</v>
      </c>
      <c r="B3816" t="s">
        <v>40</v>
      </c>
      <c r="C3816" t="s">
        <v>3575</v>
      </c>
      <c r="D3816" t="s">
        <v>42</v>
      </c>
      <c r="E3816" t="s">
        <v>43</v>
      </c>
      <c r="F3816" t="s">
        <v>44</v>
      </c>
      <c r="G3816" t="s">
        <v>45</v>
      </c>
      <c r="AH3816" t="s">
        <v>42</v>
      </c>
      <c r="AI3816" t="str">
        <f>"66298920050410"</f>
        <v>66298920050410</v>
      </c>
      <c r="AJ3816" t="str">
        <f>"400474"</f>
        <v>400474</v>
      </c>
      <c r="AK3816" t="s">
        <v>46</v>
      </c>
      <c r="AL3816" s="1">
        <v>44816.560185185182</v>
      </c>
      <c r="AM3816" t="s">
        <v>44</v>
      </c>
    </row>
    <row r="3817" spans="1:39" x14ac:dyDescent="0.2">
      <c r="A3817" t="s">
        <v>3620</v>
      </c>
      <c r="B3817" t="s">
        <v>40</v>
      </c>
      <c r="C3817" t="s">
        <v>3575</v>
      </c>
      <c r="D3817" t="s">
        <v>42</v>
      </c>
      <c r="E3817" t="s">
        <v>43</v>
      </c>
      <c r="F3817" t="s">
        <v>44</v>
      </c>
      <c r="G3817" t="s">
        <v>45</v>
      </c>
      <c r="AH3817" t="s">
        <v>42</v>
      </c>
      <c r="AI3817" t="str">
        <f>"H2119"</f>
        <v>H2119</v>
      </c>
      <c r="AJ3817" t="str">
        <f>"H2119"</f>
        <v>H2119</v>
      </c>
      <c r="AK3817" t="s">
        <v>46</v>
      </c>
      <c r="AL3817" s="1">
        <v>45093.817557870374</v>
      </c>
      <c r="AM3817" t="s">
        <v>44</v>
      </c>
    </row>
    <row r="3818" spans="1:39" x14ac:dyDescent="0.2">
      <c r="A3818" t="s">
        <v>3620</v>
      </c>
      <c r="B3818" t="s">
        <v>40</v>
      </c>
      <c r="C3818" t="s">
        <v>3575</v>
      </c>
      <c r="D3818" t="s">
        <v>42</v>
      </c>
      <c r="E3818" t="s">
        <v>43</v>
      </c>
      <c r="F3818" t="s">
        <v>44</v>
      </c>
      <c r="G3818" t="s">
        <v>45</v>
      </c>
      <c r="AH3818" t="s">
        <v>42</v>
      </c>
      <c r="AI3818" t="str">
        <f>"GA005"</f>
        <v>GA005</v>
      </c>
      <c r="AJ3818" t="str">
        <f>"GA005"</f>
        <v>GA005</v>
      </c>
      <c r="AK3818" t="s">
        <v>46</v>
      </c>
      <c r="AL3818" s="1">
        <v>45093.817997685182</v>
      </c>
      <c r="AM3818" t="s">
        <v>44</v>
      </c>
    </row>
    <row r="3819" spans="1:39" x14ac:dyDescent="0.2">
      <c r="A3819" t="s">
        <v>3621</v>
      </c>
      <c r="B3819" t="s">
        <v>40</v>
      </c>
      <c r="C3819" t="s">
        <v>3575</v>
      </c>
      <c r="D3819" t="s">
        <v>42</v>
      </c>
      <c r="E3819" t="s">
        <v>43</v>
      </c>
      <c r="F3819" t="s">
        <v>44</v>
      </c>
      <c r="G3819" t="s">
        <v>45</v>
      </c>
      <c r="AH3819" t="s">
        <v>42</v>
      </c>
      <c r="AI3819" t="str">
        <f>"GA007"</f>
        <v>GA007</v>
      </c>
      <c r="AJ3819" t="str">
        <f>"GA007"</f>
        <v>GA007</v>
      </c>
      <c r="AK3819" t="s">
        <v>46</v>
      </c>
      <c r="AL3819" s="1">
        <v>45093.818680555552</v>
      </c>
      <c r="AM3819" t="s">
        <v>44</v>
      </c>
    </row>
    <row r="3820" spans="1:39" x14ac:dyDescent="0.2">
      <c r="A3820" t="s">
        <v>3622</v>
      </c>
      <c r="B3820" t="s">
        <v>40</v>
      </c>
      <c r="C3820" t="s">
        <v>3575</v>
      </c>
      <c r="D3820" t="s">
        <v>42</v>
      </c>
      <c r="E3820" t="s">
        <v>43</v>
      </c>
      <c r="F3820" t="s">
        <v>44</v>
      </c>
      <c r="G3820" t="s">
        <v>45</v>
      </c>
      <c r="AH3820" t="s">
        <v>42</v>
      </c>
      <c r="AI3820" t="str">
        <f>"66298920154455"</f>
        <v>66298920154455</v>
      </c>
      <c r="AJ3820" t="str">
        <f>"PP-CG125"</f>
        <v>PP-CG125</v>
      </c>
      <c r="AK3820" t="s">
        <v>46</v>
      </c>
      <c r="AL3820" s="1">
        <v>44816.560196759259</v>
      </c>
      <c r="AM3820" t="s">
        <v>44</v>
      </c>
    </row>
    <row r="3821" spans="1:39" x14ac:dyDescent="0.2">
      <c r="A3821" t="s">
        <v>3623</v>
      </c>
      <c r="B3821" t="s">
        <v>40</v>
      </c>
      <c r="C3821" t="s">
        <v>3575</v>
      </c>
      <c r="D3821" t="s">
        <v>42</v>
      </c>
      <c r="E3821" t="s">
        <v>43</v>
      </c>
      <c r="F3821" t="s">
        <v>44</v>
      </c>
      <c r="G3821" t="s">
        <v>45</v>
      </c>
      <c r="AH3821" t="s">
        <v>42</v>
      </c>
      <c r="AI3821" t="str">
        <f>"66298920114873"</f>
        <v>66298920114873</v>
      </c>
      <c r="AJ3821" t="str">
        <f>"81003"</f>
        <v>81003</v>
      </c>
      <c r="AK3821" t="s">
        <v>46</v>
      </c>
      <c r="AL3821" s="1">
        <v>44816.560196759259</v>
      </c>
      <c r="AM3821" t="s">
        <v>44</v>
      </c>
    </row>
    <row r="3822" spans="1:39" x14ac:dyDescent="0.2">
      <c r="A3822" t="s">
        <v>3624</v>
      </c>
      <c r="B3822" t="s">
        <v>40</v>
      </c>
      <c r="C3822" t="s">
        <v>3575</v>
      </c>
      <c r="D3822" t="s">
        <v>42</v>
      </c>
      <c r="E3822" t="s">
        <v>43</v>
      </c>
      <c r="F3822" t="s">
        <v>44</v>
      </c>
      <c r="G3822" t="s">
        <v>45</v>
      </c>
      <c r="AH3822" t="s">
        <v>42</v>
      </c>
      <c r="AI3822" t="str">
        <f>"GA002"</f>
        <v>GA002</v>
      </c>
      <c r="AJ3822" t="str">
        <f>"GA002"</f>
        <v>GA002</v>
      </c>
      <c r="AK3822" t="s">
        <v>46</v>
      </c>
      <c r="AL3822" s="1">
        <v>45093.816990740743</v>
      </c>
      <c r="AM3822" t="s">
        <v>44</v>
      </c>
    </row>
    <row r="3823" spans="1:39" x14ac:dyDescent="0.2">
      <c r="A3823" t="s">
        <v>3625</v>
      </c>
      <c r="B3823" t="s">
        <v>40</v>
      </c>
      <c r="C3823" t="s">
        <v>3575</v>
      </c>
      <c r="D3823" t="s">
        <v>42</v>
      </c>
      <c r="E3823" t="s">
        <v>43</v>
      </c>
      <c r="F3823" t="s">
        <v>44</v>
      </c>
      <c r="G3823" t="s">
        <v>45</v>
      </c>
      <c r="AH3823" t="s">
        <v>42</v>
      </c>
      <c r="AI3823" t="str">
        <f>"66298920194394"</f>
        <v>66298920194394</v>
      </c>
      <c r="AJ3823" t="str">
        <f>"82616"</f>
        <v>82616</v>
      </c>
      <c r="AK3823" t="s">
        <v>46</v>
      </c>
      <c r="AL3823" s="1">
        <v>44816.560196759259</v>
      </c>
      <c r="AM3823" t="s">
        <v>44</v>
      </c>
    </row>
    <row r="3824" spans="1:39" x14ac:dyDescent="0.2">
      <c r="A3824" t="s">
        <v>3626</v>
      </c>
      <c r="B3824" t="s">
        <v>40</v>
      </c>
      <c r="C3824" t="s">
        <v>3575</v>
      </c>
      <c r="D3824" t="s">
        <v>42</v>
      </c>
      <c r="E3824" t="s">
        <v>43</v>
      </c>
      <c r="F3824" t="s">
        <v>44</v>
      </c>
      <c r="G3824" t="s">
        <v>45</v>
      </c>
      <c r="AH3824" t="s">
        <v>42</v>
      </c>
      <c r="AI3824" t="str">
        <f>"66298920276463"</f>
        <v>66298920276463</v>
      </c>
      <c r="AJ3824" t="str">
        <f>"400471"</f>
        <v>400471</v>
      </c>
      <c r="AK3824" t="s">
        <v>46</v>
      </c>
      <c r="AL3824" s="1">
        <v>44816.560208333336</v>
      </c>
      <c r="AM3824" t="s">
        <v>44</v>
      </c>
    </row>
    <row r="3825" spans="1:39" x14ac:dyDescent="0.2">
      <c r="A3825" t="s">
        <v>3627</v>
      </c>
      <c r="B3825" t="s">
        <v>40</v>
      </c>
      <c r="C3825" t="s">
        <v>3575</v>
      </c>
      <c r="D3825" t="s">
        <v>42</v>
      </c>
      <c r="E3825" t="s">
        <v>43</v>
      </c>
      <c r="F3825" t="s">
        <v>44</v>
      </c>
      <c r="G3825" t="s">
        <v>45</v>
      </c>
      <c r="AH3825" t="s">
        <v>42</v>
      </c>
      <c r="AI3825" t="str">
        <f>"66298920234269"</f>
        <v>66298920234269</v>
      </c>
      <c r="AJ3825" t="str">
        <f>"81004"</f>
        <v>81004</v>
      </c>
      <c r="AK3825" t="s">
        <v>46</v>
      </c>
      <c r="AL3825" s="1">
        <v>44816.560208333336</v>
      </c>
      <c r="AM3825" t="s">
        <v>44</v>
      </c>
    </row>
    <row r="3826" spans="1:39" x14ac:dyDescent="0.2">
      <c r="A3826" t="s">
        <v>3628</v>
      </c>
      <c r="B3826" t="s">
        <v>40</v>
      </c>
      <c r="C3826" t="s">
        <v>3575</v>
      </c>
      <c r="D3826" t="s">
        <v>42</v>
      </c>
      <c r="E3826" t="s">
        <v>43</v>
      </c>
      <c r="F3826" t="s">
        <v>44</v>
      </c>
      <c r="G3826" t="s">
        <v>45</v>
      </c>
      <c r="AH3826" t="s">
        <v>42</v>
      </c>
      <c r="AI3826" t="str">
        <f>"G203"</f>
        <v>G203</v>
      </c>
      <c r="AJ3826" t="str">
        <f>"G203"</f>
        <v>G203</v>
      </c>
      <c r="AK3826" t="s">
        <v>46</v>
      </c>
      <c r="AL3826" s="1">
        <v>45093.829641203702</v>
      </c>
      <c r="AM3826" t="s">
        <v>44</v>
      </c>
    </row>
    <row r="3827" spans="1:39" x14ac:dyDescent="0.2">
      <c r="A3827" t="s">
        <v>3629</v>
      </c>
      <c r="B3827" t="s">
        <v>40</v>
      </c>
      <c r="C3827" t="s">
        <v>3630</v>
      </c>
      <c r="D3827" t="s">
        <v>42</v>
      </c>
      <c r="E3827" t="s">
        <v>43</v>
      </c>
      <c r="F3827" t="s">
        <v>44</v>
      </c>
      <c r="G3827" t="s">
        <v>45</v>
      </c>
      <c r="AH3827" t="s">
        <v>42</v>
      </c>
      <c r="AI3827" t="str">
        <f>"GAA001-FZ-IZQ"</f>
        <v>GAA001-FZ-IZQ</v>
      </c>
      <c r="AJ3827" t="str">
        <f>"GAA001-FZ-IZQ"</f>
        <v>GAA001-FZ-IZQ</v>
      </c>
      <c r="AK3827" t="s">
        <v>46</v>
      </c>
      <c r="AL3827" s="1">
        <v>44897.650625000002</v>
      </c>
      <c r="AM3827" t="s">
        <v>44</v>
      </c>
    </row>
    <row r="3828" spans="1:39" x14ac:dyDescent="0.2">
      <c r="A3828" t="s">
        <v>3631</v>
      </c>
      <c r="B3828" t="s">
        <v>40</v>
      </c>
      <c r="C3828" t="s">
        <v>3630</v>
      </c>
      <c r="D3828" t="s">
        <v>42</v>
      </c>
      <c r="E3828" t="s">
        <v>43</v>
      </c>
      <c r="F3828" t="s">
        <v>44</v>
      </c>
      <c r="G3828" t="s">
        <v>45</v>
      </c>
      <c r="AH3828" t="s">
        <v>42</v>
      </c>
      <c r="AI3828" t="str">
        <f>"66298920318640"</f>
        <v>66298920318640</v>
      </c>
      <c r="AJ3828" t="str">
        <f>"43501H2C000H000"</f>
        <v>43501H2C000H000</v>
      </c>
      <c r="AK3828" t="s">
        <v>46</v>
      </c>
      <c r="AL3828" s="1">
        <v>44816.560219907406</v>
      </c>
      <c r="AM3828" t="s">
        <v>44</v>
      </c>
    </row>
    <row r="3829" spans="1:39" x14ac:dyDescent="0.2">
      <c r="A3829" t="s">
        <v>3632</v>
      </c>
      <c r="B3829" t="s">
        <v>40</v>
      </c>
      <c r="C3829" t="s">
        <v>3630</v>
      </c>
      <c r="D3829" t="s">
        <v>42</v>
      </c>
      <c r="E3829" t="s">
        <v>43</v>
      </c>
      <c r="F3829" t="s">
        <v>44</v>
      </c>
      <c r="G3829" t="s">
        <v>45</v>
      </c>
      <c r="AH3829" t="s">
        <v>42</v>
      </c>
      <c r="AI3829" t="str">
        <f>"20P-F7461-00"</f>
        <v>20P-F7461-00</v>
      </c>
      <c r="AJ3829" t="str">
        <f>"20P-F7461-00"</f>
        <v>20P-F7461-00</v>
      </c>
      <c r="AK3829" t="s">
        <v>46</v>
      </c>
      <c r="AL3829" s="1">
        <v>44887.880428240744</v>
      </c>
      <c r="AM3829" t="s">
        <v>44</v>
      </c>
    </row>
    <row r="3830" spans="1:39" x14ac:dyDescent="0.2">
      <c r="A3830" t="s">
        <v>3633</v>
      </c>
      <c r="B3830" t="s">
        <v>40</v>
      </c>
      <c r="C3830" t="s">
        <v>3630</v>
      </c>
      <c r="D3830" t="s">
        <v>42</v>
      </c>
      <c r="E3830" t="s">
        <v>43</v>
      </c>
      <c r="F3830" t="s">
        <v>44</v>
      </c>
      <c r="G3830" t="s">
        <v>45</v>
      </c>
      <c r="AH3830" t="s">
        <v>42</v>
      </c>
      <c r="AI3830" t="str">
        <f>"20P-F7451-00"</f>
        <v>20P-F7451-00</v>
      </c>
      <c r="AJ3830" t="str">
        <f>"20P-F7451-00"</f>
        <v>20P-F7451-00</v>
      </c>
      <c r="AK3830" t="s">
        <v>46</v>
      </c>
      <c r="AL3830" s="1">
        <v>44887.880682870367</v>
      </c>
      <c r="AM3830" t="s">
        <v>44</v>
      </c>
    </row>
    <row r="3831" spans="1:39" x14ac:dyDescent="0.2">
      <c r="A3831" t="s">
        <v>3634</v>
      </c>
      <c r="B3831" t="s">
        <v>40</v>
      </c>
      <c r="C3831" t="s">
        <v>3630</v>
      </c>
      <c r="D3831" t="s">
        <v>42</v>
      </c>
      <c r="E3831" t="s">
        <v>43</v>
      </c>
      <c r="F3831" t="s">
        <v>44</v>
      </c>
      <c r="G3831" t="s">
        <v>45</v>
      </c>
      <c r="AH3831" t="s">
        <v>42</v>
      </c>
      <c r="AI3831" t="str">
        <f>"66298920359834"</f>
        <v>66298920359834</v>
      </c>
      <c r="AJ3831" t="str">
        <f>"43700H2C000H000"</f>
        <v>43700H2C000H000</v>
      </c>
      <c r="AK3831" t="s">
        <v>46</v>
      </c>
      <c r="AL3831" s="1">
        <v>44816.560219907406</v>
      </c>
      <c r="AM3831" t="s">
        <v>44</v>
      </c>
    </row>
    <row r="3832" spans="1:39" x14ac:dyDescent="0.2">
      <c r="A3832" t="s">
        <v>3635</v>
      </c>
      <c r="B3832" t="s">
        <v>40</v>
      </c>
      <c r="C3832" t="s">
        <v>3630</v>
      </c>
      <c r="D3832" t="s">
        <v>42</v>
      </c>
      <c r="E3832" t="s">
        <v>43</v>
      </c>
      <c r="F3832" t="s">
        <v>44</v>
      </c>
      <c r="G3832" t="s">
        <v>45</v>
      </c>
      <c r="AH3832" t="s">
        <v>42</v>
      </c>
      <c r="AI3832" t="str">
        <f>"GAA049"</f>
        <v>GAA049</v>
      </c>
      <c r="AJ3832" t="str">
        <f>"GAA049"</f>
        <v>GAA049</v>
      </c>
      <c r="AK3832" t="s">
        <v>46</v>
      </c>
      <c r="AL3832" s="1">
        <v>44995.843414351853</v>
      </c>
      <c r="AM3832" t="s">
        <v>44</v>
      </c>
    </row>
    <row r="3833" spans="1:39" x14ac:dyDescent="0.2">
      <c r="A3833" t="s">
        <v>3636</v>
      </c>
      <c r="B3833" t="s">
        <v>40</v>
      </c>
      <c r="C3833" t="s">
        <v>3630</v>
      </c>
      <c r="D3833" t="s">
        <v>42</v>
      </c>
      <c r="E3833" t="s">
        <v>43</v>
      </c>
      <c r="F3833" t="s">
        <v>44</v>
      </c>
      <c r="G3833" t="s">
        <v>45</v>
      </c>
      <c r="AH3833" t="s">
        <v>42</v>
      </c>
      <c r="AI3833" t="str">
        <f>"66298920401352"</f>
        <v>66298920401352</v>
      </c>
      <c r="AJ3833" t="str">
        <f>"GAA009"</f>
        <v>GAA009</v>
      </c>
      <c r="AK3833" t="s">
        <v>46</v>
      </c>
      <c r="AL3833" s="1">
        <v>44816.560231481482</v>
      </c>
      <c r="AM3833" t="s">
        <v>44</v>
      </c>
    </row>
    <row r="3834" spans="1:39" x14ac:dyDescent="0.2">
      <c r="A3834" t="s">
        <v>3637</v>
      </c>
      <c r="B3834" t="s">
        <v>40</v>
      </c>
      <c r="C3834" t="s">
        <v>3630</v>
      </c>
      <c r="D3834" t="s">
        <v>42</v>
      </c>
      <c r="E3834" t="s">
        <v>43</v>
      </c>
      <c r="F3834" t="s">
        <v>44</v>
      </c>
      <c r="G3834" t="s">
        <v>45</v>
      </c>
      <c r="AH3834" t="s">
        <v>42</v>
      </c>
      <c r="AI3834" t="str">
        <f>"66298920444917"</f>
        <v>66298920444917</v>
      </c>
      <c r="AJ3834" t="str">
        <f>"GAA014"</f>
        <v>GAA014</v>
      </c>
      <c r="AK3834" t="s">
        <v>46</v>
      </c>
      <c r="AL3834" s="1">
        <v>44816.560231481482</v>
      </c>
      <c r="AM3834" t="s">
        <v>44</v>
      </c>
    </row>
    <row r="3835" spans="1:39" x14ac:dyDescent="0.2">
      <c r="A3835" t="s">
        <v>3638</v>
      </c>
      <c r="B3835" t="s">
        <v>40</v>
      </c>
      <c r="C3835" t="s">
        <v>3630</v>
      </c>
      <c r="D3835" t="s">
        <v>42</v>
      </c>
      <c r="E3835" t="s">
        <v>43</v>
      </c>
      <c r="F3835" t="s">
        <v>44</v>
      </c>
      <c r="G3835" t="s">
        <v>45</v>
      </c>
      <c r="AH3835" t="s">
        <v>42</v>
      </c>
      <c r="AI3835" t="str">
        <f>"66298920486875"</f>
        <v>66298920486875</v>
      </c>
      <c r="AJ3835" t="str">
        <f>"GAA006"</f>
        <v>GAA006</v>
      </c>
      <c r="AK3835" t="s">
        <v>46</v>
      </c>
      <c r="AL3835" s="1">
        <v>44816.560231481482</v>
      </c>
      <c r="AM3835" t="s">
        <v>44</v>
      </c>
    </row>
    <row r="3836" spans="1:39" x14ac:dyDescent="0.2">
      <c r="A3836" t="s">
        <v>3639</v>
      </c>
      <c r="B3836" t="s">
        <v>40</v>
      </c>
      <c r="C3836" t="s">
        <v>3630</v>
      </c>
      <c r="D3836" t="s">
        <v>42</v>
      </c>
      <c r="E3836" t="s">
        <v>43</v>
      </c>
      <c r="F3836" t="s">
        <v>44</v>
      </c>
      <c r="G3836" t="s">
        <v>45</v>
      </c>
      <c r="AH3836" t="s">
        <v>42</v>
      </c>
      <c r="AI3836" t="str">
        <f>"GAA001-FZ"</f>
        <v>GAA001-FZ</v>
      </c>
      <c r="AJ3836" t="str">
        <f>"GAA001-FZ"</f>
        <v>GAA001-FZ</v>
      </c>
      <c r="AK3836" t="s">
        <v>46</v>
      </c>
      <c r="AL3836" s="1">
        <v>44816.557395833333</v>
      </c>
      <c r="AM3836" t="s">
        <v>44</v>
      </c>
    </row>
    <row r="3837" spans="1:39" x14ac:dyDescent="0.2">
      <c r="A3837" t="s">
        <v>3639</v>
      </c>
      <c r="B3837" t="s">
        <v>40</v>
      </c>
      <c r="C3837" t="s">
        <v>3630</v>
      </c>
      <c r="D3837" t="s">
        <v>42</v>
      </c>
      <c r="E3837" t="s">
        <v>43</v>
      </c>
      <c r="F3837" t="s">
        <v>44</v>
      </c>
      <c r="G3837" t="s">
        <v>45</v>
      </c>
      <c r="AH3837" t="s">
        <v>42</v>
      </c>
      <c r="AI3837" t="str">
        <f>"7817"</f>
        <v>7817</v>
      </c>
      <c r="AJ3837" t="str">
        <f>"7817"</f>
        <v>7817</v>
      </c>
      <c r="AK3837" t="s">
        <v>46</v>
      </c>
      <c r="AL3837" s="1">
        <v>45090.859247685185</v>
      </c>
      <c r="AM3837" t="s">
        <v>44</v>
      </c>
    </row>
    <row r="3838" spans="1:39" x14ac:dyDescent="0.2">
      <c r="A3838" t="s">
        <v>3640</v>
      </c>
      <c r="B3838" t="s">
        <v>40</v>
      </c>
      <c r="C3838" t="s">
        <v>3630</v>
      </c>
      <c r="D3838" t="s">
        <v>42</v>
      </c>
      <c r="E3838" t="s">
        <v>43</v>
      </c>
      <c r="F3838" t="s">
        <v>44</v>
      </c>
      <c r="G3838" t="s">
        <v>45</v>
      </c>
      <c r="AH3838" t="s">
        <v>42</v>
      </c>
      <c r="AI3838" t="str">
        <f>"125773"</f>
        <v>125773</v>
      </c>
      <c r="AJ3838" t="str">
        <f>"125773"</f>
        <v>125773</v>
      </c>
      <c r="AK3838" t="s">
        <v>46</v>
      </c>
      <c r="AL3838" s="1">
        <v>45134.713125000002</v>
      </c>
      <c r="AM3838" t="s">
        <v>44</v>
      </c>
    </row>
    <row r="3839" spans="1:39" x14ac:dyDescent="0.2">
      <c r="A3839" t="s">
        <v>3641</v>
      </c>
      <c r="B3839" t="s">
        <v>40</v>
      </c>
      <c r="C3839" t="s">
        <v>3630</v>
      </c>
      <c r="D3839" t="s">
        <v>42</v>
      </c>
      <c r="E3839" t="s">
        <v>43</v>
      </c>
      <c r="F3839" t="s">
        <v>44</v>
      </c>
      <c r="G3839" t="s">
        <v>45</v>
      </c>
      <c r="AH3839" t="s">
        <v>42</v>
      </c>
      <c r="AI3839" t="str">
        <f>"GAA048"</f>
        <v>GAA048</v>
      </c>
      <c r="AJ3839" t="str">
        <f>"GAA048"</f>
        <v>GAA048</v>
      </c>
      <c r="AK3839" t="s">
        <v>46</v>
      </c>
      <c r="AL3839" s="1">
        <v>45093.97519675926</v>
      </c>
      <c r="AM3839" t="s">
        <v>44</v>
      </c>
    </row>
    <row r="3840" spans="1:39" x14ac:dyDescent="0.2">
      <c r="A3840" t="s">
        <v>3642</v>
      </c>
      <c r="B3840" t="s">
        <v>40</v>
      </c>
      <c r="C3840" t="s">
        <v>3630</v>
      </c>
      <c r="D3840" t="s">
        <v>42</v>
      </c>
      <c r="E3840" t="s">
        <v>43</v>
      </c>
      <c r="F3840" t="s">
        <v>44</v>
      </c>
      <c r="G3840" t="s">
        <v>45</v>
      </c>
      <c r="AH3840" t="s">
        <v>42</v>
      </c>
      <c r="AI3840" t="str">
        <f>"66298920528922"</f>
        <v>66298920528922</v>
      </c>
      <c r="AJ3840" t="str">
        <f>"SS209"</f>
        <v>SS209</v>
      </c>
      <c r="AK3840" t="s">
        <v>46</v>
      </c>
      <c r="AL3840" s="1">
        <v>44816.560243055559</v>
      </c>
      <c r="AM3840" t="s">
        <v>44</v>
      </c>
    </row>
    <row r="3841" spans="1:39" x14ac:dyDescent="0.2">
      <c r="A3841" t="s">
        <v>3643</v>
      </c>
      <c r="B3841" t="s">
        <v>40</v>
      </c>
      <c r="C3841" t="s">
        <v>3575</v>
      </c>
      <c r="D3841" t="s">
        <v>42</v>
      </c>
      <c r="E3841" t="s">
        <v>43</v>
      </c>
      <c r="F3841" t="s">
        <v>44</v>
      </c>
      <c r="G3841" t="s">
        <v>45</v>
      </c>
      <c r="AH3841" t="s">
        <v>42</v>
      </c>
      <c r="AI3841" t="str">
        <f>"GAA004"</f>
        <v>GAA004</v>
      </c>
      <c r="AJ3841" t="str">
        <f>"GAA004"</f>
        <v>GAA004</v>
      </c>
      <c r="AK3841" t="s">
        <v>46</v>
      </c>
      <c r="AL3841" s="1">
        <v>45093.831469907411</v>
      </c>
      <c r="AM3841" t="s">
        <v>44</v>
      </c>
    </row>
    <row r="3842" spans="1:39" x14ac:dyDescent="0.2">
      <c r="A3842" t="s">
        <v>3644</v>
      </c>
      <c r="B3842" t="s">
        <v>40</v>
      </c>
      <c r="C3842" t="s">
        <v>3630</v>
      </c>
      <c r="D3842" t="s">
        <v>42</v>
      </c>
      <c r="E3842" t="s">
        <v>43</v>
      </c>
      <c r="F3842" t="s">
        <v>44</v>
      </c>
      <c r="G3842" t="s">
        <v>45</v>
      </c>
      <c r="AH3842" t="s">
        <v>42</v>
      </c>
      <c r="AI3842" t="str">
        <f>"66298920568294"</f>
        <v>66298920568294</v>
      </c>
      <c r="AJ3842" t="str">
        <f>"80500"</f>
        <v>80500</v>
      </c>
      <c r="AK3842" t="s">
        <v>46</v>
      </c>
      <c r="AL3842" s="1">
        <v>44816.560243055559</v>
      </c>
      <c r="AM3842" t="s">
        <v>44</v>
      </c>
    </row>
    <row r="3843" spans="1:39" x14ac:dyDescent="0.2">
      <c r="A3843" t="s">
        <v>3645</v>
      </c>
      <c r="B3843" t="s">
        <v>40</v>
      </c>
      <c r="C3843" t="s">
        <v>3630</v>
      </c>
      <c r="D3843" t="s">
        <v>42</v>
      </c>
      <c r="E3843" t="s">
        <v>43</v>
      </c>
      <c r="F3843" t="s">
        <v>44</v>
      </c>
      <c r="G3843" t="s">
        <v>45</v>
      </c>
      <c r="AH3843" t="s">
        <v>42</v>
      </c>
      <c r="AI3843" t="str">
        <f>"66298920607195"</f>
        <v>66298920607195</v>
      </c>
      <c r="AJ3843" t="str">
        <f>"GAA005"</f>
        <v>GAA005</v>
      </c>
      <c r="AK3843" t="s">
        <v>46</v>
      </c>
      <c r="AL3843" s="1">
        <v>44816.560254629629</v>
      </c>
      <c r="AM3843" t="s">
        <v>44</v>
      </c>
    </row>
    <row r="3844" spans="1:39" x14ac:dyDescent="0.2">
      <c r="A3844" t="s">
        <v>3646</v>
      </c>
      <c r="B3844" t="s">
        <v>40</v>
      </c>
      <c r="C3844" t="s">
        <v>3630</v>
      </c>
      <c r="D3844" t="s">
        <v>42</v>
      </c>
      <c r="E3844" t="s">
        <v>43</v>
      </c>
      <c r="F3844" t="s">
        <v>44</v>
      </c>
      <c r="G3844" t="s">
        <v>45</v>
      </c>
      <c r="AH3844" t="s">
        <v>42</v>
      </c>
      <c r="AI3844" t="str">
        <f>"GAA016"</f>
        <v>GAA016</v>
      </c>
      <c r="AJ3844" t="str">
        <f>"GAA016"</f>
        <v>GAA016</v>
      </c>
      <c r="AK3844" t="s">
        <v>46</v>
      </c>
      <c r="AL3844" s="1">
        <v>44846.633796296293</v>
      </c>
      <c r="AM3844" t="s">
        <v>44</v>
      </c>
    </row>
    <row r="3845" spans="1:39" x14ac:dyDescent="0.2">
      <c r="A3845" t="s">
        <v>3647</v>
      </c>
      <c r="B3845" t="s">
        <v>40</v>
      </c>
      <c r="C3845" t="s">
        <v>3630</v>
      </c>
      <c r="D3845" t="s">
        <v>42</v>
      </c>
      <c r="E3845" t="s">
        <v>43</v>
      </c>
      <c r="F3845" t="s">
        <v>44</v>
      </c>
      <c r="G3845" t="s">
        <v>45</v>
      </c>
      <c r="AH3845" t="s">
        <v>42</v>
      </c>
      <c r="AI3845" t="str">
        <f>"66298920648187"</f>
        <v>66298920648187</v>
      </c>
      <c r="AJ3845" t="str">
        <f>"80502"</f>
        <v>80502</v>
      </c>
      <c r="AK3845" t="s">
        <v>46</v>
      </c>
      <c r="AL3845" s="1">
        <v>44816.560254629629</v>
      </c>
      <c r="AM3845" t="s">
        <v>44</v>
      </c>
    </row>
    <row r="3846" spans="1:39" x14ac:dyDescent="0.2">
      <c r="A3846" t="s">
        <v>3648</v>
      </c>
      <c r="B3846" t="s">
        <v>40</v>
      </c>
      <c r="C3846" t="s">
        <v>3630</v>
      </c>
      <c r="D3846" t="s">
        <v>42</v>
      </c>
      <c r="E3846" t="s">
        <v>43</v>
      </c>
      <c r="F3846" t="s">
        <v>44</v>
      </c>
      <c r="G3846" t="s">
        <v>45</v>
      </c>
      <c r="AH3846" t="s">
        <v>42</v>
      </c>
      <c r="AI3846" t="str">
        <f>"66298920692400"</f>
        <v>66298920692400</v>
      </c>
      <c r="AJ3846" t="str">
        <f>"GAA003"</f>
        <v>GAA003</v>
      </c>
      <c r="AK3846" t="s">
        <v>46</v>
      </c>
      <c r="AL3846" s="1">
        <v>44816.560254629629</v>
      </c>
      <c r="AM3846" t="s">
        <v>44</v>
      </c>
    </row>
    <row r="3847" spans="1:39" x14ac:dyDescent="0.2">
      <c r="A3847" t="s">
        <v>3649</v>
      </c>
      <c r="B3847" t="s">
        <v>40</v>
      </c>
      <c r="C3847" t="s">
        <v>3630</v>
      </c>
      <c r="D3847" t="s">
        <v>42</v>
      </c>
      <c r="E3847" t="s">
        <v>43</v>
      </c>
      <c r="F3847" t="s">
        <v>44</v>
      </c>
      <c r="G3847" t="s">
        <v>45</v>
      </c>
      <c r="AH3847" t="s">
        <v>42</v>
      </c>
      <c r="AI3847" t="str">
        <f>"66298920732298"</f>
        <v>66298920732298</v>
      </c>
      <c r="AJ3847" t="str">
        <f>"H060"</f>
        <v>H060</v>
      </c>
      <c r="AK3847" t="s">
        <v>46</v>
      </c>
      <c r="AL3847" s="1">
        <v>44816.560266203705</v>
      </c>
      <c r="AM3847" t="s">
        <v>44</v>
      </c>
    </row>
    <row r="3848" spans="1:39" x14ac:dyDescent="0.2">
      <c r="A3848" t="s">
        <v>3650</v>
      </c>
      <c r="B3848" t="s">
        <v>40</v>
      </c>
      <c r="C3848" t="s">
        <v>3630</v>
      </c>
      <c r="D3848" t="s">
        <v>42</v>
      </c>
      <c r="E3848" t="s">
        <v>43</v>
      </c>
      <c r="F3848" t="s">
        <v>44</v>
      </c>
      <c r="G3848" t="s">
        <v>45</v>
      </c>
      <c r="AH3848" t="s">
        <v>42</v>
      </c>
      <c r="AI3848" t="str">
        <f>"66298920771691"</f>
        <v>66298920771691</v>
      </c>
      <c r="AJ3848" t="str">
        <f>"GAA046"</f>
        <v>GAA046</v>
      </c>
      <c r="AK3848" t="s">
        <v>46</v>
      </c>
      <c r="AL3848" s="1">
        <v>44816.560266203705</v>
      </c>
      <c r="AM3848" t="s">
        <v>44</v>
      </c>
    </row>
    <row r="3849" spans="1:39" x14ac:dyDescent="0.2">
      <c r="A3849" t="s">
        <v>3651</v>
      </c>
      <c r="B3849" t="s">
        <v>40</v>
      </c>
      <c r="C3849" t="s">
        <v>3630</v>
      </c>
      <c r="D3849" t="s">
        <v>42</v>
      </c>
      <c r="E3849" t="s">
        <v>43</v>
      </c>
      <c r="F3849" t="s">
        <v>44</v>
      </c>
      <c r="G3849" t="s">
        <v>45</v>
      </c>
      <c r="AH3849" t="s">
        <v>42</v>
      </c>
      <c r="AI3849" t="str">
        <f>"66298920814102"</f>
        <v>66298920814102</v>
      </c>
      <c r="AJ3849" t="str">
        <f>"GAA047"</f>
        <v>GAA047</v>
      </c>
      <c r="AK3849" t="s">
        <v>46</v>
      </c>
      <c r="AL3849" s="1">
        <v>44816.560277777775</v>
      </c>
      <c r="AM3849" t="s">
        <v>44</v>
      </c>
    </row>
    <row r="3850" spans="1:39" x14ac:dyDescent="0.2">
      <c r="A3850" t="s">
        <v>3652</v>
      </c>
      <c r="B3850" t="s">
        <v>40</v>
      </c>
      <c r="C3850" t="s">
        <v>3630</v>
      </c>
      <c r="D3850" t="s">
        <v>42</v>
      </c>
      <c r="E3850" t="s">
        <v>43</v>
      </c>
      <c r="F3850" t="s">
        <v>44</v>
      </c>
      <c r="G3850" t="s">
        <v>45</v>
      </c>
      <c r="AH3850" t="s">
        <v>42</v>
      </c>
      <c r="AI3850" t="str">
        <f>"66298920856574"</f>
        <v>66298920856574</v>
      </c>
      <c r="AJ3850" t="str">
        <f>"80501"</f>
        <v>80501</v>
      </c>
      <c r="AK3850" t="s">
        <v>46</v>
      </c>
      <c r="AL3850" s="1">
        <v>44816.560277777775</v>
      </c>
      <c r="AM3850" t="s">
        <v>44</v>
      </c>
    </row>
    <row r="3851" spans="1:39" x14ac:dyDescent="0.2">
      <c r="A3851" t="s">
        <v>3653</v>
      </c>
      <c r="B3851" t="s">
        <v>40</v>
      </c>
      <c r="C3851" t="s">
        <v>3630</v>
      </c>
      <c r="D3851" t="s">
        <v>42</v>
      </c>
      <c r="E3851" t="s">
        <v>43</v>
      </c>
      <c r="F3851" t="s">
        <v>44</v>
      </c>
      <c r="G3851" t="s">
        <v>45</v>
      </c>
      <c r="AH3851" t="s">
        <v>42</v>
      </c>
      <c r="AI3851" t="str">
        <f>"GAA044"</f>
        <v>GAA044</v>
      </c>
      <c r="AJ3851" t="str">
        <f>"GAA044"</f>
        <v>GAA044</v>
      </c>
      <c r="AK3851" t="s">
        <v>46</v>
      </c>
      <c r="AL3851" s="1">
        <v>45093.832546296297</v>
      </c>
      <c r="AM3851" t="s">
        <v>44</v>
      </c>
    </row>
    <row r="3852" spans="1:39" x14ac:dyDescent="0.2">
      <c r="A3852" t="s">
        <v>3654</v>
      </c>
      <c r="B3852" t="s">
        <v>40</v>
      </c>
      <c r="C3852" t="s">
        <v>3655</v>
      </c>
      <c r="D3852" t="s">
        <v>42</v>
      </c>
      <c r="E3852" t="s">
        <v>43</v>
      </c>
      <c r="F3852" t="s">
        <v>44</v>
      </c>
      <c r="G3852" t="s">
        <v>45</v>
      </c>
      <c r="AH3852" t="s">
        <v>42</v>
      </c>
      <c r="AI3852" t="str">
        <f>"66298920891562"</f>
        <v>66298920891562</v>
      </c>
      <c r="AJ3852" t="str">
        <f>"90109-08056"</f>
        <v>90109-08056</v>
      </c>
      <c r="AK3852" t="s">
        <v>46</v>
      </c>
      <c r="AL3852" s="1">
        <v>44816.560277777775</v>
      </c>
      <c r="AM3852" t="s">
        <v>44</v>
      </c>
    </row>
    <row r="3853" spans="1:39" x14ac:dyDescent="0.2">
      <c r="A3853" t="s">
        <v>3656</v>
      </c>
      <c r="B3853" t="s">
        <v>40</v>
      </c>
      <c r="C3853" t="s">
        <v>3655</v>
      </c>
      <c r="D3853" t="s">
        <v>42</v>
      </c>
      <c r="E3853" t="s">
        <v>43</v>
      </c>
      <c r="F3853" t="s">
        <v>44</v>
      </c>
      <c r="G3853" t="s">
        <v>45</v>
      </c>
      <c r="AH3853" t="s">
        <v>42</v>
      </c>
      <c r="AI3853" t="str">
        <f>"66298920933832"</f>
        <v>66298920933832</v>
      </c>
      <c r="AJ3853" t="str">
        <f>"ZZZ059"</f>
        <v>ZZZ059</v>
      </c>
      <c r="AK3853" t="s">
        <v>46</v>
      </c>
      <c r="AL3853" s="1">
        <v>44816.560289351852</v>
      </c>
      <c r="AM3853" t="s">
        <v>44</v>
      </c>
    </row>
    <row r="3854" spans="1:39" x14ac:dyDescent="0.2">
      <c r="A3854" t="s">
        <v>3657</v>
      </c>
      <c r="B3854" t="s">
        <v>40</v>
      </c>
      <c r="C3854" t="s">
        <v>3655</v>
      </c>
      <c r="D3854" t="s">
        <v>42</v>
      </c>
      <c r="E3854" t="s">
        <v>43</v>
      </c>
      <c r="F3854" t="s">
        <v>44</v>
      </c>
      <c r="G3854" t="s">
        <v>45</v>
      </c>
      <c r="AH3854" t="s">
        <v>42</v>
      </c>
      <c r="AI3854" t="str">
        <f>"66298920977190"</f>
        <v>66298920977190</v>
      </c>
      <c r="AJ3854" t="str">
        <f>"ZZZ056"</f>
        <v>ZZZ056</v>
      </c>
      <c r="AK3854" t="s">
        <v>46</v>
      </c>
      <c r="AL3854" s="1">
        <v>44816.560289351852</v>
      </c>
      <c r="AM3854" t="s">
        <v>44</v>
      </c>
    </row>
    <row r="3855" spans="1:39" x14ac:dyDescent="0.2">
      <c r="A3855" t="s">
        <v>3658</v>
      </c>
      <c r="B3855" t="s">
        <v>40</v>
      </c>
      <c r="C3855" t="s">
        <v>3655</v>
      </c>
      <c r="D3855" t="s">
        <v>42</v>
      </c>
      <c r="E3855" t="s">
        <v>43</v>
      </c>
      <c r="F3855" t="s">
        <v>44</v>
      </c>
      <c r="G3855" t="s">
        <v>45</v>
      </c>
      <c r="AH3855" t="s">
        <v>42</v>
      </c>
      <c r="AI3855" t="str">
        <f>"66298921024325"</f>
        <v>66298921024325</v>
      </c>
      <c r="AJ3855" t="str">
        <f>"ZZZ057"</f>
        <v>ZZZ057</v>
      </c>
      <c r="AK3855" t="s">
        <v>46</v>
      </c>
      <c r="AL3855" s="1">
        <v>44816.560300925928</v>
      </c>
      <c r="AM3855" t="s">
        <v>44</v>
      </c>
    </row>
    <row r="3856" spans="1:39" x14ac:dyDescent="0.2">
      <c r="A3856" t="s">
        <v>3659</v>
      </c>
      <c r="B3856" t="s">
        <v>40</v>
      </c>
      <c r="C3856" t="s">
        <v>3655</v>
      </c>
      <c r="D3856" t="s">
        <v>42</v>
      </c>
      <c r="E3856" t="s">
        <v>43</v>
      </c>
      <c r="F3856" t="s">
        <v>44</v>
      </c>
      <c r="G3856" t="s">
        <v>45</v>
      </c>
      <c r="AH3856" t="s">
        <v>42</v>
      </c>
      <c r="AI3856" t="str">
        <f>"66298921063028"</f>
        <v>66298921063028</v>
      </c>
      <c r="AJ3856" t="str">
        <f>"ZZZ058"</f>
        <v>ZZZ058</v>
      </c>
      <c r="AK3856" t="s">
        <v>46</v>
      </c>
      <c r="AL3856" s="1">
        <v>44816.560300925928</v>
      </c>
      <c r="AM3856" t="s">
        <v>44</v>
      </c>
    </row>
    <row r="3857" spans="1:39" x14ac:dyDescent="0.2">
      <c r="A3857" t="s">
        <v>3660</v>
      </c>
      <c r="B3857" t="s">
        <v>40</v>
      </c>
      <c r="C3857" t="s">
        <v>3655</v>
      </c>
      <c r="D3857" t="s">
        <v>42</v>
      </c>
      <c r="E3857" t="s">
        <v>43</v>
      </c>
      <c r="F3857" t="s">
        <v>44</v>
      </c>
      <c r="G3857" t="s">
        <v>45</v>
      </c>
      <c r="AH3857" t="s">
        <v>42</v>
      </c>
      <c r="AI3857" t="str">
        <f>"66298921100802"</f>
        <v>66298921100802</v>
      </c>
      <c r="AJ3857" t="str">
        <f>"ZZZ064"</f>
        <v>ZZZ064</v>
      </c>
      <c r="AK3857" t="s">
        <v>46</v>
      </c>
      <c r="AL3857" s="1">
        <v>44816.560312499998</v>
      </c>
      <c r="AM3857" t="s">
        <v>44</v>
      </c>
    </row>
    <row r="3858" spans="1:39" x14ac:dyDescent="0.2">
      <c r="A3858" t="s">
        <v>3661</v>
      </c>
      <c r="B3858" t="s">
        <v>40</v>
      </c>
      <c r="C3858" t="s">
        <v>3655</v>
      </c>
      <c r="D3858" t="s">
        <v>42</v>
      </c>
      <c r="E3858" t="s">
        <v>43</v>
      </c>
      <c r="F3858" t="s">
        <v>44</v>
      </c>
      <c r="G3858" t="s">
        <v>45</v>
      </c>
      <c r="AH3858" t="s">
        <v>42</v>
      </c>
      <c r="AI3858" t="str">
        <f>"66298921142541"</f>
        <v>66298921142541</v>
      </c>
      <c r="AJ3858" t="str">
        <f>"ZZZ065"</f>
        <v>ZZZ065</v>
      </c>
      <c r="AK3858" t="s">
        <v>46</v>
      </c>
      <c r="AL3858" s="1">
        <v>44816.560312499998</v>
      </c>
      <c r="AM3858" t="s">
        <v>44</v>
      </c>
    </row>
    <row r="3859" spans="1:39" x14ac:dyDescent="0.2">
      <c r="A3859" t="s">
        <v>3662</v>
      </c>
      <c r="B3859" t="s">
        <v>40</v>
      </c>
      <c r="C3859" t="s">
        <v>3655</v>
      </c>
      <c r="D3859" t="s">
        <v>42</v>
      </c>
      <c r="E3859" t="s">
        <v>43</v>
      </c>
      <c r="F3859" t="s">
        <v>44</v>
      </c>
      <c r="G3859" t="s">
        <v>45</v>
      </c>
      <c r="AH3859" t="s">
        <v>42</v>
      </c>
      <c r="AI3859" t="str">
        <f>"66298921182214"</f>
        <v>66298921182214</v>
      </c>
      <c r="AJ3859" t="str">
        <f>"ZZZ067"</f>
        <v>ZZZ067</v>
      </c>
      <c r="AK3859" t="s">
        <v>46</v>
      </c>
      <c r="AL3859" s="1">
        <v>44816.560312499998</v>
      </c>
      <c r="AM3859" t="s">
        <v>44</v>
      </c>
    </row>
    <row r="3860" spans="1:39" x14ac:dyDescent="0.2">
      <c r="A3860" t="s">
        <v>3663</v>
      </c>
      <c r="B3860" t="s">
        <v>40</v>
      </c>
      <c r="C3860" t="s">
        <v>3655</v>
      </c>
      <c r="D3860" t="s">
        <v>42</v>
      </c>
      <c r="E3860" t="s">
        <v>43</v>
      </c>
      <c r="F3860" t="s">
        <v>44</v>
      </c>
      <c r="G3860" t="s">
        <v>45</v>
      </c>
      <c r="AH3860" t="s">
        <v>42</v>
      </c>
      <c r="AI3860" t="str">
        <f>"66298921222631"</f>
        <v>66298921222631</v>
      </c>
      <c r="AJ3860" t="str">
        <f>"QQ002"</f>
        <v>QQ002</v>
      </c>
      <c r="AK3860" t="s">
        <v>46</v>
      </c>
      <c r="AL3860" s="1">
        <v>44816.560324074075</v>
      </c>
      <c r="AM3860" t="s">
        <v>44</v>
      </c>
    </row>
    <row r="3861" spans="1:39" x14ac:dyDescent="0.2">
      <c r="A3861" t="s">
        <v>3664</v>
      </c>
      <c r="B3861" t="s">
        <v>40</v>
      </c>
      <c r="C3861" t="s">
        <v>3655</v>
      </c>
      <c r="D3861" t="s">
        <v>42</v>
      </c>
      <c r="E3861" t="s">
        <v>43</v>
      </c>
      <c r="F3861" t="s">
        <v>44</v>
      </c>
      <c r="G3861" t="s">
        <v>45</v>
      </c>
      <c r="AH3861" t="s">
        <v>42</v>
      </c>
      <c r="AI3861" t="str">
        <f>"66298921261652"</f>
        <v>66298921261652</v>
      </c>
      <c r="AJ3861" t="str">
        <f>"DM-P-00033"</f>
        <v>DM-P-00033</v>
      </c>
      <c r="AK3861" t="s">
        <v>46</v>
      </c>
      <c r="AL3861" s="1">
        <v>44816.560324074075</v>
      </c>
      <c r="AM3861" t="s">
        <v>44</v>
      </c>
    </row>
    <row r="3862" spans="1:39" x14ac:dyDescent="0.2">
      <c r="A3862" t="s">
        <v>3665</v>
      </c>
      <c r="B3862" t="s">
        <v>40</v>
      </c>
      <c r="C3862" t="s">
        <v>3655</v>
      </c>
      <c r="D3862" t="s">
        <v>42</v>
      </c>
      <c r="E3862" t="s">
        <v>43</v>
      </c>
      <c r="F3862" t="s">
        <v>44</v>
      </c>
      <c r="G3862" t="s">
        <v>45</v>
      </c>
      <c r="AH3862" t="s">
        <v>42</v>
      </c>
      <c r="AI3862" t="str">
        <f>"ZZA003"</f>
        <v>ZZA003</v>
      </c>
      <c r="AJ3862" t="str">
        <f>"ZZA003"</f>
        <v>ZZA003</v>
      </c>
      <c r="AK3862" t="s">
        <v>46</v>
      </c>
      <c r="AL3862" s="1">
        <v>45093.833611111113</v>
      </c>
      <c r="AM3862" t="s">
        <v>44</v>
      </c>
    </row>
    <row r="3863" spans="1:39" x14ac:dyDescent="0.2">
      <c r="A3863" t="s">
        <v>3666</v>
      </c>
      <c r="B3863" t="s">
        <v>40</v>
      </c>
      <c r="C3863" t="s">
        <v>3655</v>
      </c>
      <c r="D3863" t="s">
        <v>42</v>
      </c>
      <c r="E3863" t="s">
        <v>43</v>
      </c>
      <c r="F3863" t="s">
        <v>44</v>
      </c>
      <c r="G3863" t="s">
        <v>45</v>
      </c>
      <c r="AH3863" t="s">
        <v>42</v>
      </c>
      <c r="AI3863" t="str">
        <f>"66298921301831"</f>
        <v>66298921301831</v>
      </c>
      <c r="AJ3863" t="str">
        <f>"400303"</f>
        <v>400303</v>
      </c>
      <c r="AK3863" t="s">
        <v>46</v>
      </c>
      <c r="AL3863" s="1">
        <v>44816.560335648152</v>
      </c>
      <c r="AM3863" t="s">
        <v>44</v>
      </c>
    </row>
    <row r="3864" spans="1:39" x14ac:dyDescent="0.2">
      <c r="A3864" t="s">
        <v>3667</v>
      </c>
      <c r="B3864" t="s">
        <v>40</v>
      </c>
      <c r="C3864" t="s">
        <v>3655</v>
      </c>
      <c r="D3864" t="s">
        <v>42</v>
      </c>
      <c r="E3864" t="s">
        <v>43</v>
      </c>
      <c r="F3864" t="s">
        <v>44</v>
      </c>
      <c r="G3864" t="s">
        <v>45</v>
      </c>
      <c r="AH3864" t="s">
        <v>42</v>
      </c>
      <c r="AI3864" t="str">
        <f>"66298921341234"</f>
        <v>66298921341234</v>
      </c>
      <c r="AJ3864" t="str">
        <f>"82833"</f>
        <v>82833</v>
      </c>
      <c r="AK3864" t="s">
        <v>46</v>
      </c>
      <c r="AL3864" s="1">
        <v>44816.560335648152</v>
      </c>
      <c r="AM3864" t="s">
        <v>44</v>
      </c>
    </row>
    <row r="3865" spans="1:39" x14ac:dyDescent="0.2">
      <c r="A3865" t="s">
        <v>3668</v>
      </c>
      <c r="B3865" t="s">
        <v>40</v>
      </c>
      <c r="C3865" t="s">
        <v>3655</v>
      </c>
      <c r="D3865" t="s">
        <v>42</v>
      </c>
      <c r="E3865" t="s">
        <v>43</v>
      </c>
      <c r="F3865" t="s">
        <v>44</v>
      </c>
      <c r="G3865" t="s">
        <v>45</v>
      </c>
      <c r="AH3865" t="s">
        <v>42</v>
      </c>
      <c r="AI3865" t="str">
        <f>"66298921383011"</f>
        <v>66298921383011</v>
      </c>
      <c r="AJ3865" t="str">
        <f>"ZZA009"</f>
        <v>ZZA009</v>
      </c>
      <c r="AK3865" t="s">
        <v>46</v>
      </c>
      <c r="AL3865" s="1">
        <v>44816.560335648152</v>
      </c>
      <c r="AM3865" t="s">
        <v>44</v>
      </c>
    </row>
    <row r="3866" spans="1:39" x14ac:dyDescent="0.2">
      <c r="A3866" t="s">
        <v>3669</v>
      </c>
      <c r="B3866" t="s">
        <v>40</v>
      </c>
      <c r="C3866" t="s">
        <v>3655</v>
      </c>
      <c r="D3866" t="s">
        <v>42</v>
      </c>
      <c r="E3866" t="s">
        <v>43</v>
      </c>
      <c r="F3866" t="s">
        <v>44</v>
      </c>
      <c r="G3866" t="s">
        <v>45</v>
      </c>
      <c r="AH3866" t="s">
        <v>42</v>
      </c>
      <c r="AI3866" t="str">
        <f>"66298921421528"</f>
        <v>66298921421528</v>
      </c>
      <c r="AJ3866" t="str">
        <f>"400304"</f>
        <v>400304</v>
      </c>
      <c r="AK3866" t="s">
        <v>46</v>
      </c>
      <c r="AL3866" s="1">
        <v>44816.560347222221</v>
      </c>
      <c r="AM3866" t="s">
        <v>44</v>
      </c>
    </row>
    <row r="3867" spans="1:39" x14ac:dyDescent="0.2">
      <c r="A3867" t="s">
        <v>3670</v>
      </c>
      <c r="B3867" t="s">
        <v>40</v>
      </c>
      <c r="C3867" t="s">
        <v>3655</v>
      </c>
      <c r="D3867" t="s">
        <v>42</v>
      </c>
      <c r="E3867" t="s">
        <v>43</v>
      </c>
      <c r="F3867" t="s">
        <v>44</v>
      </c>
      <c r="G3867" t="s">
        <v>45</v>
      </c>
      <c r="AH3867" t="s">
        <v>42</v>
      </c>
      <c r="AI3867" t="str">
        <f>"66298921460962"</f>
        <v>66298921460962</v>
      </c>
      <c r="AJ3867" t="str">
        <f>"425004"</f>
        <v>425004</v>
      </c>
      <c r="AK3867" t="s">
        <v>46</v>
      </c>
      <c r="AL3867" s="1">
        <v>44816.560347222221</v>
      </c>
      <c r="AM3867" t="s">
        <v>44</v>
      </c>
    </row>
    <row r="3868" spans="1:39" x14ac:dyDescent="0.2">
      <c r="A3868" t="s">
        <v>3671</v>
      </c>
      <c r="B3868" t="s">
        <v>40</v>
      </c>
      <c r="C3868" t="s">
        <v>3655</v>
      </c>
      <c r="D3868" t="s">
        <v>42</v>
      </c>
      <c r="E3868" t="s">
        <v>43</v>
      </c>
      <c r="F3868" t="s">
        <v>44</v>
      </c>
      <c r="G3868" t="s">
        <v>45</v>
      </c>
      <c r="AH3868" t="s">
        <v>42</v>
      </c>
      <c r="AI3868" t="str">
        <f>"66298921508165"</f>
        <v>66298921508165</v>
      </c>
      <c r="AJ3868" t="str">
        <f>"ZZA002"</f>
        <v>ZZA002</v>
      </c>
      <c r="AK3868" t="s">
        <v>46</v>
      </c>
      <c r="AL3868" s="1">
        <v>44816.560358796298</v>
      </c>
      <c r="AM3868" t="s">
        <v>44</v>
      </c>
    </row>
    <row r="3869" spans="1:39" x14ac:dyDescent="0.2">
      <c r="A3869" t="s">
        <v>3672</v>
      </c>
      <c r="B3869" t="s">
        <v>40</v>
      </c>
      <c r="C3869" t="s">
        <v>129</v>
      </c>
      <c r="D3869" t="s">
        <v>42</v>
      </c>
      <c r="E3869" t="s">
        <v>43</v>
      </c>
      <c r="F3869" t="s">
        <v>44</v>
      </c>
      <c r="G3869" t="s">
        <v>45</v>
      </c>
      <c r="AH3869" t="s">
        <v>42</v>
      </c>
      <c r="AI3869" t="str">
        <f>"66298921548387"</f>
        <v>66298921548387</v>
      </c>
      <c r="AJ3869" t="str">
        <f>"GBH001"</f>
        <v>GBH001</v>
      </c>
      <c r="AK3869" t="s">
        <v>46</v>
      </c>
      <c r="AL3869" s="1">
        <v>44816.560358796298</v>
      </c>
      <c r="AM3869" t="s">
        <v>44</v>
      </c>
    </row>
    <row r="3870" spans="1:39" x14ac:dyDescent="0.2">
      <c r="A3870" t="s">
        <v>3673</v>
      </c>
      <c r="B3870" t="s">
        <v>40</v>
      </c>
      <c r="C3870" t="s">
        <v>129</v>
      </c>
      <c r="D3870" t="s">
        <v>42</v>
      </c>
      <c r="E3870" t="s">
        <v>43</v>
      </c>
      <c r="F3870" t="s">
        <v>44</v>
      </c>
      <c r="G3870" t="s">
        <v>45</v>
      </c>
      <c r="AH3870" t="s">
        <v>42</v>
      </c>
      <c r="AI3870" t="str">
        <f>"66298921593191"</f>
        <v>66298921593191</v>
      </c>
      <c r="AJ3870" t="str">
        <f>"10-5006"</f>
        <v>10-5006</v>
      </c>
      <c r="AK3870" t="s">
        <v>46</v>
      </c>
      <c r="AL3870" s="1">
        <v>44816.560358796298</v>
      </c>
      <c r="AM3870" t="s">
        <v>44</v>
      </c>
    </row>
    <row r="3871" spans="1:39" x14ac:dyDescent="0.2">
      <c r="A3871" t="s">
        <v>3674</v>
      </c>
      <c r="B3871" t="s">
        <v>40</v>
      </c>
      <c r="C3871" t="s">
        <v>3675</v>
      </c>
      <c r="D3871" t="s">
        <v>42</v>
      </c>
      <c r="E3871" t="s">
        <v>43</v>
      </c>
      <c r="F3871" t="s">
        <v>44</v>
      </c>
      <c r="G3871" t="s">
        <v>45</v>
      </c>
      <c r="AH3871" t="s">
        <v>42</v>
      </c>
      <c r="AI3871" t="str">
        <f>"10000025138"</f>
        <v>10000025138</v>
      </c>
      <c r="AJ3871" t="str">
        <f>"10000025138"</f>
        <v>10000025138</v>
      </c>
      <c r="AK3871" t="s">
        <v>46</v>
      </c>
      <c r="AL3871" s="1">
        <v>44940.673738425925</v>
      </c>
      <c r="AM3871" t="s">
        <v>44</v>
      </c>
    </row>
    <row r="3872" spans="1:39" x14ac:dyDescent="0.2">
      <c r="A3872" t="s">
        <v>3676</v>
      </c>
      <c r="B3872" t="s">
        <v>40</v>
      </c>
      <c r="C3872" t="s">
        <v>3675</v>
      </c>
      <c r="D3872" t="s">
        <v>42</v>
      </c>
      <c r="E3872" t="s">
        <v>43</v>
      </c>
      <c r="F3872" t="s">
        <v>44</v>
      </c>
      <c r="G3872" t="s">
        <v>45</v>
      </c>
      <c r="AH3872" t="s">
        <v>42</v>
      </c>
      <c r="AI3872" t="str">
        <f>"66298921715124"</f>
        <v>66298921715124</v>
      </c>
      <c r="AJ3872" t="str">
        <f>"XM-30418-000"</f>
        <v>XM-30418-000</v>
      </c>
      <c r="AK3872" t="s">
        <v>46</v>
      </c>
      <c r="AL3872" s="1">
        <v>44816.560381944444</v>
      </c>
      <c r="AM3872" t="s">
        <v>44</v>
      </c>
    </row>
    <row r="3873" spans="1:39" x14ac:dyDescent="0.2">
      <c r="A3873" t="s">
        <v>3677</v>
      </c>
      <c r="B3873" t="s">
        <v>40</v>
      </c>
      <c r="C3873" t="s">
        <v>3675</v>
      </c>
      <c r="D3873" t="s">
        <v>42</v>
      </c>
      <c r="E3873" t="s">
        <v>43</v>
      </c>
      <c r="F3873" t="s">
        <v>44</v>
      </c>
      <c r="G3873" t="s">
        <v>45</v>
      </c>
      <c r="AH3873" t="s">
        <v>42</v>
      </c>
      <c r="AI3873" t="str">
        <f>"66298921756386"</f>
        <v>66298921756386</v>
      </c>
      <c r="AJ3873" t="str">
        <f>"20021"</f>
        <v>20021</v>
      </c>
      <c r="AK3873" t="s">
        <v>46</v>
      </c>
      <c r="AL3873" s="1">
        <v>44816.560381944444</v>
      </c>
      <c r="AM3873" t="s">
        <v>44</v>
      </c>
    </row>
    <row r="3874" spans="1:39" x14ac:dyDescent="0.2">
      <c r="A3874" t="s">
        <v>3678</v>
      </c>
      <c r="B3874" t="s">
        <v>40</v>
      </c>
      <c r="C3874" t="s">
        <v>3675</v>
      </c>
      <c r="D3874" t="s">
        <v>42</v>
      </c>
      <c r="E3874" t="s">
        <v>43</v>
      </c>
      <c r="F3874" t="s">
        <v>44</v>
      </c>
      <c r="G3874" t="s">
        <v>45</v>
      </c>
      <c r="AH3874" t="s">
        <v>42</v>
      </c>
      <c r="AI3874" t="str">
        <f>"66298921793169"</f>
        <v>66298921793169</v>
      </c>
      <c r="AJ3874" t="str">
        <f>"23801-KSR-A00VA"</f>
        <v>23801-KSR-A00VA</v>
      </c>
      <c r="AK3874" t="s">
        <v>46</v>
      </c>
      <c r="AL3874" s="1">
        <v>44816.560381944444</v>
      </c>
      <c r="AM3874" t="s">
        <v>44</v>
      </c>
    </row>
    <row r="3875" spans="1:39" x14ac:dyDescent="0.2">
      <c r="A3875" t="s">
        <v>3679</v>
      </c>
      <c r="B3875" t="s">
        <v>40</v>
      </c>
      <c r="C3875" t="s">
        <v>3675</v>
      </c>
      <c r="D3875" t="s">
        <v>42</v>
      </c>
      <c r="E3875" t="s">
        <v>43</v>
      </c>
      <c r="F3875" t="s">
        <v>44</v>
      </c>
      <c r="G3875" t="s">
        <v>45</v>
      </c>
      <c r="AH3875" t="s">
        <v>42</v>
      </c>
      <c r="AI3875" t="str">
        <f>"66298921833502"</f>
        <v>66298921833502</v>
      </c>
      <c r="AJ3875" t="str">
        <f>"23801-KCE-670VA"</f>
        <v>23801-KCE-670VA</v>
      </c>
      <c r="AK3875" t="s">
        <v>3680</v>
      </c>
      <c r="AL3875" s="1">
        <v>44816.560393518521</v>
      </c>
      <c r="AM3875" t="s">
        <v>44</v>
      </c>
    </row>
    <row r="3876" spans="1:39" x14ac:dyDescent="0.2">
      <c r="A3876" t="s">
        <v>3681</v>
      </c>
      <c r="B3876" t="s">
        <v>40</v>
      </c>
      <c r="C3876" t="s">
        <v>3675</v>
      </c>
      <c r="D3876" t="s">
        <v>42</v>
      </c>
      <c r="E3876" t="s">
        <v>43</v>
      </c>
      <c r="F3876" t="s">
        <v>44</v>
      </c>
      <c r="G3876" t="s">
        <v>45</v>
      </c>
      <c r="AH3876" t="s">
        <v>42</v>
      </c>
      <c r="AI3876" t="str">
        <f>"66298921875308"</f>
        <v>66298921875308</v>
      </c>
      <c r="AJ3876" t="str">
        <f>"23800-KBK-900VA"</f>
        <v>23800-KBK-900VA</v>
      </c>
      <c r="AK3876" t="s">
        <v>46</v>
      </c>
      <c r="AL3876" s="1">
        <v>44816.560393518521</v>
      </c>
      <c r="AM3876" t="s">
        <v>44</v>
      </c>
    </row>
    <row r="3877" spans="1:39" x14ac:dyDescent="0.2">
      <c r="A3877" t="s">
        <v>3682</v>
      </c>
      <c r="B3877" t="s">
        <v>40</v>
      </c>
      <c r="C3877" t="s">
        <v>3675</v>
      </c>
      <c r="D3877" t="s">
        <v>42</v>
      </c>
      <c r="E3877" t="s">
        <v>43</v>
      </c>
      <c r="F3877" t="s">
        <v>44</v>
      </c>
      <c r="G3877" t="s">
        <v>45</v>
      </c>
      <c r="AH3877" t="s">
        <v>42</v>
      </c>
      <c r="AI3877" t="str">
        <f>"66298921915580"</f>
        <v>66298921915580</v>
      </c>
      <c r="AJ3877" t="str">
        <f>"4B4-17460-00JP"</f>
        <v>4B4-17460-00JP</v>
      </c>
      <c r="AK3877" t="s">
        <v>46</v>
      </c>
      <c r="AL3877" s="1">
        <v>44816.56040509259</v>
      </c>
      <c r="AM3877" t="s">
        <v>44</v>
      </c>
    </row>
    <row r="3878" spans="1:39" x14ac:dyDescent="0.2">
      <c r="A3878" t="s">
        <v>3683</v>
      </c>
      <c r="B3878" t="s">
        <v>40</v>
      </c>
      <c r="C3878" t="s">
        <v>3675</v>
      </c>
      <c r="D3878" t="s">
        <v>42</v>
      </c>
      <c r="E3878" t="s">
        <v>43</v>
      </c>
      <c r="F3878" t="s">
        <v>44</v>
      </c>
      <c r="G3878" t="s">
        <v>45</v>
      </c>
      <c r="AH3878" t="s">
        <v>42</v>
      </c>
      <c r="AI3878" t="str">
        <f>"10000026594"</f>
        <v>10000026594</v>
      </c>
      <c r="AJ3878" t="str">
        <f>"10000026594"</f>
        <v>10000026594</v>
      </c>
      <c r="AK3878" t="s">
        <v>46</v>
      </c>
      <c r="AL3878" s="1">
        <v>45008.876180555555</v>
      </c>
      <c r="AM3878" t="s">
        <v>44</v>
      </c>
    </row>
    <row r="3879" spans="1:39" x14ac:dyDescent="0.2">
      <c r="A3879" t="s">
        <v>3684</v>
      </c>
      <c r="B3879" t="s">
        <v>40</v>
      </c>
      <c r="C3879" t="s">
        <v>3675</v>
      </c>
      <c r="D3879" t="s">
        <v>42</v>
      </c>
      <c r="E3879" t="s">
        <v>43</v>
      </c>
      <c r="F3879" t="s">
        <v>44</v>
      </c>
      <c r="G3879" t="s">
        <v>45</v>
      </c>
      <c r="AH3879" t="s">
        <v>42</v>
      </c>
      <c r="AI3879" t="str">
        <f>"66298921995739"</f>
        <v>66298921995739</v>
      </c>
      <c r="AJ3879" t="str">
        <f>"N030"</f>
        <v>N030</v>
      </c>
      <c r="AK3879" t="s">
        <v>3680</v>
      </c>
      <c r="AL3879" s="1">
        <v>44816.56040509259</v>
      </c>
      <c r="AM3879" t="s">
        <v>44</v>
      </c>
    </row>
    <row r="3880" spans="1:39" x14ac:dyDescent="0.2">
      <c r="A3880" t="s">
        <v>3685</v>
      </c>
      <c r="B3880" t="s">
        <v>40</v>
      </c>
      <c r="C3880" t="s">
        <v>3675</v>
      </c>
      <c r="D3880" t="s">
        <v>42</v>
      </c>
      <c r="E3880" t="s">
        <v>43</v>
      </c>
      <c r="F3880" t="s">
        <v>44</v>
      </c>
      <c r="G3880" t="s">
        <v>45</v>
      </c>
      <c r="AH3880" t="s">
        <v>42</v>
      </c>
      <c r="AI3880" t="str">
        <f>"49CC70"</f>
        <v>49CC70</v>
      </c>
      <c r="AJ3880" t="str">
        <f>"49CC70"</f>
        <v>49CC70</v>
      </c>
      <c r="AK3880" t="s">
        <v>46</v>
      </c>
      <c r="AL3880" s="1">
        <v>44972.570856481485</v>
      </c>
      <c r="AM3880" t="s">
        <v>44</v>
      </c>
    </row>
    <row r="3881" spans="1:39" x14ac:dyDescent="0.2">
      <c r="A3881" t="s">
        <v>3685</v>
      </c>
      <c r="B3881" t="s">
        <v>40</v>
      </c>
      <c r="C3881" t="s">
        <v>3675</v>
      </c>
      <c r="D3881" t="s">
        <v>42</v>
      </c>
      <c r="E3881" t="s">
        <v>43</v>
      </c>
      <c r="F3881" t="s">
        <v>44</v>
      </c>
      <c r="G3881" t="s">
        <v>45</v>
      </c>
      <c r="AH3881" t="s">
        <v>43</v>
      </c>
      <c r="AI3881" t="str">
        <f>"PIÑON-BICIMOTO14"</f>
        <v>PIÑON-BICIMOTO14</v>
      </c>
      <c r="AJ3881" t="str">
        <f>"PIÑON-BICIMOTO14"</f>
        <v>PIÑON-BICIMOTO14</v>
      </c>
      <c r="AK3881" t="s">
        <v>46</v>
      </c>
      <c r="AL3881" s="1">
        <v>44999.674861111111</v>
      </c>
      <c r="AM3881" t="s">
        <v>44</v>
      </c>
    </row>
    <row r="3882" spans="1:39" x14ac:dyDescent="0.2">
      <c r="A3882" t="s">
        <v>3685</v>
      </c>
      <c r="B3882" t="s">
        <v>40</v>
      </c>
      <c r="C3882" t="s">
        <v>3675</v>
      </c>
      <c r="D3882" t="s">
        <v>42</v>
      </c>
      <c r="E3882" t="s">
        <v>43</v>
      </c>
      <c r="F3882" t="s">
        <v>44</v>
      </c>
      <c r="G3882" t="s">
        <v>45</v>
      </c>
      <c r="AH3882" t="s">
        <v>42</v>
      </c>
      <c r="AI3882" t="str">
        <f>"N031JP"</f>
        <v>N031JP</v>
      </c>
      <c r="AJ3882" t="str">
        <f>"N031JP"</f>
        <v>N031JP</v>
      </c>
      <c r="AK3882" t="s">
        <v>46</v>
      </c>
      <c r="AL3882" s="1">
        <v>45093.835659722223</v>
      </c>
      <c r="AM3882" t="s">
        <v>44</v>
      </c>
    </row>
    <row r="3883" spans="1:39" x14ac:dyDescent="0.2">
      <c r="A3883" t="s">
        <v>3686</v>
      </c>
      <c r="B3883" t="s">
        <v>40</v>
      </c>
      <c r="C3883" t="s">
        <v>3675</v>
      </c>
      <c r="D3883" t="s">
        <v>42</v>
      </c>
      <c r="E3883" t="s">
        <v>43</v>
      </c>
      <c r="F3883" t="s">
        <v>44</v>
      </c>
      <c r="G3883" t="s">
        <v>45</v>
      </c>
      <c r="AH3883" t="s">
        <v>42</v>
      </c>
      <c r="AI3883" t="str">
        <f>"10000025132"</f>
        <v>10000025132</v>
      </c>
      <c r="AJ3883" t="str">
        <f>"10000025132"</f>
        <v>10000025132</v>
      </c>
      <c r="AK3883" t="s">
        <v>46</v>
      </c>
      <c r="AL3883" s="1">
        <v>44888.803043981483</v>
      </c>
      <c r="AM3883" t="s">
        <v>44</v>
      </c>
    </row>
    <row r="3884" spans="1:39" x14ac:dyDescent="0.2">
      <c r="A3884" t="s">
        <v>3687</v>
      </c>
      <c r="B3884" t="s">
        <v>40</v>
      </c>
      <c r="C3884" t="s">
        <v>3675</v>
      </c>
      <c r="D3884" t="s">
        <v>42</v>
      </c>
      <c r="E3884" t="s">
        <v>43</v>
      </c>
      <c r="F3884" t="s">
        <v>44</v>
      </c>
      <c r="G3884" t="s">
        <v>45</v>
      </c>
      <c r="AH3884" t="s">
        <v>42</v>
      </c>
      <c r="AI3884" t="str">
        <f>"23801-KTC-900JP"</f>
        <v>23801-KTC-900JP</v>
      </c>
      <c r="AJ3884" t="str">
        <f>"23801-KTC-900JP"</f>
        <v>23801-KTC-900JP</v>
      </c>
      <c r="AK3884" t="s">
        <v>46</v>
      </c>
      <c r="AL3884" s="1">
        <v>44999.814513888887</v>
      </c>
      <c r="AM3884" t="s">
        <v>44</v>
      </c>
    </row>
    <row r="3885" spans="1:39" x14ac:dyDescent="0.2">
      <c r="A3885" t="s">
        <v>3688</v>
      </c>
      <c r="B3885" t="s">
        <v>40</v>
      </c>
      <c r="C3885" t="s">
        <v>3675</v>
      </c>
      <c r="D3885" t="s">
        <v>42</v>
      </c>
      <c r="E3885" t="s">
        <v>43</v>
      </c>
      <c r="F3885" t="s">
        <v>44</v>
      </c>
      <c r="G3885" t="s">
        <v>45</v>
      </c>
      <c r="AH3885" t="s">
        <v>42</v>
      </c>
      <c r="AI3885" t="str">
        <f>"66298922048140"</f>
        <v>66298922048140</v>
      </c>
      <c r="AJ3885" t="str">
        <f>"23801-KYJ-900HB"</f>
        <v>23801-KYJ-900HB</v>
      </c>
      <c r="AK3885" t="s">
        <v>46</v>
      </c>
      <c r="AL3885" s="1">
        <v>44816.560416666667</v>
      </c>
      <c r="AM3885" t="s">
        <v>44</v>
      </c>
    </row>
    <row r="3886" spans="1:39" x14ac:dyDescent="0.2">
      <c r="A3886" t="s">
        <v>3689</v>
      </c>
      <c r="B3886" t="s">
        <v>40</v>
      </c>
      <c r="C3886" t="s">
        <v>3675</v>
      </c>
      <c r="D3886" t="s">
        <v>42</v>
      </c>
      <c r="E3886" t="s">
        <v>43</v>
      </c>
      <c r="F3886" t="s">
        <v>44</v>
      </c>
      <c r="G3886" t="s">
        <v>45</v>
      </c>
      <c r="AH3886" t="s">
        <v>42</v>
      </c>
      <c r="AI3886" t="str">
        <f>"N011"</f>
        <v>N011</v>
      </c>
      <c r="AJ3886" t="str">
        <f>"N011"</f>
        <v>N011</v>
      </c>
      <c r="AK3886" t="s">
        <v>46</v>
      </c>
      <c r="AL3886" s="1">
        <v>44858.730740740742</v>
      </c>
      <c r="AM3886" t="s">
        <v>44</v>
      </c>
    </row>
    <row r="3887" spans="1:39" x14ac:dyDescent="0.2">
      <c r="A3887" t="s">
        <v>3689</v>
      </c>
      <c r="B3887" t="s">
        <v>40</v>
      </c>
      <c r="C3887" t="s">
        <v>3675</v>
      </c>
      <c r="D3887" t="s">
        <v>42</v>
      </c>
      <c r="E3887" t="s">
        <v>43</v>
      </c>
      <c r="F3887" t="s">
        <v>44</v>
      </c>
      <c r="G3887" t="s">
        <v>45</v>
      </c>
      <c r="AH3887" t="s">
        <v>42</v>
      </c>
      <c r="AI3887" t="str">
        <f>"10000025002"</f>
        <v>10000025002</v>
      </c>
      <c r="AJ3887" t="str">
        <f>"10000025002"</f>
        <v>10000025002</v>
      </c>
      <c r="AK3887" t="s">
        <v>46</v>
      </c>
      <c r="AL3887" s="1">
        <v>44952.571412037039</v>
      </c>
      <c r="AM3887" t="s">
        <v>44</v>
      </c>
    </row>
    <row r="3888" spans="1:39" x14ac:dyDescent="0.2">
      <c r="A3888" t="s">
        <v>3690</v>
      </c>
      <c r="B3888" t="s">
        <v>40</v>
      </c>
      <c r="C3888" t="s">
        <v>3675</v>
      </c>
      <c r="D3888" t="s">
        <v>42</v>
      </c>
      <c r="E3888" t="s">
        <v>43</v>
      </c>
      <c r="F3888" t="s">
        <v>44</v>
      </c>
      <c r="G3888" t="s">
        <v>45</v>
      </c>
      <c r="AH3888" t="s">
        <v>42</v>
      </c>
      <c r="AI3888" t="str">
        <f>"10000026571"</f>
        <v>10000026571</v>
      </c>
      <c r="AJ3888" t="str">
        <f>"10000026571"</f>
        <v>10000026571</v>
      </c>
      <c r="AK3888" t="s">
        <v>46</v>
      </c>
      <c r="AL3888" s="1">
        <v>44952.57539351852</v>
      </c>
      <c r="AM3888" t="s">
        <v>44</v>
      </c>
    </row>
    <row r="3889" spans="1:39" x14ac:dyDescent="0.2">
      <c r="A3889" t="s">
        <v>3691</v>
      </c>
      <c r="B3889" t="s">
        <v>40</v>
      </c>
      <c r="C3889" t="s">
        <v>3675</v>
      </c>
      <c r="D3889" t="s">
        <v>42</v>
      </c>
      <c r="E3889" t="s">
        <v>43</v>
      </c>
      <c r="F3889" t="s">
        <v>44</v>
      </c>
      <c r="G3889" t="s">
        <v>45</v>
      </c>
      <c r="AH3889" t="s">
        <v>42</v>
      </c>
      <c r="AI3889" t="str">
        <f>"66298922089860"</f>
        <v>66298922089860</v>
      </c>
      <c r="AJ3889" t="str">
        <f>"27511-41310JP"</f>
        <v>27511-41310JP</v>
      </c>
      <c r="AK3889" t="s">
        <v>46</v>
      </c>
      <c r="AL3889" s="1">
        <v>44816.560416666667</v>
      </c>
      <c r="AM3889" t="s">
        <v>44</v>
      </c>
    </row>
    <row r="3890" spans="1:39" x14ac:dyDescent="0.2">
      <c r="A3890" t="s">
        <v>3692</v>
      </c>
      <c r="B3890" t="s">
        <v>40</v>
      </c>
      <c r="C3890" t="s">
        <v>3675</v>
      </c>
      <c r="D3890" t="s">
        <v>42</v>
      </c>
      <c r="E3890" t="s">
        <v>43</v>
      </c>
      <c r="F3890" t="s">
        <v>44</v>
      </c>
      <c r="G3890" t="s">
        <v>45</v>
      </c>
      <c r="AH3890" t="s">
        <v>42</v>
      </c>
      <c r="AI3890" t="str">
        <f>"27511-30H01-000"</f>
        <v>27511-30H01-000</v>
      </c>
      <c r="AJ3890" t="str">
        <f>"27511-30H01-000"</f>
        <v>27511-30H01-000</v>
      </c>
      <c r="AK3890" t="s">
        <v>46</v>
      </c>
      <c r="AL3890" s="1">
        <v>45093.83871527778</v>
      </c>
      <c r="AM3890" t="s">
        <v>44</v>
      </c>
    </row>
    <row r="3891" spans="1:39" x14ac:dyDescent="0.2">
      <c r="A3891" t="s">
        <v>3693</v>
      </c>
      <c r="B3891" t="s">
        <v>40</v>
      </c>
      <c r="C3891" t="s">
        <v>3675</v>
      </c>
      <c r="D3891" t="s">
        <v>42</v>
      </c>
      <c r="E3891" t="s">
        <v>43</v>
      </c>
      <c r="F3891" t="s">
        <v>44</v>
      </c>
      <c r="G3891" t="s">
        <v>45</v>
      </c>
      <c r="AH3891" t="s">
        <v>42</v>
      </c>
      <c r="AI3891" t="str">
        <f>"66298922130555"</f>
        <v>66298922130555</v>
      </c>
      <c r="AJ3891" t="str">
        <f>"27510-32C00VA"</f>
        <v>27510-32C00VA</v>
      </c>
      <c r="AK3891" t="s">
        <v>46</v>
      </c>
      <c r="AL3891" s="1">
        <v>44816.560428240744</v>
      </c>
      <c r="AM3891" t="s">
        <v>44</v>
      </c>
    </row>
    <row r="3892" spans="1:39" x14ac:dyDescent="0.2">
      <c r="A3892" t="s">
        <v>3694</v>
      </c>
      <c r="B3892" t="s">
        <v>40</v>
      </c>
      <c r="C3892" t="s">
        <v>3675</v>
      </c>
      <c r="D3892" t="s">
        <v>42</v>
      </c>
      <c r="E3892" t="s">
        <v>43</v>
      </c>
      <c r="F3892" t="s">
        <v>44</v>
      </c>
      <c r="G3892" t="s">
        <v>45</v>
      </c>
      <c r="AH3892" t="s">
        <v>42</v>
      </c>
      <c r="AI3892" t="str">
        <f>"66298922186677"</f>
        <v>66298922186677</v>
      </c>
      <c r="AJ3892" t="str">
        <f>"ZL26"</f>
        <v>ZL26</v>
      </c>
      <c r="AK3892" t="s">
        <v>46</v>
      </c>
      <c r="AL3892" s="1">
        <v>44816.560428240744</v>
      </c>
      <c r="AM3892" t="s">
        <v>44</v>
      </c>
    </row>
    <row r="3893" spans="1:39" x14ac:dyDescent="0.2">
      <c r="A3893" t="s">
        <v>3695</v>
      </c>
      <c r="B3893" t="s">
        <v>40</v>
      </c>
      <c r="C3893" t="s">
        <v>3675</v>
      </c>
      <c r="D3893" t="s">
        <v>42</v>
      </c>
      <c r="E3893" t="s">
        <v>43</v>
      </c>
      <c r="F3893" t="s">
        <v>44</v>
      </c>
      <c r="G3893" t="s">
        <v>45</v>
      </c>
      <c r="AH3893" t="s">
        <v>42</v>
      </c>
      <c r="AI3893" t="str">
        <f>"66298922248709"</f>
        <v>66298922248709</v>
      </c>
      <c r="AJ3893" t="str">
        <f>"DV-1010-48JP"</f>
        <v>DV-1010-48JP</v>
      </c>
      <c r="AK3893" t="s">
        <v>46</v>
      </c>
      <c r="AL3893" s="1">
        <v>44816.560439814813</v>
      </c>
      <c r="AM3893" t="s">
        <v>44</v>
      </c>
    </row>
    <row r="3894" spans="1:39" x14ac:dyDescent="0.2">
      <c r="A3894" t="s">
        <v>3696</v>
      </c>
      <c r="B3894" t="s">
        <v>40</v>
      </c>
      <c r="C3894" t="s">
        <v>3675</v>
      </c>
      <c r="D3894" t="s">
        <v>42</v>
      </c>
      <c r="E3894" t="s">
        <v>43</v>
      </c>
      <c r="F3894" t="s">
        <v>44</v>
      </c>
      <c r="G3894" t="s">
        <v>45</v>
      </c>
      <c r="AH3894" t="s">
        <v>42</v>
      </c>
      <c r="AI3894" t="str">
        <f>"66298921955086"</f>
        <v>66298921955086</v>
      </c>
      <c r="AJ3894" t="str">
        <f>"13518"</f>
        <v>13518</v>
      </c>
      <c r="AK3894" t="s">
        <v>46</v>
      </c>
      <c r="AL3894" s="1">
        <v>44816.56040509259</v>
      </c>
      <c r="AM3894" t="s">
        <v>44</v>
      </c>
    </row>
    <row r="3895" spans="1:39" x14ac:dyDescent="0.2">
      <c r="A3895" t="s">
        <v>3697</v>
      </c>
      <c r="B3895" t="s">
        <v>40</v>
      </c>
      <c r="C3895" t="s">
        <v>3675</v>
      </c>
      <c r="D3895" t="s">
        <v>42</v>
      </c>
      <c r="E3895" t="s">
        <v>43</v>
      </c>
      <c r="F3895" t="s">
        <v>44</v>
      </c>
      <c r="G3895" t="s">
        <v>45</v>
      </c>
      <c r="AH3895" t="s">
        <v>42</v>
      </c>
      <c r="AI3895" t="str">
        <f>"66298922299727"</f>
        <v>66298922299727</v>
      </c>
      <c r="AJ3895" t="str">
        <f>"23801-429-010VA"</f>
        <v>23801-429-010VA</v>
      </c>
      <c r="AK3895" t="s">
        <v>46</v>
      </c>
      <c r="AL3895" s="1">
        <v>44816.560439814813</v>
      </c>
      <c r="AM3895" t="s">
        <v>44</v>
      </c>
    </row>
    <row r="3896" spans="1:39" x14ac:dyDescent="0.2">
      <c r="A3896" t="s">
        <v>3698</v>
      </c>
      <c r="B3896" t="s">
        <v>40</v>
      </c>
      <c r="C3896" t="s">
        <v>3675</v>
      </c>
      <c r="D3896" t="s">
        <v>42</v>
      </c>
      <c r="E3896" t="s">
        <v>43</v>
      </c>
      <c r="F3896" t="s">
        <v>44</v>
      </c>
      <c r="G3896" t="s">
        <v>45</v>
      </c>
      <c r="AH3896" t="s">
        <v>42</v>
      </c>
      <c r="AI3896" t="str">
        <f>"10000025037"</f>
        <v>10000025037</v>
      </c>
      <c r="AJ3896" t="str">
        <f>"10000025037"</f>
        <v>10000025037</v>
      </c>
      <c r="AK3896" t="s">
        <v>46</v>
      </c>
      <c r="AL3896" s="1">
        <v>45071.797800925924</v>
      </c>
      <c r="AM3896" t="s">
        <v>44</v>
      </c>
    </row>
    <row r="3897" spans="1:39" x14ac:dyDescent="0.2">
      <c r="A3897" t="s">
        <v>3699</v>
      </c>
      <c r="B3897" t="s">
        <v>40</v>
      </c>
      <c r="C3897" t="s">
        <v>3675</v>
      </c>
      <c r="D3897" t="s">
        <v>42</v>
      </c>
      <c r="E3897" t="s">
        <v>43</v>
      </c>
      <c r="F3897" t="s">
        <v>44</v>
      </c>
      <c r="G3897" t="s">
        <v>45</v>
      </c>
      <c r="AH3897" t="s">
        <v>42</v>
      </c>
      <c r="AI3897" t="str">
        <f>"66298922344655"</f>
        <v>66298922344655</v>
      </c>
      <c r="AJ3897" t="str">
        <f>"23801-MN1-680VA"</f>
        <v>23801-MN1-680VA</v>
      </c>
      <c r="AK3897" t="s">
        <v>46</v>
      </c>
      <c r="AL3897" s="1">
        <v>44816.56045138889</v>
      </c>
      <c r="AM3897" t="s">
        <v>44</v>
      </c>
    </row>
    <row r="3898" spans="1:39" x14ac:dyDescent="0.2">
      <c r="A3898" t="s">
        <v>3700</v>
      </c>
      <c r="B3898" t="s">
        <v>40</v>
      </c>
      <c r="C3898" t="s">
        <v>3675</v>
      </c>
      <c r="D3898" t="s">
        <v>42</v>
      </c>
      <c r="E3898" t="s">
        <v>43</v>
      </c>
      <c r="F3898" t="s">
        <v>44</v>
      </c>
      <c r="G3898" t="s">
        <v>45</v>
      </c>
      <c r="AH3898" t="s">
        <v>42</v>
      </c>
      <c r="AI3898" t="str">
        <f>"66298922391182"</f>
        <v>66298922391182</v>
      </c>
      <c r="AJ3898" t="str">
        <f>"23801-MBN-670VA"</f>
        <v>23801-MBN-670VA</v>
      </c>
      <c r="AK3898" t="s">
        <v>46</v>
      </c>
      <c r="AL3898" s="1">
        <v>44816.56045138889</v>
      </c>
      <c r="AM3898" t="s">
        <v>44</v>
      </c>
    </row>
    <row r="3899" spans="1:39" x14ac:dyDescent="0.2">
      <c r="A3899" t="s">
        <v>3701</v>
      </c>
      <c r="B3899" t="s">
        <v>40</v>
      </c>
      <c r="C3899" t="s">
        <v>3675</v>
      </c>
      <c r="D3899" t="s">
        <v>42</v>
      </c>
      <c r="E3899" t="s">
        <v>43</v>
      </c>
      <c r="F3899" t="s">
        <v>44</v>
      </c>
      <c r="G3899" t="s">
        <v>45</v>
      </c>
      <c r="AH3899" t="s">
        <v>42</v>
      </c>
      <c r="AI3899" t="str">
        <f>"66298922434866"</f>
        <v>66298922434866</v>
      </c>
      <c r="AJ3899" t="str">
        <f>"83123"</f>
        <v>83123</v>
      </c>
      <c r="AK3899" t="s">
        <v>3680</v>
      </c>
      <c r="AL3899" s="1">
        <v>44816.56046296296</v>
      </c>
      <c r="AM3899" t="s">
        <v>44</v>
      </c>
    </row>
    <row r="3900" spans="1:39" x14ac:dyDescent="0.2">
      <c r="A3900" t="s">
        <v>3702</v>
      </c>
      <c r="B3900" t="s">
        <v>40</v>
      </c>
      <c r="C3900" t="s">
        <v>3675</v>
      </c>
      <c r="D3900" t="s">
        <v>42</v>
      </c>
      <c r="E3900" t="s">
        <v>43</v>
      </c>
      <c r="F3900" t="s">
        <v>44</v>
      </c>
      <c r="G3900" t="s">
        <v>45</v>
      </c>
      <c r="AH3900" t="s">
        <v>42</v>
      </c>
      <c r="AI3900" t="str">
        <f>"10000025111"</f>
        <v>10000025111</v>
      </c>
      <c r="AJ3900" t="str">
        <f>"10000025111"</f>
        <v>10000025111</v>
      </c>
      <c r="AK3900" t="s">
        <v>46</v>
      </c>
      <c r="AL3900" s="1">
        <v>44952.573009259257</v>
      </c>
      <c r="AM3900" t="s">
        <v>44</v>
      </c>
    </row>
    <row r="3901" spans="1:39" x14ac:dyDescent="0.2">
      <c r="A3901" t="s">
        <v>3703</v>
      </c>
      <c r="B3901" t="s">
        <v>40</v>
      </c>
      <c r="C3901" t="s">
        <v>3675</v>
      </c>
      <c r="D3901" t="s">
        <v>42</v>
      </c>
      <c r="E3901" t="s">
        <v>43</v>
      </c>
      <c r="F3901" t="s">
        <v>44</v>
      </c>
      <c r="G3901" t="s">
        <v>45</v>
      </c>
      <c r="AH3901" t="s">
        <v>42</v>
      </c>
      <c r="AI3901" t="str">
        <f>"66298922476935"</f>
        <v>66298922476935</v>
      </c>
      <c r="AJ3901" t="str">
        <f>"23801-KY2-000VA"</f>
        <v>23801-KY2-000VA</v>
      </c>
      <c r="AK3901" t="s">
        <v>46</v>
      </c>
      <c r="AL3901" s="1">
        <v>44816.56046296296</v>
      </c>
      <c r="AM3901" t="s">
        <v>44</v>
      </c>
    </row>
    <row r="3902" spans="1:39" x14ac:dyDescent="0.2">
      <c r="A3902" t="s">
        <v>3704</v>
      </c>
      <c r="B3902" t="s">
        <v>40</v>
      </c>
      <c r="C3902" t="s">
        <v>3675</v>
      </c>
      <c r="D3902" t="s">
        <v>42</v>
      </c>
      <c r="E3902" t="s">
        <v>43</v>
      </c>
      <c r="F3902" t="s">
        <v>44</v>
      </c>
      <c r="G3902" t="s">
        <v>45</v>
      </c>
      <c r="AH3902" t="s">
        <v>42</v>
      </c>
      <c r="AI3902" t="str">
        <f>"JTF1381.15RB"</f>
        <v>JTF1381.15RB</v>
      </c>
      <c r="AJ3902" t="str">
        <f>"JTF1381.15RB"</f>
        <v>JTF1381.15RB</v>
      </c>
      <c r="AK3902" t="s">
        <v>46</v>
      </c>
      <c r="AL3902" s="1">
        <v>45063.623993055553</v>
      </c>
      <c r="AM3902" t="s">
        <v>44</v>
      </c>
    </row>
    <row r="3903" spans="1:39" x14ac:dyDescent="0.2">
      <c r="A3903" t="s">
        <v>3705</v>
      </c>
      <c r="B3903" t="s">
        <v>40</v>
      </c>
      <c r="C3903" t="s">
        <v>3675</v>
      </c>
      <c r="D3903" t="s">
        <v>42</v>
      </c>
      <c r="E3903" t="s">
        <v>43</v>
      </c>
      <c r="F3903" t="s">
        <v>44</v>
      </c>
      <c r="G3903" t="s">
        <v>45</v>
      </c>
      <c r="AH3903" t="s">
        <v>42</v>
      </c>
      <c r="AI3903" t="str">
        <f>"83380"</f>
        <v>83380</v>
      </c>
      <c r="AJ3903" t="str">
        <f>"83380"</f>
        <v>83380</v>
      </c>
      <c r="AK3903" t="s">
        <v>46</v>
      </c>
      <c r="AL3903" s="1">
        <v>44853.674849537034</v>
      </c>
      <c r="AM3903" t="s">
        <v>44</v>
      </c>
    </row>
    <row r="3904" spans="1:39" x14ac:dyDescent="0.2">
      <c r="A3904" t="s">
        <v>3705</v>
      </c>
      <c r="B3904" t="s">
        <v>40</v>
      </c>
      <c r="C3904" t="s">
        <v>3675</v>
      </c>
      <c r="D3904" t="s">
        <v>42</v>
      </c>
      <c r="E3904" t="s">
        <v>43</v>
      </c>
      <c r="F3904" t="s">
        <v>44</v>
      </c>
      <c r="G3904" t="s">
        <v>45</v>
      </c>
      <c r="AH3904" t="s">
        <v>42</v>
      </c>
      <c r="AI3904" t="str">
        <f>"10000025003"</f>
        <v>10000025003</v>
      </c>
      <c r="AJ3904" t="str">
        <f>"10000025003"</f>
        <v>10000025003</v>
      </c>
      <c r="AK3904" t="s">
        <v>46</v>
      </c>
      <c r="AL3904" s="1">
        <v>44952.571666666663</v>
      </c>
      <c r="AM3904" t="s">
        <v>44</v>
      </c>
    </row>
    <row r="3905" spans="1:39" x14ac:dyDescent="0.2">
      <c r="A3905" t="s">
        <v>3706</v>
      </c>
      <c r="B3905" t="s">
        <v>40</v>
      </c>
      <c r="C3905" t="s">
        <v>3675</v>
      </c>
      <c r="D3905" t="s">
        <v>42</v>
      </c>
      <c r="E3905" t="s">
        <v>43</v>
      </c>
      <c r="F3905" t="s">
        <v>44</v>
      </c>
      <c r="G3905" t="s">
        <v>45</v>
      </c>
      <c r="AH3905" t="s">
        <v>42</v>
      </c>
      <c r="AI3905" t="str">
        <f>"66298922515882"</f>
        <v>66298922515882</v>
      </c>
      <c r="AJ3905" t="str">
        <f>"27510-42A10JP"</f>
        <v>27510-42A10JP</v>
      </c>
      <c r="AK3905" t="s">
        <v>46</v>
      </c>
      <c r="AL3905" s="1">
        <v>44816.560474537036</v>
      </c>
      <c r="AM3905" t="s">
        <v>44</v>
      </c>
    </row>
    <row r="3906" spans="1:39" x14ac:dyDescent="0.2">
      <c r="A3906" t="s">
        <v>3707</v>
      </c>
      <c r="B3906" t="s">
        <v>40</v>
      </c>
      <c r="C3906" t="s">
        <v>3675</v>
      </c>
      <c r="D3906" t="s">
        <v>42</v>
      </c>
      <c r="E3906" t="s">
        <v>43</v>
      </c>
      <c r="F3906" t="s">
        <v>44</v>
      </c>
      <c r="G3906" t="s">
        <v>45</v>
      </c>
      <c r="AH3906" t="s">
        <v>42</v>
      </c>
      <c r="AI3906" t="str">
        <f>"10000033106"</f>
        <v>10000033106</v>
      </c>
      <c r="AJ3906" t="str">
        <f>"10000033106"</f>
        <v>10000033106</v>
      </c>
      <c r="AK3906" t="s">
        <v>46</v>
      </c>
      <c r="AL3906" s="1">
        <v>44952.571076388886</v>
      </c>
      <c r="AM3906" t="s">
        <v>44</v>
      </c>
    </row>
    <row r="3907" spans="1:39" x14ac:dyDescent="0.2">
      <c r="A3907" t="s">
        <v>3708</v>
      </c>
      <c r="B3907" t="s">
        <v>40</v>
      </c>
      <c r="C3907" t="s">
        <v>3675</v>
      </c>
      <c r="D3907" t="s">
        <v>42</v>
      </c>
      <c r="E3907" t="s">
        <v>43</v>
      </c>
      <c r="F3907" t="s">
        <v>44</v>
      </c>
      <c r="G3907" t="s">
        <v>45</v>
      </c>
      <c r="AH3907" t="s">
        <v>42</v>
      </c>
      <c r="AI3907" t="str">
        <f>"10000026548"</f>
        <v>10000026548</v>
      </c>
      <c r="AJ3907" t="str">
        <f>"10000026548"</f>
        <v>10000026548</v>
      </c>
      <c r="AK3907" t="s">
        <v>46</v>
      </c>
      <c r="AL3907" s="1">
        <v>44908.713530092595</v>
      </c>
      <c r="AM3907" t="s">
        <v>44</v>
      </c>
    </row>
    <row r="3908" spans="1:39" x14ac:dyDescent="0.2">
      <c r="A3908" t="s">
        <v>3709</v>
      </c>
      <c r="B3908" t="s">
        <v>40</v>
      </c>
      <c r="C3908" t="s">
        <v>3675</v>
      </c>
      <c r="D3908" t="s">
        <v>42</v>
      </c>
      <c r="E3908" t="s">
        <v>43</v>
      </c>
      <c r="F3908" t="s">
        <v>44</v>
      </c>
      <c r="G3908" t="s">
        <v>45</v>
      </c>
      <c r="AH3908" t="s">
        <v>42</v>
      </c>
      <c r="AI3908" t="str">
        <f>"66298922558492"</f>
        <v>66298922558492</v>
      </c>
      <c r="AJ3908" t="str">
        <f>"27511-41315JP"</f>
        <v>27511-41315JP</v>
      </c>
      <c r="AK3908" t="s">
        <v>46</v>
      </c>
      <c r="AL3908" s="1">
        <v>44816.560474537036</v>
      </c>
      <c r="AM3908" t="s">
        <v>44</v>
      </c>
    </row>
    <row r="3909" spans="1:39" x14ac:dyDescent="0.2">
      <c r="A3909" t="s">
        <v>3710</v>
      </c>
      <c r="B3909" t="s">
        <v>40</v>
      </c>
      <c r="C3909" t="s">
        <v>3675</v>
      </c>
      <c r="D3909" t="s">
        <v>42</v>
      </c>
      <c r="E3909" t="s">
        <v>43</v>
      </c>
      <c r="F3909" t="s">
        <v>44</v>
      </c>
      <c r="G3909" t="s">
        <v>45</v>
      </c>
      <c r="AH3909" t="s">
        <v>42</v>
      </c>
      <c r="AI3909" t="str">
        <f>"10000028042"</f>
        <v>10000028042</v>
      </c>
      <c r="AJ3909" t="str">
        <f>"10000028042"</f>
        <v>10000028042</v>
      </c>
      <c r="AK3909" t="s">
        <v>46</v>
      </c>
      <c r="AL3909" s="1">
        <v>44952.576585648145</v>
      </c>
      <c r="AM3909" t="s">
        <v>44</v>
      </c>
    </row>
    <row r="3910" spans="1:39" x14ac:dyDescent="0.2">
      <c r="A3910" t="s">
        <v>3711</v>
      </c>
      <c r="B3910" t="s">
        <v>40</v>
      </c>
      <c r="C3910" t="s">
        <v>3675</v>
      </c>
      <c r="D3910" t="s">
        <v>42</v>
      </c>
      <c r="E3910" t="s">
        <v>43</v>
      </c>
      <c r="F3910" t="s">
        <v>44</v>
      </c>
      <c r="G3910" t="s">
        <v>45</v>
      </c>
      <c r="AH3910" t="s">
        <v>42</v>
      </c>
      <c r="AI3910" t="str">
        <f>"13144-1122VA"</f>
        <v>13144-1122VA</v>
      </c>
      <c r="AJ3910" t="str">
        <f>"13144-1122VA"</f>
        <v>13144-1122VA</v>
      </c>
      <c r="AK3910" t="s">
        <v>46</v>
      </c>
      <c r="AL3910" s="1">
        <v>44889.818136574075</v>
      </c>
      <c r="AM3910" t="s">
        <v>44</v>
      </c>
    </row>
    <row r="3911" spans="1:39" x14ac:dyDescent="0.2">
      <c r="A3911" t="s">
        <v>3712</v>
      </c>
      <c r="B3911" t="s">
        <v>40</v>
      </c>
      <c r="C3911" t="s">
        <v>3675</v>
      </c>
      <c r="D3911" t="s">
        <v>42</v>
      </c>
      <c r="E3911" t="s">
        <v>43</v>
      </c>
      <c r="F3911" t="s">
        <v>44</v>
      </c>
      <c r="G3911" t="s">
        <v>45</v>
      </c>
      <c r="AH3911" t="s">
        <v>42</v>
      </c>
      <c r="AI3911" t="str">
        <f>"EMHJ52034"</f>
        <v>EMHJ52034</v>
      </c>
      <c r="AJ3911" t="str">
        <f>"EMHJ52034"</f>
        <v>EMHJ52034</v>
      </c>
      <c r="AK3911" t="s">
        <v>46</v>
      </c>
      <c r="AL3911" s="1">
        <v>45106.913981481484</v>
      </c>
      <c r="AM3911" t="s">
        <v>44</v>
      </c>
    </row>
    <row r="3912" spans="1:39" x14ac:dyDescent="0.2">
      <c r="A3912" t="s">
        <v>3713</v>
      </c>
      <c r="B3912" t="s">
        <v>40</v>
      </c>
      <c r="C3912" t="s">
        <v>3675</v>
      </c>
      <c r="D3912" t="s">
        <v>42</v>
      </c>
      <c r="E3912" t="s">
        <v>43</v>
      </c>
      <c r="F3912" t="s">
        <v>44</v>
      </c>
      <c r="G3912" t="s">
        <v>45</v>
      </c>
      <c r="AH3912" t="s">
        <v>42</v>
      </c>
      <c r="AI3912" t="str">
        <f>"66298922601244"</f>
        <v>66298922601244</v>
      </c>
      <c r="AJ3912" t="str">
        <f>"JV-5510-00"</f>
        <v>JV-5510-00</v>
      </c>
      <c r="AK3912" t="s">
        <v>3680</v>
      </c>
      <c r="AL3912" s="1">
        <v>44816.560486111113</v>
      </c>
      <c r="AM3912" t="s">
        <v>44</v>
      </c>
    </row>
    <row r="3913" spans="1:39" x14ac:dyDescent="0.2">
      <c r="A3913" t="s">
        <v>3714</v>
      </c>
      <c r="B3913" t="s">
        <v>40</v>
      </c>
      <c r="C3913" t="s">
        <v>3675</v>
      </c>
      <c r="D3913" t="s">
        <v>42</v>
      </c>
      <c r="E3913" t="s">
        <v>43</v>
      </c>
      <c r="F3913" t="s">
        <v>44</v>
      </c>
      <c r="G3913" t="s">
        <v>45</v>
      </c>
      <c r="AH3913" t="s">
        <v>42</v>
      </c>
      <c r="AI3913" t="str">
        <f>"66298922642818"</f>
        <v>66298922642818</v>
      </c>
      <c r="AJ3913" t="str">
        <f>"23801-ML0-730VA"</f>
        <v>23801-ML0-730VA</v>
      </c>
      <c r="AK3913" t="s">
        <v>46</v>
      </c>
      <c r="AL3913" s="1">
        <v>44816.560486111113</v>
      </c>
      <c r="AM3913" t="s">
        <v>44</v>
      </c>
    </row>
    <row r="3914" spans="1:39" x14ac:dyDescent="0.2">
      <c r="A3914" t="s">
        <v>3715</v>
      </c>
      <c r="B3914" t="s">
        <v>40</v>
      </c>
      <c r="C3914" t="s">
        <v>3675</v>
      </c>
      <c r="D3914" t="s">
        <v>42</v>
      </c>
      <c r="E3914" t="s">
        <v>43</v>
      </c>
      <c r="F3914" t="s">
        <v>44</v>
      </c>
      <c r="G3914" t="s">
        <v>45</v>
      </c>
      <c r="AH3914" t="s">
        <v>42</v>
      </c>
      <c r="AI3914" t="str">
        <f>"66298922684293"</f>
        <v>66298922684293</v>
      </c>
      <c r="AJ3914" t="str">
        <f>"23801-MN9-000VA"</f>
        <v>23801-MN9-000VA</v>
      </c>
      <c r="AK3914" t="s">
        <v>46</v>
      </c>
      <c r="AL3914" s="1">
        <v>44816.560486111113</v>
      </c>
      <c r="AM3914" t="s">
        <v>44</v>
      </c>
    </row>
    <row r="3915" spans="1:39" x14ac:dyDescent="0.2">
      <c r="A3915" t="s">
        <v>3716</v>
      </c>
      <c r="B3915" t="s">
        <v>40</v>
      </c>
      <c r="C3915" t="s">
        <v>3675</v>
      </c>
      <c r="D3915" t="s">
        <v>42</v>
      </c>
      <c r="E3915" t="s">
        <v>43</v>
      </c>
      <c r="F3915" t="s">
        <v>44</v>
      </c>
      <c r="G3915" t="s">
        <v>45</v>
      </c>
      <c r="AH3915" t="s">
        <v>42</v>
      </c>
      <c r="AI3915" t="str">
        <f>"66298922724444"</f>
        <v>66298922724444</v>
      </c>
      <c r="AJ3915" t="str">
        <f>"5VK-E7460-10JP"</f>
        <v>5VK-E7460-10JP</v>
      </c>
      <c r="AK3915" t="s">
        <v>46</v>
      </c>
      <c r="AL3915" s="1">
        <v>44816.560497685183</v>
      </c>
      <c r="AM3915" t="s">
        <v>44</v>
      </c>
    </row>
    <row r="3916" spans="1:39" x14ac:dyDescent="0.2">
      <c r="A3916" t="s">
        <v>3717</v>
      </c>
      <c r="B3916" t="s">
        <v>40</v>
      </c>
      <c r="C3916" t="s">
        <v>3675</v>
      </c>
      <c r="D3916" t="s">
        <v>42</v>
      </c>
      <c r="E3916" t="s">
        <v>43</v>
      </c>
      <c r="F3916" t="s">
        <v>44</v>
      </c>
      <c r="G3916" t="s">
        <v>45</v>
      </c>
      <c r="AH3916" t="s">
        <v>42</v>
      </c>
      <c r="AI3916" t="str">
        <f>"66298922810103"</f>
        <v>66298922810103</v>
      </c>
      <c r="AJ3916" t="str">
        <f>"5XT-17460-00GY"</f>
        <v>5XT-17460-00GY</v>
      </c>
      <c r="AK3916" t="s">
        <v>3680</v>
      </c>
      <c r="AL3916" s="1">
        <v>44816.56050925926</v>
      </c>
      <c r="AM3916" t="s">
        <v>44</v>
      </c>
    </row>
    <row r="3917" spans="1:39" x14ac:dyDescent="0.2">
      <c r="A3917" t="s">
        <v>3718</v>
      </c>
      <c r="B3917" t="s">
        <v>40</v>
      </c>
      <c r="C3917" t="s">
        <v>3675</v>
      </c>
      <c r="D3917" t="s">
        <v>42</v>
      </c>
      <c r="E3917" t="s">
        <v>43</v>
      </c>
      <c r="F3917" t="s">
        <v>44</v>
      </c>
      <c r="G3917" t="s">
        <v>45</v>
      </c>
      <c r="AH3917" t="s">
        <v>42</v>
      </c>
      <c r="AI3917" t="str">
        <f>"66298922769187"</f>
        <v>66298922769187</v>
      </c>
      <c r="AJ3917" t="str">
        <f>"5XT-17460-00JP"</f>
        <v>5XT-17460-00JP</v>
      </c>
      <c r="AK3917" t="s">
        <v>46</v>
      </c>
      <c r="AL3917" s="1">
        <v>44816.560497685183</v>
      </c>
      <c r="AM3917" t="s">
        <v>44</v>
      </c>
    </row>
    <row r="3918" spans="1:39" x14ac:dyDescent="0.2">
      <c r="A3918" t="s">
        <v>3719</v>
      </c>
      <c r="B3918" t="s">
        <v>40</v>
      </c>
      <c r="C3918" t="s">
        <v>3675</v>
      </c>
      <c r="D3918" t="s">
        <v>42</v>
      </c>
      <c r="E3918" t="s">
        <v>43</v>
      </c>
      <c r="F3918" t="s">
        <v>44</v>
      </c>
      <c r="G3918" t="s">
        <v>45</v>
      </c>
      <c r="AH3918" t="s">
        <v>42</v>
      </c>
      <c r="AI3918" t="str">
        <f>"JTF1591.16RB"</f>
        <v>JTF1591.16RB</v>
      </c>
      <c r="AJ3918" t="str">
        <f>"JTF1591.16RB"</f>
        <v>JTF1591.16RB</v>
      </c>
      <c r="AK3918" t="s">
        <v>46</v>
      </c>
      <c r="AL3918" s="1">
        <v>45065.832187499997</v>
      </c>
      <c r="AM3918" t="s">
        <v>44</v>
      </c>
    </row>
    <row r="3919" spans="1:39" x14ac:dyDescent="0.2">
      <c r="A3919" t="s">
        <v>3720</v>
      </c>
      <c r="B3919" t="s">
        <v>40</v>
      </c>
      <c r="C3919" t="s">
        <v>3675</v>
      </c>
      <c r="D3919" t="s">
        <v>42</v>
      </c>
      <c r="E3919" t="s">
        <v>43</v>
      </c>
      <c r="F3919" t="s">
        <v>44</v>
      </c>
      <c r="G3919" t="s">
        <v>45</v>
      </c>
      <c r="AH3919" t="s">
        <v>42</v>
      </c>
      <c r="AI3919" t="str">
        <f>"66298922849331"</f>
        <v>66298922849331</v>
      </c>
      <c r="AJ3919" t="str">
        <f>"400060"</f>
        <v>400060</v>
      </c>
      <c r="AK3919" t="s">
        <v>46</v>
      </c>
      <c r="AL3919" s="1">
        <v>44816.56050925926</v>
      </c>
      <c r="AM3919" t="s">
        <v>44</v>
      </c>
    </row>
    <row r="3920" spans="1:39" x14ac:dyDescent="0.2">
      <c r="A3920" t="s">
        <v>3721</v>
      </c>
      <c r="B3920" t="s">
        <v>40</v>
      </c>
      <c r="C3920" t="s">
        <v>3675</v>
      </c>
      <c r="D3920" t="s">
        <v>42</v>
      </c>
      <c r="E3920" t="s">
        <v>43</v>
      </c>
      <c r="F3920" t="s">
        <v>44</v>
      </c>
      <c r="G3920" t="s">
        <v>45</v>
      </c>
      <c r="AH3920" t="s">
        <v>42</v>
      </c>
      <c r="AI3920" t="str">
        <f>"66298922892773"</f>
        <v>66298922892773</v>
      </c>
      <c r="AJ3920" t="str">
        <f>"27511-01D01JP"</f>
        <v>27511-01D01JP</v>
      </c>
      <c r="AK3920" t="s">
        <v>46</v>
      </c>
      <c r="AL3920" s="1">
        <v>44816.56050925926</v>
      </c>
      <c r="AM3920" t="s">
        <v>44</v>
      </c>
    </row>
    <row r="3921" spans="1:39" x14ac:dyDescent="0.2">
      <c r="A3921" t="s">
        <v>3722</v>
      </c>
      <c r="B3921" t="s">
        <v>40</v>
      </c>
      <c r="C3921" t="s">
        <v>3675</v>
      </c>
      <c r="D3921" t="s">
        <v>42</v>
      </c>
      <c r="E3921" t="s">
        <v>43</v>
      </c>
      <c r="F3921" t="s">
        <v>44</v>
      </c>
      <c r="G3921" t="s">
        <v>45</v>
      </c>
      <c r="AH3921" t="s">
        <v>42</v>
      </c>
      <c r="AI3921" t="str">
        <f>"66298922936710"</f>
        <v>66298922936710</v>
      </c>
      <c r="AJ3921" t="str">
        <f>"27511-04706"</f>
        <v>27511-04706</v>
      </c>
      <c r="AK3921" t="s">
        <v>46</v>
      </c>
      <c r="AL3921" s="1">
        <v>44816.560520833336</v>
      </c>
      <c r="AM3921" t="s">
        <v>44</v>
      </c>
    </row>
    <row r="3922" spans="1:39" x14ac:dyDescent="0.2">
      <c r="A3922" t="s">
        <v>3723</v>
      </c>
      <c r="B3922" t="s">
        <v>40</v>
      </c>
      <c r="C3922" t="s">
        <v>3675</v>
      </c>
      <c r="D3922" t="s">
        <v>42</v>
      </c>
      <c r="E3922" t="s">
        <v>43</v>
      </c>
      <c r="F3922" t="s">
        <v>44</v>
      </c>
      <c r="G3922" t="s">
        <v>45</v>
      </c>
      <c r="AH3922" t="s">
        <v>42</v>
      </c>
      <c r="AI3922" t="str">
        <f>"1000025122"</f>
        <v>1000025122</v>
      </c>
      <c r="AJ3922" t="str">
        <f>"10000025122"</f>
        <v>10000025122</v>
      </c>
      <c r="AK3922" t="s">
        <v>46</v>
      </c>
      <c r="AL3922" s="1">
        <v>44952.574340277781</v>
      </c>
      <c r="AM3922" t="s">
        <v>44</v>
      </c>
    </row>
    <row r="3923" spans="1:39" x14ac:dyDescent="0.2">
      <c r="A3923" t="s">
        <v>3724</v>
      </c>
      <c r="B3923" t="s">
        <v>40</v>
      </c>
      <c r="C3923" t="s">
        <v>3675</v>
      </c>
      <c r="D3923" t="s">
        <v>42</v>
      </c>
      <c r="E3923" t="s">
        <v>43</v>
      </c>
      <c r="F3923" t="s">
        <v>44</v>
      </c>
      <c r="G3923" t="s">
        <v>45</v>
      </c>
      <c r="AH3923" t="s">
        <v>42</v>
      </c>
      <c r="AI3923" t="str">
        <f>"66298922978981"</f>
        <v>66298922978981</v>
      </c>
      <c r="AJ3923" t="str">
        <f>"3LD-17460-00VA"</f>
        <v>3LD-17460-00VA</v>
      </c>
      <c r="AK3923" t="s">
        <v>46</v>
      </c>
      <c r="AL3923" s="1">
        <v>44816.560520833336</v>
      </c>
      <c r="AM3923" t="s">
        <v>44</v>
      </c>
    </row>
    <row r="3924" spans="1:39" x14ac:dyDescent="0.2">
      <c r="A3924" t="s">
        <v>3725</v>
      </c>
      <c r="B3924" t="s">
        <v>40</v>
      </c>
      <c r="C3924" t="s">
        <v>3675</v>
      </c>
      <c r="D3924" t="s">
        <v>42</v>
      </c>
      <c r="E3924" t="s">
        <v>43</v>
      </c>
      <c r="F3924" t="s">
        <v>44</v>
      </c>
      <c r="G3924" t="s">
        <v>45</v>
      </c>
      <c r="AH3924" t="s">
        <v>42</v>
      </c>
      <c r="AI3924" t="str">
        <f>"66298923020298"</f>
        <v>66298923020298</v>
      </c>
      <c r="AJ3924" t="str">
        <f>"29080"</f>
        <v>29080</v>
      </c>
      <c r="AK3924" t="s">
        <v>46</v>
      </c>
      <c r="AL3924" s="1">
        <v>44816.560532407406</v>
      </c>
      <c r="AM3924" t="s">
        <v>44</v>
      </c>
    </row>
    <row r="3925" spans="1:39" x14ac:dyDescent="0.2">
      <c r="A3925" t="s">
        <v>3726</v>
      </c>
      <c r="B3925" t="s">
        <v>40</v>
      </c>
      <c r="C3925" t="s">
        <v>3675</v>
      </c>
      <c r="D3925" t="s">
        <v>42</v>
      </c>
      <c r="E3925" t="s">
        <v>43</v>
      </c>
      <c r="F3925" t="s">
        <v>44</v>
      </c>
      <c r="G3925" t="s">
        <v>45</v>
      </c>
      <c r="AH3925" t="s">
        <v>42</v>
      </c>
      <c r="AI3925" t="str">
        <f>"66298923061784"</f>
        <v>66298923061784</v>
      </c>
      <c r="AJ3925" t="str">
        <f>"2C0-17460-00"</f>
        <v>2C0-17460-00</v>
      </c>
      <c r="AK3925" t="s">
        <v>3680</v>
      </c>
      <c r="AL3925" s="1">
        <v>44816.560532407406</v>
      </c>
      <c r="AM3925" t="s">
        <v>44</v>
      </c>
    </row>
    <row r="3926" spans="1:39" x14ac:dyDescent="0.2">
      <c r="A3926" t="s">
        <v>3727</v>
      </c>
      <c r="B3926" t="s">
        <v>40</v>
      </c>
      <c r="C3926" t="s">
        <v>3675</v>
      </c>
      <c r="D3926" t="s">
        <v>42</v>
      </c>
      <c r="E3926" t="s">
        <v>43</v>
      </c>
      <c r="F3926" t="s">
        <v>44</v>
      </c>
      <c r="G3926" t="s">
        <v>45</v>
      </c>
      <c r="AH3926" t="s">
        <v>42</v>
      </c>
      <c r="AI3926" t="str">
        <f>"10000025005"</f>
        <v>10000025005</v>
      </c>
      <c r="AJ3926" t="str">
        <f>"10000025005"</f>
        <v>10000025005</v>
      </c>
      <c r="AK3926" t="s">
        <v>46</v>
      </c>
      <c r="AL3926" s="1">
        <v>44914.720069444447</v>
      </c>
      <c r="AM3926" t="s">
        <v>44</v>
      </c>
    </row>
    <row r="3927" spans="1:39" x14ac:dyDescent="0.2">
      <c r="A3927" t="s">
        <v>3728</v>
      </c>
      <c r="B3927" t="s">
        <v>40</v>
      </c>
      <c r="C3927" t="s">
        <v>3675</v>
      </c>
      <c r="D3927" t="s">
        <v>42</v>
      </c>
      <c r="E3927" t="s">
        <v>43</v>
      </c>
      <c r="F3927" t="s">
        <v>44</v>
      </c>
      <c r="G3927" t="s">
        <v>45</v>
      </c>
      <c r="AH3927" t="s">
        <v>42</v>
      </c>
      <c r="AI3927" t="str">
        <f>"66298923100931"</f>
        <v>66298923100931</v>
      </c>
      <c r="AJ3927" t="str">
        <f>"23801-KRH-000"</f>
        <v>23801-KRH-000</v>
      </c>
      <c r="AK3927" t="s">
        <v>46</v>
      </c>
      <c r="AL3927" s="1">
        <v>44816.560543981483</v>
      </c>
      <c r="AM3927" t="s">
        <v>44</v>
      </c>
    </row>
    <row r="3928" spans="1:39" x14ac:dyDescent="0.2">
      <c r="A3928" t="s">
        <v>3729</v>
      </c>
      <c r="B3928" t="s">
        <v>40</v>
      </c>
      <c r="C3928" t="s">
        <v>3675</v>
      </c>
      <c r="D3928" t="s">
        <v>42</v>
      </c>
      <c r="E3928" t="s">
        <v>43</v>
      </c>
      <c r="F3928" t="s">
        <v>44</v>
      </c>
      <c r="G3928" t="s">
        <v>45</v>
      </c>
      <c r="AH3928" t="s">
        <v>42</v>
      </c>
      <c r="AI3928" t="str">
        <f>"66298923144054"</f>
        <v>66298923144054</v>
      </c>
      <c r="AJ3928" t="str">
        <f>"81010"</f>
        <v>81010</v>
      </c>
      <c r="AK3928" t="s">
        <v>46</v>
      </c>
      <c r="AL3928" s="1">
        <v>44816.560543981483</v>
      </c>
      <c r="AM3928" t="s">
        <v>44</v>
      </c>
    </row>
    <row r="3929" spans="1:39" x14ac:dyDescent="0.2">
      <c r="A3929" t="s">
        <v>3730</v>
      </c>
      <c r="B3929" t="s">
        <v>40</v>
      </c>
      <c r="C3929" t="s">
        <v>3675</v>
      </c>
      <c r="D3929" t="s">
        <v>42</v>
      </c>
      <c r="E3929" t="s">
        <v>43</v>
      </c>
      <c r="F3929" t="s">
        <v>44</v>
      </c>
      <c r="G3929" t="s">
        <v>45</v>
      </c>
      <c r="AH3929" t="s">
        <v>42</v>
      </c>
      <c r="AI3929" t="str">
        <f>"66298923184773"</f>
        <v>66298923184773</v>
      </c>
      <c r="AJ3929" t="str">
        <f>"01838"</f>
        <v>01838</v>
      </c>
      <c r="AK3929" t="s">
        <v>46</v>
      </c>
      <c r="AL3929" s="1">
        <v>44816.560543981483</v>
      </c>
      <c r="AM3929" t="s">
        <v>44</v>
      </c>
    </row>
    <row r="3930" spans="1:39" x14ac:dyDescent="0.2">
      <c r="A3930" t="s">
        <v>3731</v>
      </c>
      <c r="B3930" t="s">
        <v>40</v>
      </c>
      <c r="C3930" t="s">
        <v>3675</v>
      </c>
      <c r="D3930" t="s">
        <v>42</v>
      </c>
      <c r="E3930" t="s">
        <v>43</v>
      </c>
      <c r="F3930" t="s">
        <v>44</v>
      </c>
      <c r="G3930" t="s">
        <v>45</v>
      </c>
      <c r="AH3930" t="s">
        <v>42</v>
      </c>
      <c r="AI3930" t="str">
        <f>"66298923227603"</f>
        <v>66298923227603</v>
      </c>
      <c r="AJ3930" t="str">
        <f>"81014"</f>
        <v>81014</v>
      </c>
      <c r="AK3930" t="s">
        <v>46</v>
      </c>
      <c r="AL3930" s="1">
        <v>44816.560555555552</v>
      </c>
      <c r="AM3930" t="s">
        <v>44</v>
      </c>
    </row>
    <row r="3931" spans="1:39" x14ac:dyDescent="0.2">
      <c r="A3931" t="s">
        <v>3732</v>
      </c>
      <c r="B3931" t="s">
        <v>40</v>
      </c>
      <c r="C3931" t="s">
        <v>3675</v>
      </c>
      <c r="D3931" t="s">
        <v>42</v>
      </c>
      <c r="E3931" t="s">
        <v>43</v>
      </c>
      <c r="F3931" t="s">
        <v>44</v>
      </c>
      <c r="G3931" t="s">
        <v>45</v>
      </c>
      <c r="AH3931" t="s">
        <v>42</v>
      </c>
      <c r="AI3931" t="str">
        <f>"66298923266127"</f>
        <v>66298923266127</v>
      </c>
      <c r="AJ3931" t="str">
        <f>"CH002"</f>
        <v>CH002</v>
      </c>
      <c r="AK3931" t="s">
        <v>46</v>
      </c>
      <c r="AL3931" s="1">
        <v>44816.560555555552</v>
      </c>
      <c r="AM3931" t="s">
        <v>44</v>
      </c>
    </row>
    <row r="3932" spans="1:39" x14ac:dyDescent="0.2">
      <c r="A3932" t="s">
        <v>3733</v>
      </c>
      <c r="B3932" t="s">
        <v>40</v>
      </c>
      <c r="C3932" t="s">
        <v>3675</v>
      </c>
      <c r="D3932" t="s">
        <v>42</v>
      </c>
      <c r="E3932" t="s">
        <v>43</v>
      </c>
      <c r="F3932" t="s">
        <v>44</v>
      </c>
      <c r="G3932" t="s">
        <v>45</v>
      </c>
      <c r="AH3932" t="s">
        <v>42</v>
      </c>
      <c r="AI3932" t="str">
        <f>"66298923306528"</f>
        <v>66298923306528</v>
      </c>
      <c r="AJ3932" t="str">
        <f>"5YY-E2176-00JP"</f>
        <v>5YY-E2176-00JP</v>
      </c>
      <c r="AK3932" t="s">
        <v>46</v>
      </c>
      <c r="AL3932" s="1">
        <v>44816.560567129629</v>
      </c>
      <c r="AM3932" t="s">
        <v>44</v>
      </c>
    </row>
    <row r="3933" spans="1:39" x14ac:dyDescent="0.2">
      <c r="A3933" t="s">
        <v>3734</v>
      </c>
      <c r="B3933" t="s">
        <v>40</v>
      </c>
      <c r="C3933" t="s">
        <v>3675</v>
      </c>
      <c r="D3933" t="s">
        <v>42</v>
      </c>
      <c r="E3933" t="s">
        <v>43</v>
      </c>
      <c r="F3933" t="s">
        <v>44</v>
      </c>
      <c r="G3933" t="s">
        <v>45</v>
      </c>
      <c r="AH3933" t="s">
        <v>42</v>
      </c>
      <c r="AI3933" t="str">
        <f>"66298923347310"</f>
        <v>66298923347310</v>
      </c>
      <c r="AJ3933" t="str">
        <f>"400696"</f>
        <v>400696</v>
      </c>
      <c r="AK3933" t="s">
        <v>46</v>
      </c>
      <c r="AL3933" s="1">
        <v>44816.560567129629</v>
      </c>
      <c r="AM3933" t="s">
        <v>44</v>
      </c>
    </row>
    <row r="3934" spans="1:39" x14ac:dyDescent="0.2">
      <c r="A3934" t="s">
        <v>3735</v>
      </c>
      <c r="B3934" t="s">
        <v>40</v>
      </c>
      <c r="C3934" t="s">
        <v>3675</v>
      </c>
      <c r="D3934" t="s">
        <v>42</v>
      </c>
      <c r="E3934" t="s">
        <v>43</v>
      </c>
      <c r="F3934" t="s">
        <v>44</v>
      </c>
      <c r="G3934" t="s">
        <v>45</v>
      </c>
      <c r="AH3934" t="s">
        <v>42</v>
      </c>
      <c r="AI3934" t="str">
        <f>"66298923396161"</f>
        <v>66298923396161</v>
      </c>
      <c r="AJ3934" t="str">
        <f>"CQ003"</f>
        <v>CQ003</v>
      </c>
      <c r="AK3934" t="s">
        <v>46</v>
      </c>
      <c r="AL3934" s="1">
        <v>44816.560567129629</v>
      </c>
      <c r="AM3934" t="s">
        <v>44</v>
      </c>
    </row>
    <row r="3935" spans="1:39" x14ac:dyDescent="0.2">
      <c r="A3935" t="s">
        <v>3736</v>
      </c>
      <c r="B3935" t="s">
        <v>40</v>
      </c>
      <c r="C3935" t="s">
        <v>3675</v>
      </c>
      <c r="D3935" t="s">
        <v>42</v>
      </c>
      <c r="E3935" t="s">
        <v>43</v>
      </c>
      <c r="F3935" t="s">
        <v>44</v>
      </c>
      <c r="G3935" t="s">
        <v>45</v>
      </c>
      <c r="AH3935" t="s">
        <v>42</v>
      </c>
      <c r="AI3935" t="str">
        <f>"66298923437621"</f>
        <v>66298923437621</v>
      </c>
      <c r="AJ3935" t="str">
        <f>"JL1257-E10-12"</f>
        <v>JL1257-E10-12</v>
      </c>
      <c r="AK3935" t="s">
        <v>46</v>
      </c>
      <c r="AL3935" s="1">
        <v>44816.560578703706</v>
      </c>
      <c r="AM3935" t="s">
        <v>44</v>
      </c>
    </row>
    <row r="3936" spans="1:39" x14ac:dyDescent="0.2">
      <c r="A3936" t="s">
        <v>3737</v>
      </c>
      <c r="B3936" t="s">
        <v>40</v>
      </c>
      <c r="C3936" t="s">
        <v>3675</v>
      </c>
      <c r="D3936" t="s">
        <v>42</v>
      </c>
      <c r="E3936" t="s">
        <v>43</v>
      </c>
      <c r="F3936" t="s">
        <v>44</v>
      </c>
      <c r="G3936" t="s">
        <v>45</v>
      </c>
      <c r="AH3936" t="s">
        <v>42</v>
      </c>
      <c r="AI3936" t="str">
        <f>"66298923478951"</f>
        <v>66298923478951</v>
      </c>
      <c r="AJ3936" t="str">
        <f>"11502"</f>
        <v>11502</v>
      </c>
      <c r="AK3936" t="s">
        <v>46</v>
      </c>
      <c r="AL3936" s="1">
        <v>44816.560578703706</v>
      </c>
      <c r="AM3936" t="s">
        <v>44</v>
      </c>
    </row>
    <row r="3937" spans="1:39" x14ac:dyDescent="0.2">
      <c r="A3937" t="s">
        <v>3738</v>
      </c>
      <c r="B3937" t="s">
        <v>40</v>
      </c>
      <c r="C3937" t="s">
        <v>3675</v>
      </c>
      <c r="D3937" t="s">
        <v>42</v>
      </c>
      <c r="E3937" t="s">
        <v>43</v>
      </c>
      <c r="F3937" t="s">
        <v>44</v>
      </c>
      <c r="G3937" t="s">
        <v>45</v>
      </c>
      <c r="AH3937" t="s">
        <v>42</v>
      </c>
      <c r="AI3937" t="str">
        <f>"66298923516288"</f>
        <v>66298923516288</v>
      </c>
      <c r="AJ3937" t="str">
        <f>"11503"</f>
        <v>11503</v>
      </c>
      <c r="AK3937" t="s">
        <v>46</v>
      </c>
      <c r="AL3937" s="1">
        <v>44816.560590277775</v>
      </c>
      <c r="AM3937" t="s">
        <v>44</v>
      </c>
    </row>
    <row r="3938" spans="1:39" x14ac:dyDescent="0.2">
      <c r="A3938" t="s">
        <v>3739</v>
      </c>
      <c r="B3938" t="s">
        <v>40</v>
      </c>
      <c r="C3938" t="s">
        <v>3675</v>
      </c>
      <c r="D3938" t="s">
        <v>42</v>
      </c>
      <c r="E3938" t="s">
        <v>43</v>
      </c>
      <c r="F3938" t="s">
        <v>44</v>
      </c>
      <c r="G3938" t="s">
        <v>45</v>
      </c>
      <c r="AH3938" t="s">
        <v>42</v>
      </c>
      <c r="AI3938" t="str">
        <f>"66298923552672"</f>
        <v>66298923552672</v>
      </c>
      <c r="AJ3938" t="str">
        <f>"E13020002"</f>
        <v>E13020002</v>
      </c>
      <c r="AK3938" t="s">
        <v>46</v>
      </c>
      <c r="AL3938" s="1">
        <v>44816.560590277775</v>
      </c>
      <c r="AM3938" t="s">
        <v>44</v>
      </c>
    </row>
    <row r="3939" spans="1:39" x14ac:dyDescent="0.2">
      <c r="A3939" t="s">
        <v>3740</v>
      </c>
      <c r="B3939" t="s">
        <v>40</v>
      </c>
      <c r="C3939" t="s">
        <v>3675</v>
      </c>
      <c r="D3939" t="s">
        <v>42</v>
      </c>
      <c r="E3939" t="s">
        <v>43</v>
      </c>
      <c r="F3939" t="s">
        <v>44</v>
      </c>
      <c r="G3939" t="s">
        <v>45</v>
      </c>
      <c r="AH3939" t="s">
        <v>42</v>
      </c>
      <c r="AI3939" t="str">
        <f>"66298923590659"</f>
        <v>66298923590659</v>
      </c>
      <c r="AJ3939" t="str">
        <f>"81016"</f>
        <v>81016</v>
      </c>
      <c r="AK3939" t="s">
        <v>46</v>
      </c>
      <c r="AL3939" s="1">
        <v>44816.560590277775</v>
      </c>
      <c r="AM3939" t="s">
        <v>44</v>
      </c>
    </row>
    <row r="3940" spans="1:39" x14ac:dyDescent="0.2">
      <c r="A3940" t="s">
        <v>3741</v>
      </c>
      <c r="B3940" t="s">
        <v>40</v>
      </c>
      <c r="C3940" t="s">
        <v>3675</v>
      </c>
      <c r="D3940" t="s">
        <v>42</v>
      </c>
      <c r="E3940" t="s">
        <v>43</v>
      </c>
      <c r="F3940" t="s">
        <v>44</v>
      </c>
      <c r="G3940" t="s">
        <v>45</v>
      </c>
      <c r="AH3940" t="s">
        <v>42</v>
      </c>
      <c r="AI3940" t="str">
        <f>"66298923628543"</f>
        <v>66298923628543</v>
      </c>
      <c r="AJ3940" t="str">
        <f>"81011"</f>
        <v>81011</v>
      </c>
      <c r="AK3940" t="s">
        <v>46</v>
      </c>
      <c r="AL3940" s="1">
        <v>44816.560601851852</v>
      </c>
      <c r="AM3940" t="s">
        <v>44</v>
      </c>
    </row>
    <row r="3941" spans="1:39" x14ac:dyDescent="0.2">
      <c r="A3941" t="s">
        <v>3742</v>
      </c>
      <c r="B3941" t="s">
        <v>40</v>
      </c>
      <c r="C3941" t="s">
        <v>3675</v>
      </c>
      <c r="D3941" t="s">
        <v>42</v>
      </c>
      <c r="E3941" t="s">
        <v>43</v>
      </c>
      <c r="F3941" t="s">
        <v>44</v>
      </c>
      <c r="G3941" t="s">
        <v>45</v>
      </c>
      <c r="AH3941" t="s">
        <v>42</v>
      </c>
      <c r="AI3941" t="str">
        <f>"66298923667756"</f>
        <v>66298923667756</v>
      </c>
      <c r="AJ3941" t="str">
        <f>"84088"</f>
        <v>84088</v>
      </c>
      <c r="AK3941" t="s">
        <v>46</v>
      </c>
      <c r="AL3941" s="1">
        <v>44816.560601851852</v>
      </c>
      <c r="AM3941" t="s">
        <v>44</v>
      </c>
    </row>
    <row r="3942" spans="1:39" x14ac:dyDescent="0.2">
      <c r="A3942" t="s">
        <v>3743</v>
      </c>
      <c r="B3942" t="s">
        <v>40</v>
      </c>
      <c r="C3942" t="s">
        <v>3675</v>
      </c>
      <c r="D3942" t="s">
        <v>42</v>
      </c>
      <c r="E3942" t="s">
        <v>43</v>
      </c>
      <c r="F3942" t="s">
        <v>44</v>
      </c>
      <c r="G3942" t="s">
        <v>45</v>
      </c>
      <c r="AH3942" t="s">
        <v>42</v>
      </c>
      <c r="AI3942" t="str">
        <f>"66298923708019"</f>
        <v>66298923708019</v>
      </c>
      <c r="AJ3942" t="str">
        <f>"81015"</f>
        <v>81015</v>
      </c>
      <c r="AK3942" t="s">
        <v>46</v>
      </c>
      <c r="AL3942" s="1">
        <v>44816.560613425929</v>
      </c>
      <c r="AM3942" t="s">
        <v>44</v>
      </c>
    </row>
    <row r="3943" spans="1:39" x14ac:dyDescent="0.2">
      <c r="A3943" t="s">
        <v>3744</v>
      </c>
      <c r="B3943" t="s">
        <v>40</v>
      </c>
      <c r="C3943" t="s">
        <v>3675</v>
      </c>
      <c r="D3943" t="s">
        <v>42</v>
      </c>
      <c r="E3943" t="s">
        <v>43</v>
      </c>
      <c r="F3943" t="s">
        <v>44</v>
      </c>
      <c r="G3943" t="s">
        <v>45</v>
      </c>
      <c r="AH3943" t="s">
        <v>42</v>
      </c>
      <c r="AI3943" t="str">
        <f>"66298923751440"</f>
        <v>66298923751440</v>
      </c>
      <c r="AJ3943" t="str">
        <f>"81008"</f>
        <v>81008</v>
      </c>
      <c r="AK3943" t="s">
        <v>46</v>
      </c>
      <c r="AL3943" s="1">
        <v>44816.560613425929</v>
      </c>
      <c r="AM3943" t="s">
        <v>44</v>
      </c>
    </row>
    <row r="3944" spans="1:39" x14ac:dyDescent="0.2">
      <c r="A3944" t="s">
        <v>3745</v>
      </c>
      <c r="B3944" t="s">
        <v>40</v>
      </c>
      <c r="C3944" t="s">
        <v>3675</v>
      </c>
      <c r="D3944" t="s">
        <v>42</v>
      </c>
      <c r="E3944" t="s">
        <v>43</v>
      </c>
      <c r="F3944" t="s">
        <v>44</v>
      </c>
      <c r="G3944" t="s">
        <v>45</v>
      </c>
      <c r="AH3944" t="s">
        <v>42</v>
      </c>
      <c r="AI3944" t="str">
        <f>"66298923792298"</f>
        <v>66298923792298</v>
      </c>
      <c r="AJ3944" t="str">
        <f>"81012"</f>
        <v>81012</v>
      </c>
      <c r="AK3944" t="s">
        <v>46</v>
      </c>
      <c r="AL3944" s="1">
        <v>44816.560613425929</v>
      </c>
      <c r="AM3944" t="s">
        <v>44</v>
      </c>
    </row>
    <row r="3945" spans="1:39" x14ac:dyDescent="0.2">
      <c r="A3945" t="s">
        <v>3746</v>
      </c>
      <c r="B3945" t="s">
        <v>40</v>
      </c>
      <c r="C3945" t="s">
        <v>3675</v>
      </c>
      <c r="D3945" t="s">
        <v>42</v>
      </c>
      <c r="E3945" t="s">
        <v>43</v>
      </c>
      <c r="F3945" t="s">
        <v>44</v>
      </c>
      <c r="G3945" t="s">
        <v>45</v>
      </c>
      <c r="AH3945" t="s">
        <v>42</v>
      </c>
      <c r="AI3945" t="str">
        <f>"66298923831546"</f>
        <v>66298923831546</v>
      </c>
      <c r="AJ3945" t="str">
        <f>"BA002"</f>
        <v>BA002</v>
      </c>
      <c r="AK3945" t="s">
        <v>46</v>
      </c>
      <c r="AL3945" s="1">
        <v>44816.560624999998</v>
      </c>
      <c r="AM3945" t="s">
        <v>44</v>
      </c>
    </row>
    <row r="3946" spans="1:39" x14ac:dyDescent="0.2">
      <c r="A3946" t="s">
        <v>3747</v>
      </c>
      <c r="B3946" t="s">
        <v>40</v>
      </c>
      <c r="C3946" t="s">
        <v>3675</v>
      </c>
      <c r="D3946" t="s">
        <v>42</v>
      </c>
      <c r="E3946" t="s">
        <v>43</v>
      </c>
      <c r="F3946" t="s">
        <v>44</v>
      </c>
      <c r="G3946" t="s">
        <v>45</v>
      </c>
      <c r="AH3946" t="s">
        <v>42</v>
      </c>
      <c r="AI3946" t="str">
        <f>"66298923869004"</f>
        <v>66298923869004</v>
      </c>
      <c r="AJ3946" t="str">
        <f>"BA010"</f>
        <v>BA010</v>
      </c>
      <c r="AK3946" t="s">
        <v>46</v>
      </c>
      <c r="AL3946" s="1">
        <v>44816.560624999998</v>
      </c>
      <c r="AM3946" t="s">
        <v>44</v>
      </c>
    </row>
    <row r="3947" spans="1:39" x14ac:dyDescent="0.2">
      <c r="A3947" t="s">
        <v>3748</v>
      </c>
      <c r="B3947" t="s">
        <v>40</v>
      </c>
      <c r="C3947" t="s">
        <v>3675</v>
      </c>
      <c r="D3947" t="s">
        <v>42</v>
      </c>
      <c r="E3947" t="s">
        <v>43</v>
      </c>
      <c r="F3947" t="s">
        <v>44</v>
      </c>
      <c r="G3947" t="s">
        <v>45</v>
      </c>
      <c r="AH3947" t="s">
        <v>42</v>
      </c>
      <c r="AI3947" t="str">
        <f>"66298923910140"</f>
        <v>66298923910140</v>
      </c>
      <c r="AJ3947" t="str">
        <f>"BA004"</f>
        <v>BA004</v>
      </c>
      <c r="AK3947" t="s">
        <v>46</v>
      </c>
      <c r="AL3947" s="1">
        <v>44816.560636574075</v>
      </c>
      <c r="AM3947" t="s">
        <v>44</v>
      </c>
    </row>
    <row r="3948" spans="1:39" x14ac:dyDescent="0.2">
      <c r="A3948" t="s">
        <v>3749</v>
      </c>
      <c r="B3948" t="s">
        <v>40</v>
      </c>
      <c r="C3948" t="s">
        <v>3675</v>
      </c>
      <c r="D3948" t="s">
        <v>42</v>
      </c>
      <c r="E3948" t="s">
        <v>43</v>
      </c>
      <c r="F3948" t="s">
        <v>44</v>
      </c>
      <c r="G3948" t="s">
        <v>45</v>
      </c>
      <c r="AH3948" t="s">
        <v>42</v>
      </c>
      <c r="AI3948" t="str">
        <f>"66298923949339"</f>
        <v>66298923949339</v>
      </c>
      <c r="AJ3948" t="str">
        <f>"BA001"</f>
        <v>BA001</v>
      </c>
      <c r="AK3948" t="s">
        <v>46</v>
      </c>
      <c r="AL3948" s="1">
        <v>44816.560636574075</v>
      </c>
      <c r="AM3948" t="s">
        <v>44</v>
      </c>
    </row>
    <row r="3949" spans="1:39" x14ac:dyDescent="0.2">
      <c r="A3949" t="s">
        <v>3750</v>
      </c>
      <c r="B3949" t="s">
        <v>40</v>
      </c>
      <c r="C3949" t="s">
        <v>3675</v>
      </c>
      <c r="D3949" t="s">
        <v>42</v>
      </c>
      <c r="E3949" t="s">
        <v>43</v>
      </c>
      <c r="F3949" t="s">
        <v>44</v>
      </c>
      <c r="G3949" t="s">
        <v>45</v>
      </c>
      <c r="AH3949" t="s">
        <v>42</v>
      </c>
      <c r="AI3949" t="str">
        <f>"66298923989658"</f>
        <v>66298923989658</v>
      </c>
      <c r="AJ3949" t="str">
        <f>"JL200GY2-F7-SET"</f>
        <v>JL200GY2-F7-SET</v>
      </c>
      <c r="AK3949" t="s">
        <v>46</v>
      </c>
      <c r="AL3949" s="1">
        <v>44816.560636574075</v>
      </c>
      <c r="AM3949" t="s">
        <v>44</v>
      </c>
    </row>
    <row r="3950" spans="1:39" x14ac:dyDescent="0.2">
      <c r="A3950" t="s">
        <v>3751</v>
      </c>
      <c r="B3950" t="s">
        <v>40</v>
      </c>
      <c r="C3950" t="s">
        <v>3675</v>
      </c>
      <c r="D3950" t="s">
        <v>42</v>
      </c>
      <c r="E3950" t="s">
        <v>43</v>
      </c>
      <c r="F3950" t="s">
        <v>44</v>
      </c>
      <c r="G3950" t="s">
        <v>45</v>
      </c>
      <c r="AH3950" t="s">
        <v>42</v>
      </c>
      <c r="AI3950" t="str">
        <f>"66298924036428"</f>
        <v>66298924036428</v>
      </c>
      <c r="AJ3950" t="str">
        <f>"49CC52"</f>
        <v>49CC52</v>
      </c>
      <c r="AK3950" t="s">
        <v>46</v>
      </c>
      <c r="AL3950" s="1">
        <v>44816.560648148145</v>
      </c>
      <c r="AM3950" t="s">
        <v>44</v>
      </c>
    </row>
    <row r="3951" spans="1:39" x14ac:dyDescent="0.2">
      <c r="A3951" t="s">
        <v>3752</v>
      </c>
      <c r="B3951" t="s">
        <v>40</v>
      </c>
      <c r="C3951" t="s">
        <v>3675</v>
      </c>
      <c r="D3951" t="s">
        <v>42</v>
      </c>
      <c r="E3951" t="s">
        <v>43</v>
      </c>
      <c r="F3951" t="s">
        <v>44</v>
      </c>
      <c r="G3951" t="s">
        <v>45</v>
      </c>
      <c r="AH3951" t="s">
        <v>42</v>
      </c>
      <c r="AI3951" t="str">
        <f>"11876"</f>
        <v>11876</v>
      </c>
      <c r="AJ3951" t="str">
        <f>"11876"</f>
        <v>11876</v>
      </c>
      <c r="AK3951" t="s">
        <v>46</v>
      </c>
      <c r="AL3951" s="1">
        <v>45062.928935185184</v>
      </c>
      <c r="AM3951" t="s">
        <v>44</v>
      </c>
    </row>
    <row r="3952" spans="1:39" x14ac:dyDescent="0.2">
      <c r="A3952" t="s">
        <v>3753</v>
      </c>
      <c r="B3952" t="s">
        <v>40</v>
      </c>
      <c r="C3952" t="s">
        <v>3675</v>
      </c>
      <c r="D3952" t="s">
        <v>42</v>
      </c>
      <c r="E3952" t="s">
        <v>43</v>
      </c>
      <c r="F3952" t="s">
        <v>44</v>
      </c>
      <c r="G3952" t="s">
        <v>45</v>
      </c>
      <c r="AH3952" t="s">
        <v>42</v>
      </c>
      <c r="AI3952" t="str">
        <f>"66298924083859"</f>
        <v>66298924083859</v>
      </c>
      <c r="AJ3952" t="str">
        <f>"BA003"</f>
        <v>BA003</v>
      </c>
      <c r="AK3952" t="s">
        <v>46</v>
      </c>
      <c r="AL3952" s="1">
        <v>44816.560648148145</v>
      </c>
      <c r="AM3952" t="s">
        <v>44</v>
      </c>
    </row>
    <row r="3953" spans="1:39" x14ac:dyDescent="0.2">
      <c r="A3953" t="s">
        <v>3753</v>
      </c>
      <c r="B3953" t="s">
        <v>40</v>
      </c>
      <c r="C3953" t="s">
        <v>3675</v>
      </c>
      <c r="D3953" t="s">
        <v>42</v>
      </c>
      <c r="E3953" t="s">
        <v>43</v>
      </c>
      <c r="F3953" t="s">
        <v>44</v>
      </c>
      <c r="G3953" t="s">
        <v>45</v>
      </c>
      <c r="AH3953" t="s">
        <v>42</v>
      </c>
      <c r="AI3953" t="str">
        <f>"66298924123803"</f>
        <v>66298924123803</v>
      </c>
      <c r="AJ3953" t="str">
        <f>"BA009"</f>
        <v>BA009</v>
      </c>
      <c r="AK3953" t="s">
        <v>46</v>
      </c>
      <c r="AL3953" s="1">
        <v>44816.560659722221</v>
      </c>
      <c r="AM3953" t="s">
        <v>44</v>
      </c>
    </row>
    <row r="3954" spans="1:39" x14ac:dyDescent="0.2">
      <c r="A3954" t="s">
        <v>3754</v>
      </c>
      <c r="B3954" t="s">
        <v>40</v>
      </c>
      <c r="C3954" t="s">
        <v>3675</v>
      </c>
      <c r="D3954" t="s">
        <v>42</v>
      </c>
      <c r="E3954" t="s">
        <v>43</v>
      </c>
      <c r="F3954" t="s">
        <v>44</v>
      </c>
      <c r="G3954" t="s">
        <v>45</v>
      </c>
      <c r="AH3954" t="s">
        <v>42</v>
      </c>
      <c r="AI3954" t="str">
        <f>"66298924167524"</f>
        <v>66298924167524</v>
      </c>
      <c r="AJ3954" t="str">
        <f>"85068"</f>
        <v>85068</v>
      </c>
      <c r="AK3954" t="s">
        <v>46</v>
      </c>
      <c r="AL3954" s="1">
        <v>44816.560659722221</v>
      </c>
      <c r="AM3954" t="s">
        <v>44</v>
      </c>
    </row>
    <row r="3955" spans="1:39" x14ac:dyDescent="0.2">
      <c r="A3955" t="s">
        <v>3755</v>
      </c>
      <c r="B3955" t="s">
        <v>40</v>
      </c>
      <c r="C3955" t="s">
        <v>3675</v>
      </c>
      <c r="D3955" t="s">
        <v>42</v>
      </c>
      <c r="E3955" t="s">
        <v>43</v>
      </c>
      <c r="F3955" t="s">
        <v>44</v>
      </c>
      <c r="G3955" t="s">
        <v>45</v>
      </c>
      <c r="AH3955" t="s">
        <v>42</v>
      </c>
      <c r="AI3955" t="str">
        <f>"66298924205575"</f>
        <v>66298924205575</v>
      </c>
      <c r="AJ3955" t="str">
        <f>"BA006"</f>
        <v>BA006</v>
      </c>
      <c r="AK3955" t="s">
        <v>46</v>
      </c>
      <c r="AL3955" s="1">
        <v>44816.560671296298</v>
      </c>
      <c r="AM3955" t="s">
        <v>44</v>
      </c>
    </row>
    <row r="3956" spans="1:39" x14ac:dyDescent="0.2">
      <c r="A3956" t="s">
        <v>3756</v>
      </c>
      <c r="B3956" t="s">
        <v>40</v>
      </c>
      <c r="C3956" t="s">
        <v>3675</v>
      </c>
      <c r="D3956" t="s">
        <v>42</v>
      </c>
      <c r="E3956" t="s">
        <v>43</v>
      </c>
      <c r="F3956" t="s">
        <v>44</v>
      </c>
      <c r="G3956" t="s">
        <v>45</v>
      </c>
      <c r="AH3956" t="s">
        <v>42</v>
      </c>
      <c r="AI3956" t="str">
        <f>"66298924247598"</f>
        <v>66298924247598</v>
      </c>
      <c r="AJ3956" t="str">
        <f>"BA008"</f>
        <v>BA008</v>
      </c>
      <c r="AK3956" t="s">
        <v>46</v>
      </c>
      <c r="AL3956" s="1">
        <v>44816.560671296298</v>
      </c>
      <c r="AM3956" t="s">
        <v>44</v>
      </c>
    </row>
    <row r="3957" spans="1:39" x14ac:dyDescent="0.2">
      <c r="A3957" t="s">
        <v>3757</v>
      </c>
      <c r="B3957" t="s">
        <v>40</v>
      </c>
      <c r="C3957" t="s">
        <v>3675</v>
      </c>
      <c r="D3957" t="s">
        <v>42</v>
      </c>
      <c r="E3957" t="s">
        <v>43</v>
      </c>
      <c r="F3957" t="s">
        <v>44</v>
      </c>
      <c r="G3957" t="s">
        <v>45</v>
      </c>
      <c r="AH3957" t="s">
        <v>42</v>
      </c>
      <c r="AI3957" t="str">
        <f>"66298924286334"</f>
        <v>66298924286334</v>
      </c>
      <c r="AJ3957" t="str">
        <f>"PP-30120-001JP"</f>
        <v>PP-30120-001JP</v>
      </c>
      <c r="AK3957" t="s">
        <v>46</v>
      </c>
      <c r="AL3957" s="1">
        <v>44816.560671296298</v>
      </c>
      <c r="AM3957" t="s">
        <v>44</v>
      </c>
    </row>
    <row r="3958" spans="1:39" x14ac:dyDescent="0.2">
      <c r="A3958" t="s">
        <v>3758</v>
      </c>
      <c r="B3958" t="s">
        <v>40</v>
      </c>
      <c r="C3958" t="s">
        <v>3675</v>
      </c>
      <c r="D3958" t="s">
        <v>42</v>
      </c>
      <c r="E3958" t="s">
        <v>43</v>
      </c>
      <c r="F3958" t="s">
        <v>44</v>
      </c>
      <c r="G3958" t="s">
        <v>45</v>
      </c>
      <c r="AH3958" t="s">
        <v>42</v>
      </c>
      <c r="AI3958" t="str">
        <f>"66298924331946"</f>
        <v>66298924331946</v>
      </c>
      <c r="AJ3958" t="str">
        <f>"337"</f>
        <v>337</v>
      </c>
      <c r="AK3958" t="s">
        <v>46</v>
      </c>
      <c r="AL3958" s="1">
        <v>44816.560682870368</v>
      </c>
      <c r="AM3958" t="s">
        <v>44</v>
      </c>
    </row>
    <row r="3959" spans="1:39" x14ac:dyDescent="0.2">
      <c r="A3959" t="s">
        <v>3758</v>
      </c>
      <c r="B3959" t="s">
        <v>40</v>
      </c>
      <c r="C3959" t="s">
        <v>3675</v>
      </c>
      <c r="D3959" t="s">
        <v>42</v>
      </c>
      <c r="E3959" t="s">
        <v>43</v>
      </c>
      <c r="F3959" t="s">
        <v>44</v>
      </c>
      <c r="G3959" t="s">
        <v>45</v>
      </c>
      <c r="AH3959" t="s">
        <v>42</v>
      </c>
      <c r="AI3959" t="str">
        <f>"66298924338407"</f>
        <v>66298924338407</v>
      </c>
      <c r="AJ3959" t="str">
        <f>"DE005"</f>
        <v>DE005</v>
      </c>
      <c r="AK3959" t="s">
        <v>46</v>
      </c>
      <c r="AL3959" s="1">
        <v>44816.560682870368</v>
      </c>
      <c r="AM3959" t="s">
        <v>44</v>
      </c>
    </row>
    <row r="3960" spans="1:39" x14ac:dyDescent="0.2">
      <c r="A3960" t="s">
        <v>3758</v>
      </c>
      <c r="B3960" t="s">
        <v>40</v>
      </c>
      <c r="C3960" t="s">
        <v>3675</v>
      </c>
      <c r="D3960" t="s">
        <v>42</v>
      </c>
      <c r="E3960" t="s">
        <v>43</v>
      </c>
      <c r="F3960" t="s">
        <v>44</v>
      </c>
      <c r="G3960" t="s">
        <v>45</v>
      </c>
      <c r="AH3960" t="s">
        <v>42</v>
      </c>
      <c r="AI3960" t="str">
        <f>"66298924391545"</f>
        <v>66298924391545</v>
      </c>
      <c r="AJ3960" t="str">
        <f>"B079"</f>
        <v>B079</v>
      </c>
      <c r="AK3960" t="s">
        <v>46</v>
      </c>
      <c r="AL3960" s="1">
        <v>44816.560682870368</v>
      </c>
      <c r="AM3960" t="s">
        <v>44</v>
      </c>
    </row>
    <row r="3961" spans="1:39" x14ac:dyDescent="0.2">
      <c r="A3961" t="s">
        <v>3759</v>
      </c>
      <c r="B3961" t="s">
        <v>40</v>
      </c>
      <c r="C3961" t="s">
        <v>3675</v>
      </c>
      <c r="D3961" t="s">
        <v>42</v>
      </c>
      <c r="E3961" t="s">
        <v>43</v>
      </c>
      <c r="F3961" t="s">
        <v>44</v>
      </c>
      <c r="G3961" t="s">
        <v>45</v>
      </c>
      <c r="AH3961" t="s">
        <v>42</v>
      </c>
      <c r="AI3961" t="str">
        <f>"66298924432504"</f>
        <v>66298924432504</v>
      </c>
      <c r="AJ3961" t="str">
        <f>"401007"</f>
        <v>401007</v>
      </c>
      <c r="AK3961" t="s">
        <v>46</v>
      </c>
      <c r="AL3961" s="1">
        <v>44816.560694444444</v>
      </c>
      <c r="AM3961" t="s">
        <v>44</v>
      </c>
    </row>
    <row r="3962" spans="1:39" x14ac:dyDescent="0.2">
      <c r="A3962" t="s">
        <v>3760</v>
      </c>
      <c r="B3962" t="s">
        <v>40</v>
      </c>
      <c r="C3962" t="s">
        <v>3675</v>
      </c>
      <c r="D3962" t="s">
        <v>42</v>
      </c>
      <c r="E3962" t="s">
        <v>43</v>
      </c>
      <c r="F3962" t="s">
        <v>44</v>
      </c>
      <c r="G3962" t="s">
        <v>45</v>
      </c>
      <c r="AH3962" t="s">
        <v>42</v>
      </c>
      <c r="AI3962" t="str">
        <f>"66298924474273"</f>
        <v>66298924474273</v>
      </c>
      <c r="AJ3962" t="str">
        <f>"14100-KGA-900JP"</f>
        <v>14100-KGA-900JP</v>
      </c>
      <c r="AK3962" t="s">
        <v>46</v>
      </c>
      <c r="AL3962" s="1">
        <v>44816.560694444444</v>
      </c>
      <c r="AM3962" t="s">
        <v>44</v>
      </c>
    </row>
    <row r="3963" spans="1:39" x14ac:dyDescent="0.2">
      <c r="A3963" t="s">
        <v>3761</v>
      </c>
      <c r="B3963" t="s">
        <v>40</v>
      </c>
      <c r="C3963" t="s">
        <v>3675</v>
      </c>
      <c r="D3963" t="s">
        <v>42</v>
      </c>
      <c r="E3963" t="s">
        <v>43</v>
      </c>
      <c r="F3963" t="s">
        <v>44</v>
      </c>
      <c r="G3963" t="s">
        <v>45</v>
      </c>
      <c r="AH3963" t="s">
        <v>42</v>
      </c>
      <c r="AI3963" t="str">
        <f>"66298924535319"</f>
        <v>66298924535319</v>
      </c>
      <c r="AJ3963" t="str">
        <f>"CQ001"</f>
        <v>CQ001</v>
      </c>
      <c r="AK3963" t="s">
        <v>46</v>
      </c>
      <c r="AL3963" s="1">
        <v>44816.560706018521</v>
      </c>
      <c r="AM3963" t="s">
        <v>44</v>
      </c>
    </row>
    <row r="3964" spans="1:39" x14ac:dyDescent="0.2">
      <c r="A3964" t="s">
        <v>3762</v>
      </c>
      <c r="B3964" t="s">
        <v>40</v>
      </c>
      <c r="C3964" t="s">
        <v>3675</v>
      </c>
      <c r="D3964" t="s">
        <v>42</v>
      </c>
      <c r="E3964" t="s">
        <v>43</v>
      </c>
      <c r="F3964" t="s">
        <v>44</v>
      </c>
      <c r="G3964" t="s">
        <v>45</v>
      </c>
      <c r="AH3964" t="s">
        <v>42</v>
      </c>
      <c r="AI3964" t="str">
        <f>"66298924593135"</f>
        <v>66298924593135</v>
      </c>
      <c r="AJ3964" t="str">
        <f>"B101"</f>
        <v>B101</v>
      </c>
      <c r="AK3964" t="s">
        <v>46</v>
      </c>
      <c r="AL3964" s="1">
        <v>44816.560706018521</v>
      </c>
      <c r="AM3964" t="s">
        <v>44</v>
      </c>
    </row>
    <row r="3965" spans="1:39" x14ac:dyDescent="0.2">
      <c r="A3965" t="s">
        <v>3763</v>
      </c>
      <c r="B3965" t="s">
        <v>40</v>
      </c>
      <c r="C3965" t="s">
        <v>129</v>
      </c>
      <c r="D3965" t="s">
        <v>42</v>
      </c>
      <c r="E3965" t="s">
        <v>43</v>
      </c>
      <c r="F3965" t="s">
        <v>44</v>
      </c>
      <c r="G3965" t="s">
        <v>45</v>
      </c>
      <c r="AH3965" t="s">
        <v>42</v>
      </c>
      <c r="AI3965" t="str">
        <f>"66298921632359"</f>
        <v>66298921632359</v>
      </c>
      <c r="AJ3965" t="str">
        <f>"H095"</f>
        <v>H095</v>
      </c>
      <c r="AK3965" t="s">
        <v>46</v>
      </c>
      <c r="AL3965" s="1">
        <v>44816.560370370367</v>
      </c>
      <c r="AM3965" t="s">
        <v>44</v>
      </c>
    </row>
    <row r="3966" spans="1:39" x14ac:dyDescent="0.2">
      <c r="A3966" t="s">
        <v>3764</v>
      </c>
      <c r="B3966" t="s">
        <v>40</v>
      </c>
      <c r="C3966" t="s">
        <v>129</v>
      </c>
      <c r="D3966" t="s">
        <v>42</v>
      </c>
      <c r="E3966" t="s">
        <v>43</v>
      </c>
      <c r="F3966" t="s">
        <v>44</v>
      </c>
      <c r="G3966" t="s">
        <v>45</v>
      </c>
      <c r="AH3966" t="s">
        <v>42</v>
      </c>
      <c r="AI3966" t="str">
        <f>"66298921672677"</f>
        <v>66298921672677</v>
      </c>
      <c r="AJ3966" t="str">
        <f>"H094"</f>
        <v>H094</v>
      </c>
      <c r="AK3966" t="s">
        <v>46</v>
      </c>
      <c r="AL3966" s="1">
        <v>44816.560370370367</v>
      </c>
      <c r="AM3966" t="s">
        <v>44</v>
      </c>
    </row>
    <row r="3967" spans="1:39" x14ac:dyDescent="0.2">
      <c r="A3967" t="s">
        <v>3765</v>
      </c>
      <c r="B3967" t="s">
        <v>40</v>
      </c>
      <c r="C3967" t="s">
        <v>3766</v>
      </c>
      <c r="D3967" t="s">
        <v>42</v>
      </c>
      <c r="E3967" t="s">
        <v>43</v>
      </c>
      <c r="F3967" t="s">
        <v>44</v>
      </c>
      <c r="G3967" t="s">
        <v>45</v>
      </c>
      <c r="AH3967" t="s">
        <v>42</v>
      </c>
      <c r="AI3967" t="str">
        <f>"66298924633993"</f>
        <v>66298924633993</v>
      </c>
      <c r="AJ3967" t="str">
        <f>"81989"</f>
        <v>81989</v>
      </c>
      <c r="AK3967" t="s">
        <v>46</v>
      </c>
      <c r="AL3967" s="1">
        <v>44816.560717592591</v>
      </c>
      <c r="AM3967" t="s">
        <v>44</v>
      </c>
    </row>
    <row r="3968" spans="1:39" x14ac:dyDescent="0.2">
      <c r="A3968" t="s">
        <v>3767</v>
      </c>
      <c r="B3968" t="s">
        <v>40</v>
      </c>
      <c r="C3968" t="s">
        <v>3766</v>
      </c>
      <c r="D3968" t="s">
        <v>42</v>
      </c>
      <c r="E3968" t="s">
        <v>43</v>
      </c>
      <c r="F3968" t="s">
        <v>44</v>
      </c>
      <c r="G3968" t="s">
        <v>45</v>
      </c>
      <c r="AH3968" t="s">
        <v>42</v>
      </c>
      <c r="AI3968" t="str">
        <f>"66298924671714"</f>
        <v>66298924671714</v>
      </c>
      <c r="AJ3968" t="str">
        <f>"DK101328"</f>
        <v>DK101328</v>
      </c>
      <c r="AK3968" t="s">
        <v>46</v>
      </c>
      <c r="AL3968" s="1">
        <v>44816.560717592591</v>
      </c>
      <c r="AM3968" t="s">
        <v>44</v>
      </c>
    </row>
    <row r="3969" spans="1:39" x14ac:dyDescent="0.2">
      <c r="A3969" t="s">
        <v>3768</v>
      </c>
      <c r="B3969" t="s">
        <v>40</v>
      </c>
      <c r="C3969" t="s">
        <v>3766</v>
      </c>
      <c r="D3969" t="s">
        <v>42</v>
      </c>
      <c r="E3969" t="s">
        <v>43</v>
      </c>
      <c r="F3969" t="s">
        <v>44</v>
      </c>
      <c r="G3969" t="s">
        <v>45</v>
      </c>
      <c r="AH3969" t="s">
        <v>42</v>
      </c>
      <c r="AI3969" t="str">
        <f>"66298924711717"</f>
        <v>66298924711717</v>
      </c>
      <c r="AJ3969" t="str">
        <f>"DB011"</f>
        <v>DB011</v>
      </c>
      <c r="AK3969" t="s">
        <v>46</v>
      </c>
      <c r="AL3969" s="1">
        <v>44816.560729166667</v>
      </c>
      <c r="AM3969" t="s">
        <v>44</v>
      </c>
    </row>
    <row r="3970" spans="1:39" x14ac:dyDescent="0.2">
      <c r="A3970" t="s">
        <v>3769</v>
      </c>
      <c r="B3970" t="s">
        <v>40</v>
      </c>
      <c r="C3970" t="s">
        <v>3766</v>
      </c>
      <c r="D3970" t="s">
        <v>42</v>
      </c>
      <c r="E3970" t="s">
        <v>43</v>
      </c>
      <c r="F3970" t="s">
        <v>44</v>
      </c>
      <c r="G3970" t="s">
        <v>45</v>
      </c>
      <c r="AH3970" t="s">
        <v>42</v>
      </c>
      <c r="AI3970" t="str">
        <f>"66298924750314"</f>
        <v>66298924750314</v>
      </c>
      <c r="AJ3970" t="str">
        <f>"DB012"</f>
        <v>DB012</v>
      </c>
      <c r="AK3970" t="s">
        <v>46</v>
      </c>
      <c r="AL3970" s="1">
        <v>44816.560729166667</v>
      </c>
      <c r="AM3970" t="s">
        <v>44</v>
      </c>
    </row>
    <row r="3971" spans="1:39" x14ac:dyDescent="0.2">
      <c r="A3971" t="s">
        <v>3770</v>
      </c>
      <c r="B3971" t="s">
        <v>40</v>
      </c>
      <c r="C3971" t="s">
        <v>3766</v>
      </c>
      <c r="D3971" t="s">
        <v>42</v>
      </c>
      <c r="E3971" t="s">
        <v>43</v>
      </c>
      <c r="F3971" t="s">
        <v>44</v>
      </c>
      <c r="G3971" t="s">
        <v>45</v>
      </c>
      <c r="AH3971" t="s">
        <v>42</v>
      </c>
      <c r="AI3971" t="str">
        <f>"66298924788091"</f>
        <v>66298924788091</v>
      </c>
      <c r="AJ3971" t="str">
        <f>"KXN-30206-SJP"</f>
        <v>KXN-30206-SJP</v>
      </c>
      <c r="AK3971" t="s">
        <v>46</v>
      </c>
      <c r="AL3971" s="1">
        <v>44816.560729166667</v>
      </c>
      <c r="AM3971" t="s">
        <v>44</v>
      </c>
    </row>
    <row r="3972" spans="1:39" x14ac:dyDescent="0.2">
      <c r="A3972" t="s">
        <v>3771</v>
      </c>
      <c r="B3972" t="s">
        <v>40</v>
      </c>
      <c r="C3972" t="s">
        <v>3766</v>
      </c>
      <c r="D3972" t="s">
        <v>42</v>
      </c>
      <c r="E3972" t="s">
        <v>43</v>
      </c>
      <c r="F3972" t="s">
        <v>44</v>
      </c>
      <c r="G3972" t="s">
        <v>45</v>
      </c>
      <c r="AH3972" t="s">
        <v>42</v>
      </c>
      <c r="AI3972" t="str">
        <f>"66298924829742"</f>
        <v>66298924829742</v>
      </c>
      <c r="AJ3972" t="str">
        <f>"DB024"</f>
        <v>DB024</v>
      </c>
      <c r="AK3972" t="s">
        <v>46</v>
      </c>
      <c r="AL3972" s="1">
        <v>44816.560740740744</v>
      </c>
      <c r="AM3972" t="s">
        <v>44</v>
      </c>
    </row>
    <row r="3973" spans="1:39" x14ac:dyDescent="0.2">
      <c r="A3973" t="s">
        <v>3772</v>
      </c>
      <c r="B3973" t="s">
        <v>40</v>
      </c>
      <c r="C3973" t="s">
        <v>3766</v>
      </c>
      <c r="D3973" t="s">
        <v>42</v>
      </c>
      <c r="E3973" t="s">
        <v>43</v>
      </c>
      <c r="F3973" t="s">
        <v>44</v>
      </c>
      <c r="G3973" t="s">
        <v>45</v>
      </c>
      <c r="AH3973" t="s">
        <v>42</v>
      </c>
      <c r="AI3973" t="str">
        <f>"66298924872215"</f>
        <v>66298924872215</v>
      </c>
      <c r="AJ3973" t="str">
        <f>"DB037"</f>
        <v>DB037</v>
      </c>
      <c r="AK3973" t="s">
        <v>46</v>
      </c>
      <c r="AL3973" s="1">
        <v>44816.560740740744</v>
      </c>
      <c r="AM3973" t="s">
        <v>44</v>
      </c>
    </row>
    <row r="3974" spans="1:39" x14ac:dyDescent="0.2">
      <c r="A3974" t="s">
        <v>3773</v>
      </c>
      <c r="B3974" t="s">
        <v>40</v>
      </c>
      <c r="C3974" t="s">
        <v>3766</v>
      </c>
      <c r="D3974" t="s">
        <v>42</v>
      </c>
      <c r="E3974" t="s">
        <v>43</v>
      </c>
      <c r="F3974" t="s">
        <v>44</v>
      </c>
      <c r="G3974" t="s">
        <v>45</v>
      </c>
      <c r="AH3974" t="s">
        <v>42</v>
      </c>
      <c r="AI3974" t="str">
        <f>"66298924913185"</f>
        <v>66298924913185</v>
      </c>
      <c r="AJ3974" t="str">
        <f>"06133-KTE-000BR"</f>
        <v>06133-KTE-000BR</v>
      </c>
      <c r="AK3974" t="s">
        <v>46</v>
      </c>
      <c r="AL3974" s="1">
        <v>44816.560752314814</v>
      </c>
      <c r="AM3974" t="s">
        <v>44</v>
      </c>
    </row>
    <row r="3975" spans="1:39" x14ac:dyDescent="0.2">
      <c r="A3975" t="s">
        <v>3774</v>
      </c>
      <c r="B3975" t="s">
        <v>40</v>
      </c>
      <c r="C3975" t="s">
        <v>3766</v>
      </c>
      <c r="D3975" t="s">
        <v>42</v>
      </c>
      <c r="E3975" t="s">
        <v>43</v>
      </c>
      <c r="F3975" t="s">
        <v>44</v>
      </c>
      <c r="G3975" t="s">
        <v>45</v>
      </c>
      <c r="AH3975" t="s">
        <v>42</v>
      </c>
      <c r="AI3975" t="str">
        <f>"66298924954071"</f>
        <v>66298924954071</v>
      </c>
      <c r="AJ3975" t="str">
        <f>"06135-KTE-000BR"</f>
        <v>06135-KTE-000BR</v>
      </c>
      <c r="AK3975" t="s">
        <v>46</v>
      </c>
      <c r="AL3975" s="1">
        <v>44816.560752314814</v>
      </c>
      <c r="AM3975" t="s">
        <v>44</v>
      </c>
    </row>
    <row r="3976" spans="1:39" x14ac:dyDescent="0.2">
      <c r="A3976" t="s">
        <v>3775</v>
      </c>
      <c r="B3976" t="s">
        <v>40</v>
      </c>
      <c r="C3976" t="s">
        <v>3766</v>
      </c>
      <c r="D3976" t="s">
        <v>42</v>
      </c>
      <c r="E3976" t="s">
        <v>43</v>
      </c>
      <c r="F3976" t="s">
        <v>44</v>
      </c>
      <c r="G3976" t="s">
        <v>45</v>
      </c>
      <c r="AH3976" t="s">
        <v>42</v>
      </c>
      <c r="AI3976" t="str">
        <f>"66298924992003"</f>
        <v>66298924992003</v>
      </c>
      <c r="AJ3976" t="str">
        <f>"DB026"</f>
        <v>DB026</v>
      </c>
      <c r="AK3976" t="s">
        <v>46</v>
      </c>
      <c r="AL3976" s="1">
        <v>44816.560752314814</v>
      </c>
      <c r="AM3976" t="s">
        <v>44</v>
      </c>
    </row>
    <row r="3977" spans="1:39" x14ac:dyDescent="0.2">
      <c r="A3977" t="s">
        <v>3776</v>
      </c>
      <c r="B3977" t="s">
        <v>40</v>
      </c>
      <c r="C3977" t="s">
        <v>3766</v>
      </c>
      <c r="D3977" t="s">
        <v>42</v>
      </c>
      <c r="E3977" t="s">
        <v>43</v>
      </c>
      <c r="F3977" t="s">
        <v>44</v>
      </c>
      <c r="G3977" t="s">
        <v>45</v>
      </c>
      <c r="AH3977" t="s">
        <v>42</v>
      </c>
      <c r="AI3977" t="str">
        <f>"66298925033733"</f>
        <v>66298925033733</v>
      </c>
      <c r="AJ3977" t="str">
        <f>"06133-GF6-000JP"</f>
        <v>06133-GF6-000JP</v>
      </c>
      <c r="AK3977" t="s">
        <v>46</v>
      </c>
      <c r="AL3977" s="1">
        <v>44816.560763888891</v>
      </c>
      <c r="AM3977" t="s">
        <v>44</v>
      </c>
    </row>
    <row r="3978" spans="1:39" x14ac:dyDescent="0.2">
      <c r="A3978" t="s">
        <v>3777</v>
      </c>
      <c r="B3978" t="s">
        <v>40</v>
      </c>
      <c r="C3978" t="s">
        <v>3766</v>
      </c>
      <c r="D3978" t="s">
        <v>42</v>
      </c>
      <c r="E3978" t="s">
        <v>43</v>
      </c>
      <c r="F3978" t="s">
        <v>44</v>
      </c>
      <c r="G3978" t="s">
        <v>45</v>
      </c>
      <c r="AH3978" t="s">
        <v>42</v>
      </c>
      <c r="AI3978" t="str">
        <f>"66298925074043"</f>
        <v>66298925074043</v>
      </c>
      <c r="AJ3978" t="str">
        <f>"DB009"</f>
        <v>DB009</v>
      </c>
      <c r="AK3978" t="s">
        <v>46</v>
      </c>
      <c r="AL3978" s="1">
        <v>44816.560763888891</v>
      </c>
      <c r="AM3978" t="s">
        <v>44</v>
      </c>
    </row>
    <row r="3979" spans="1:39" x14ac:dyDescent="0.2">
      <c r="A3979" t="s">
        <v>3778</v>
      </c>
      <c r="B3979" t="s">
        <v>40</v>
      </c>
      <c r="C3979" t="s">
        <v>3766</v>
      </c>
      <c r="D3979" t="s">
        <v>42</v>
      </c>
      <c r="E3979" t="s">
        <v>43</v>
      </c>
      <c r="F3979" t="s">
        <v>44</v>
      </c>
      <c r="G3979" t="s">
        <v>45</v>
      </c>
      <c r="AH3979" t="s">
        <v>42</v>
      </c>
      <c r="AI3979" t="str">
        <f>"66298925114004"</f>
        <v>66298925114004</v>
      </c>
      <c r="AJ3979" t="str">
        <f>"DB010"</f>
        <v>DB010</v>
      </c>
      <c r="AK3979" t="s">
        <v>46</v>
      </c>
      <c r="AL3979" s="1">
        <v>44816.56077546296</v>
      </c>
      <c r="AM3979" t="s">
        <v>44</v>
      </c>
    </row>
    <row r="3980" spans="1:39" x14ac:dyDescent="0.2">
      <c r="A3980" t="s">
        <v>3779</v>
      </c>
      <c r="B3980" t="s">
        <v>40</v>
      </c>
      <c r="C3980" t="s">
        <v>3766</v>
      </c>
      <c r="D3980" t="s">
        <v>42</v>
      </c>
      <c r="E3980" t="s">
        <v>43</v>
      </c>
      <c r="F3980" t="s">
        <v>44</v>
      </c>
      <c r="G3980" t="s">
        <v>45</v>
      </c>
      <c r="AH3980" t="s">
        <v>42</v>
      </c>
      <c r="AI3980" t="str">
        <f>"66298925161140"</f>
        <v>66298925161140</v>
      </c>
      <c r="AJ3980" t="str">
        <f>"81992"</f>
        <v>81992</v>
      </c>
      <c r="AK3980" t="s">
        <v>46</v>
      </c>
      <c r="AL3980" s="1">
        <v>44816.56077546296</v>
      </c>
      <c r="AM3980" t="s">
        <v>44</v>
      </c>
    </row>
    <row r="3981" spans="1:39" x14ac:dyDescent="0.2">
      <c r="A3981" t="s">
        <v>3780</v>
      </c>
      <c r="B3981" t="s">
        <v>40</v>
      </c>
      <c r="C3981" t="s">
        <v>3766</v>
      </c>
      <c r="D3981" t="s">
        <v>42</v>
      </c>
      <c r="E3981" t="s">
        <v>43</v>
      </c>
      <c r="F3981" t="s">
        <v>44</v>
      </c>
      <c r="G3981" t="s">
        <v>45</v>
      </c>
      <c r="AH3981" t="s">
        <v>42</v>
      </c>
      <c r="AI3981" t="str">
        <f>"66298925200962"</f>
        <v>66298925200962</v>
      </c>
      <c r="AJ3981" t="str">
        <f>"KSM-30206-050JP"</f>
        <v>KSM-30206-050JP</v>
      </c>
      <c r="AK3981" t="s">
        <v>46</v>
      </c>
      <c r="AL3981" s="1">
        <v>44816.560787037037</v>
      </c>
      <c r="AM3981" t="s">
        <v>44</v>
      </c>
    </row>
    <row r="3982" spans="1:39" x14ac:dyDescent="0.2">
      <c r="A3982" t="s">
        <v>3781</v>
      </c>
      <c r="B3982" t="s">
        <v>40</v>
      </c>
      <c r="C3982" t="s">
        <v>3766</v>
      </c>
      <c r="D3982" t="s">
        <v>42</v>
      </c>
      <c r="E3982" t="s">
        <v>43</v>
      </c>
      <c r="F3982" t="s">
        <v>44</v>
      </c>
      <c r="G3982" t="s">
        <v>45</v>
      </c>
      <c r="AH3982" t="s">
        <v>42</v>
      </c>
      <c r="AI3982" t="str">
        <f>"66298925242494"</f>
        <v>66298925242494</v>
      </c>
      <c r="AJ3982" t="str">
        <f>"KSM-30206-100JP"</f>
        <v>KSM-30206-100JP</v>
      </c>
      <c r="AK3982" t="s">
        <v>46</v>
      </c>
      <c r="AL3982" s="1">
        <v>44816.560787037037</v>
      </c>
      <c r="AM3982" t="s">
        <v>44</v>
      </c>
    </row>
    <row r="3983" spans="1:39" x14ac:dyDescent="0.2">
      <c r="A3983" t="s">
        <v>3782</v>
      </c>
      <c r="B3983" t="s">
        <v>40</v>
      </c>
      <c r="C3983" t="s">
        <v>3766</v>
      </c>
      <c r="D3983" t="s">
        <v>42</v>
      </c>
      <c r="E3983" t="s">
        <v>43</v>
      </c>
      <c r="F3983" t="s">
        <v>44</v>
      </c>
      <c r="G3983" t="s">
        <v>45</v>
      </c>
      <c r="AH3983" t="s">
        <v>42</v>
      </c>
      <c r="AI3983" t="str">
        <f>"66298925283829"</f>
        <v>66298925283829</v>
      </c>
      <c r="AJ3983" t="str">
        <f>"2A7-11630-20JP"</f>
        <v>2A7-11630-20JP</v>
      </c>
      <c r="AK3983" t="s">
        <v>46</v>
      </c>
      <c r="AL3983" s="1">
        <v>44816.560787037037</v>
      </c>
      <c r="AM3983" t="s">
        <v>44</v>
      </c>
    </row>
    <row r="3984" spans="1:39" x14ac:dyDescent="0.2">
      <c r="A3984" t="s">
        <v>3783</v>
      </c>
      <c r="B3984" t="s">
        <v>40</v>
      </c>
      <c r="C3984" t="s">
        <v>3766</v>
      </c>
      <c r="D3984" t="s">
        <v>42</v>
      </c>
      <c r="E3984" t="s">
        <v>43</v>
      </c>
      <c r="F3984" t="s">
        <v>44</v>
      </c>
      <c r="G3984" t="s">
        <v>45</v>
      </c>
      <c r="AH3984" t="s">
        <v>42</v>
      </c>
      <c r="AI3984" t="str">
        <f>"66298925325830"</f>
        <v>66298925325830</v>
      </c>
      <c r="AJ3984" t="str">
        <f>"2A7-11630-40JP"</f>
        <v>2A7-11630-40JP</v>
      </c>
      <c r="AK3984" t="s">
        <v>46</v>
      </c>
      <c r="AL3984" s="1">
        <v>44816.560798611114</v>
      </c>
      <c r="AM3984" t="s">
        <v>44</v>
      </c>
    </row>
    <row r="3985" spans="1:39" x14ac:dyDescent="0.2">
      <c r="A3985" t="s">
        <v>3784</v>
      </c>
      <c r="B3985" t="s">
        <v>40</v>
      </c>
      <c r="C3985" t="s">
        <v>3766</v>
      </c>
      <c r="D3985" t="s">
        <v>42</v>
      </c>
      <c r="E3985" t="s">
        <v>43</v>
      </c>
      <c r="F3985" t="s">
        <v>44</v>
      </c>
      <c r="G3985" t="s">
        <v>45</v>
      </c>
      <c r="AH3985" t="s">
        <v>42</v>
      </c>
      <c r="AI3985" t="str">
        <f>"10630"</f>
        <v>10630</v>
      </c>
      <c r="AJ3985" t="str">
        <f>"10630"</f>
        <v>10630</v>
      </c>
      <c r="AK3985" t="s">
        <v>46</v>
      </c>
      <c r="AL3985" s="1">
        <v>44897.605543981481</v>
      </c>
      <c r="AM3985" t="s">
        <v>44</v>
      </c>
    </row>
    <row r="3986" spans="1:39" x14ac:dyDescent="0.2">
      <c r="A3986" t="s">
        <v>3785</v>
      </c>
      <c r="B3986" t="s">
        <v>40</v>
      </c>
      <c r="C3986" t="s">
        <v>3766</v>
      </c>
      <c r="D3986" t="s">
        <v>42</v>
      </c>
      <c r="E3986" t="s">
        <v>43</v>
      </c>
      <c r="F3986" t="s">
        <v>44</v>
      </c>
      <c r="G3986" t="s">
        <v>45</v>
      </c>
      <c r="AH3986" t="s">
        <v>42</v>
      </c>
      <c r="AI3986" t="str">
        <f>"66298925364574"</f>
        <v>66298925364574</v>
      </c>
      <c r="AJ3986" t="str">
        <f>"DB006"</f>
        <v>DB006</v>
      </c>
      <c r="AK3986" t="s">
        <v>46</v>
      </c>
      <c r="AL3986" s="1">
        <v>44816.560798611114</v>
      </c>
      <c r="AM3986" t="s">
        <v>44</v>
      </c>
    </row>
    <row r="3987" spans="1:39" x14ac:dyDescent="0.2">
      <c r="A3987" t="s">
        <v>3786</v>
      </c>
      <c r="B3987" t="s">
        <v>40</v>
      </c>
      <c r="C3987" t="s">
        <v>3766</v>
      </c>
      <c r="D3987" t="s">
        <v>42</v>
      </c>
      <c r="E3987" t="s">
        <v>43</v>
      </c>
      <c r="F3987" t="s">
        <v>44</v>
      </c>
      <c r="G3987" t="s">
        <v>45</v>
      </c>
      <c r="AH3987" t="s">
        <v>42</v>
      </c>
      <c r="AI3987" t="str">
        <f>"66298925401811"</f>
        <v>66298925401811</v>
      </c>
      <c r="AJ3987" t="str">
        <f>"DB007"</f>
        <v>DB007</v>
      </c>
      <c r="AK3987" t="s">
        <v>46</v>
      </c>
      <c r="AL3987" s="1">
        <v>44816.560810185183</v>
      </c>
      <c r="AM3987" t="s">
        <v>44</v>
      </c>
    </row>
    <row r="3988" spans="1:39" x14ac:dyDescent="0.2">
      <c r="A3988" t="s">
        <v>3787</v>
      </c>
      <c r="B3988" t="s">
        <v>40</v>
      </c>
      <c r="C3988" t="s">
        <v>3766</v>
      </c>
      <c r="D3988" t="s">
        <v>42</v>
      </c>
      <c r="E3988" t="s">
        <v>43</v>
      </c>
      <c r="F3988" t="s">
        <v>44</v>
      </c>
      <c r="G3988" t="s">
        <v>45</v>
      </c>
      <c r="AH3988" t="s">
        <v>42</v>
      </c>
      <c r="AI3988" t="str">
        <f>"66298925443180"</f>
        <v>66298925443180</v>
      </c>
      <c r="AJ3988" t="str">
        <f>"DB001"</f>
        <v>DB001</v>
      </c>
      <c r="AK3988" t="s">
        <v>46</v>
      </c>
      <c r="AL3988" s="1">
        <v>44816.560810185183</v>
      </c>
      <c r="AM3988" t="s">
        <v>44</v>
      </c>
    </row>
    <row r="3989" spans="1:39" x14ac:dyDescent="0.2">
      <c r="A3989" t="s">
        <v>3788</v>
      </c>
      <c r="B3989" t="s">
        <v>40</v>
      </c>
      <c r="C3989" t="s">
        <v>3766</v>
      </c>
      <c r="D3989" t="s">
        <v>42</v>
      </c>
      <c r="E3989" t="s">
        <v>43</v>
      </c>
      <c r="F3989" t="s">
        <v>44</v>
      </c>
      <c r="G3989" t="s">
        <v>45</v>
      </c>
      <c r="AH3989" t="s">
        <v>42</v>
      </c>
      <c r="AI3989" t="str">
        <f>"66298925485162"</f>
        <v>66298925485162</v>
      </c>
      <c r="AJ3989" t="str">
        <f>"DB002"</f>
        <v>DB002</v>
      </c>
      <c r="AK3989" t="s">
        <v>46</v>
      </c>
      <c r="AL3989" s="1">
        <v>44816.560810185183</v>
      </c>
      <c r="AM3989" t="s">
        <v>44</v>
      </c>
    </row>
    <row r="3990" spans="1:39" x14ac:dyDescent="0.2">
      <c r="A3990" t="s">
        <v>3789</v>
      </c>
      <c r="B3990" t="s">
        <v>40</v>
      </c>
      <c r="C3990" t="s">
        <v>3766</v>
      </c>
      <c r="D3990" t="s">
        <v>42</v>
      </c>
      <c r="E3990" t="s">
        <v>43</v>
      </c>
      <c r="F3990" t="s">
        <v>44</v>
      </c>
      <c r="G3990" t="s">
        <v>45</v>
      </c>
      <c r="AH3990" t="s">
        <v>42</v>
      </c>
      <c r="AI3990" t="str">
        <f>"12111-42A10-100JP"</f>
        <v>12111-42A10-100JP</v>
      </c>
      <c r="AJ3990" t="str">
        <f>"12111-42A10-100JP"</f>
        <v>12111-42A10-100JP</v>
      </c>
      <c r="AK3990" t="s">
        <v>46</v>
      </c>
      <c r="AL3990" s="1">
        <v>44902.773460648146</v>
      </c>
      <c r="AM3990" t="s">
        <v>44</v>
      </c>
    </row>
    <row r="3991" spans="1:39" x14ac:dyDescent="0.2">
      <c r="A3991" t="s">
        <v>3790</v>
      </c>
      <c r="B3991" t="s">
        <v>40</v>
      </c>
      <c r="C3991" t="s">
        <v>3766</v>
      </c>
      <c r="D3991" t="s">
        <v>42</v>
      </c>
      <c r="E3991" t="s">
        <v>43</v>
      </c>
      <c r="F3991" t="s">
        <v>44</v>
      </c>
      <c r="G3991" t="s">
        <v>45</v>
      </c>
      <c r="AH3991" t="s">
        <v>42</v>
      </c>
      <c r="AI3991" t="str">
        <f>"66298925523570"</f>
        <v>66298925523570</v>
      </c>
      <c r="AJ3991" t="str">
        <f>"80281"</f>
        <v>80281</v>
      </c>
      <c r="AK3991" t="s">
        <v>46</v>
      </c>
      <c r="AL3991" s="1">
        <v>44816.56082175926</v>
      </c>
      <c r="AM3991" t="s">
        <v>44</v>
      </c>
    </row>
    <row r="3992" spans="1:39" x14ac:dyDescent="0.2">
      <c r="A3992" t="s">
        <v>3791</v>
      </c>
      <c r="B3992" t="s">
        <v>40</v>
      </c>
      <c r="C3992" t="s">
        <v>3766</v>
      </c>
      <c r="D3992" t="s">
        <v>42</v>
      </c>
      <c r="E3992" t="s">
        <v>43</v>
      </c>
      <c r="F3992" t="s">
        <v>44</v>
      </c>
      <c r="G3992" t="s">
        <v>45</v>
      </c>
      <c r="AH3992" t="s">
        <v>42</v>
      </c>
      <c r="AI3992" t="str">
        <f>"66298925567647"</f>
        <v>66298925567647</v>
      </c>
      <c r="AJ3992" t="str">
        <f>"80282"</f>
        <v>80282</v>
      </c>
      <c r="AK3992" t="s">
        <v>46</v>
      </c>
      <c r="AL3992" s="1">
        <v>44816.56082175926</v>
      </c>
      <c r="AM3992" t="s">
        <v>44</v>
      </c>
    </row>
    <row r="3993" spans="1:39" x14ac:dyDescent="0.2">
      <c r="A3993" t="s">
        <v>3792</v>
      </c>
      <c r="B3993" t="s">
        <v>40</v>
      </c>
      <c r="C3993" t="s">
        <v>3766</v>
      </c>
      <c r="D3993" t="s">
        <v>42</v>
      </c>
      <c r="E3993" t="s">
        <v>43</v>
      </c>
      <c r="F3993" t="s">
        <v>44</v>
      </c>
      <c r="G3993" t="s">
        <v>45</v>
      </c>
      <c r="AH3993" t="s">
        <v>42</v>
      </c>
      <c r="AI3993" t="str">
        <f>"66298925610233"</f>
        <v>66298925610233</v>
      </c>
      <c r="AJ3993" t="str">
        <f>"31-1010-13-050"</f>
        <v>31-1010-13-050</v>
      </c>
      <c r="AK3993" t="s">
        <v>46</v>
      </c>
      <c r="AL3993" s="1">
        <v>44816.560833333337</v>
      </c>
      <c r="AM3993" t="s">
        <v>44</v>
      </c>
    </row>
    <row r="3994" spans="1:39" x14ac:dyDescent="0.2">
      <c r="A3994" t="s">
        <v>3793</v>
      </c>
      <c r="B3994" t="s">
        <v>40</v>
      </c>
      <c r="C3994" t="s">
        <v>3766</v>
      </c>
      <c r="D3994" t="s">
        <v>42</v>
      </c>
      <c r="E3994" t="s">
        <v>43</v>
      </c>
      <c r="F3994" t="s">
        <v>44</v>
      </c>
      <c r="G3994" t="s">
        <v>45</v>
      </c>
      <c r="AH3994" t="s">
        <v>42</v>
      </c>
      <c r="AI3994" t="str">
        <f>"66298925647658"</f>
        <v>66298925647658</v>
      </c>
      <c r="AJ3994" t="str">
        <f>"31-1010-13-100"</f>
        <v>31-1010-13-100</v>
      </c>
      <c r="AK3994" t="s">
        <v>46</v>
      </c>
      <c r="AL3994" s="1">
        <v>44816.560833333337</v>
      </c>
      <c r="AM3994" t="s">
        <v>44</v>
      </c>
    </row>
    <row r="3995" spans="1:39" x14ac:dyDescent="0.2">
      <c r="A3995" t="s">
        <v>3794</v>
      </c>
      <c r="B3995" t="s">
        <v>40</v>
      </c>
      <c r="C3995" t="s">
        <v>3766</v>
      </c>
      <c r="D3995" t="s">
        <v>42</v>
      </c>
      <c r="E3995" t="s">
        <v>43</v>
      </c>
      <c r="F3995" t="s">
        <v>44</v>
      </c>
      <c r="G3995" t="s">
        <v>45</v>
      </c>
      <c r="AH3995" t="s">
        <v>42</v>
      </c>
      <c r="AI3995" t="str">
        <f>"66298925688493"</f>
        <v>66298925688493</v>
      </c>
      <c r="AJ3995" t="str">
        <f>"31-1010-13-STD"</f>
        <v>31-1010-13-STD</v>
      </c>
      <c r="AK3995" t="s">
        <v>46</v>
      </c>
      <c r="AL3995" s="1">
        <v>44816.560833333337</v>
      </c>
      <c r="AM3995" t="s">
        <v>44</v>
      </c>
    </row>
    <row r="3996" spans="1:39" x14ac:dyDescent="0.2">
      <c r="A3996" t="s">
        <v>3795</v>
      </c>
      <c r="B3996" t="s">
        <v>40</v>
      </c>
      <c r="C3996" t="s">
        <v>3766</v>
      </c>
      <c r="D3996" t="s">
        <v>42</v>
      </c>
      <c r="E3996" t="s">
        <v>43</v>
      </c>
      <c r="F3996" t="s">
        <v>44</v>
      </c>
      <c r="G3996" t="s">
        <v>45</v>
      </c>
      <c r="AH3996" t="s">
        <v>42</v>
      </c>
      <c r="AI3996" t="str">
        <f>"66298925728977"</f>
        <v>66298925728977</v>
      </c>
      <c r="AJ3996" t="str">
        <f>"JC-1010-12-050JP"</f>
        <v>JC-1010-12-050JP</v>
      </c>
      <c r="AK3996" t="s">
        <v>46</v>
      </c>
      <c r="AL3996" s="1">
        <v>44816.560844907406</v>
      </c>
      <c r="AM3996" t="s">
        <v>44</v>
      </c>
    </row>
    <row r="3997" spans="1:39" x14ac:dyDescent="0.2">
      <c r="A3997" t="s">
        <v>3796</v>
      </c>
      <c r="B3997" t="s">
        <v>40</v>
      </c>
      <c r="C3997" t="s">
        <v>3766</v>
      </c>
      <c r="D3997" t="s">
        <v>42</v>
      </c>
      <c r="E3997" t="s">
        <v>43</v>
      </c>
      <c r="F3997" t="s">
        <v>44</v>
      </c>
      <c r="G3997" t="s">
        <v>45</v>
      </c>
      <c r="AH3997" t="s">
        <v>42</v>
      </c>
      <c r="AI3997" t="str">
        <f>"66298925770760"</f>
        <v>66298925770760</v>
      </c>
      <c r="AJ3997" t="str">
        <f>"JC-1010-12-100JP"</f>
        <v>JC-1010-12-100JP</v>
      </c>
      <c r="AK3997" t="s">
        <v>46</v>
      </c>
      <c r="AL3997" s="1">
        <v>44816.560844907406</v>
      </c>
      <c r="AM3997" t="s">
        <v>44</v>
      </c>
    </row>
    <row r="3998" spans="1:39" x14ac:dyDescent="0.2">
      <c r="A3998" t="s">
        <v>3797</v>
      </c>
      <c r="B3998" t="s">
        <v>40</v>
      </c>
      <c r="C3998" t="s">
        <v>3766</v>
      </c>
      <c r="D3998" t="s">
        <v>42</v>
      </c>
      <c r="E3998" t="s">
        <v>43</v>
      </c>
      <c r="F3998" t="s">
        <v>44</v>
      </c>
      <c r="G3998" t="s">
        <v>45</v>
      </c>
      <c r="AH3998" t="s">
        <v>42</v>
      </c>
      <c r="AI3998" t="str">
        <f>"66298925810509"</f>
        <v>66298925810509</v>
      </c>
      <c r="AJ3998" t="str">
        <f>"DK-1010-92-050JP"</f>
        <v>DK-1010-92-050JP</v>
      </c>
      <c r="AK3998" t="s">
        <v>46</v>
      </c>
      <c r="AL3998" s="1">
        <v>44816.560856481483</v>
      </c>
      <c r="AM3998" t="s">
        <v>44</v>
      </c>
    </row>
    <row r="3999" spans="1:39" x14ac:dyDescent="0.2">
      <c r="A3999" t="s">
        <v>3798</v>
      </c>
      <c r="B3999" t="s">
        <v>40</v>
      </c>
      <c r="C3999" t="s">
        <v>3766</v>
      </c>
      <c r="D3999" t="s">
        <v>42</v>
      </c>
      <c r="E3999" t="s">
        <v>43</v>
      </c>
      <c r="F3999" t="s">
        <v>44</v>
      </c>
      <c r="G3999" t="s">
        <v>45</v>
      </c>
      <c r="AH3999" t="s">
        <v>42</v>
      </c>
      <c r="AI3999" t="str">
        <f>"66298925848337"</f>
        <v>66298925848337</v>
      </c>
      <c r="AJ3999" t="str">
        <f>"82320"</f>
        <v>82320</v>
      </c>
      <c r="AK3999" t="s">
        <v>46</v>
      </c>
      <c r="AL3999" s="1">
        <v>44816.560856481483</v>
      </c>
      <c r="AM3999" t="s">
        <v>44</v>
      </c>
    </row>
    <row r="4000" spans="1:39" x14ac:dyDescent="0.2">
      <c r="A4000" t="s">
        <v>3799</v>
      </c>
      <c r="B4000" t="s">
        <v>40</v>
      </c>
      <c r="C4000" t="s">
        <v>3766</v>
      </c>
      <c r="D4000" t="s">
        <v>42</v>
      </c>
      <c r="E4000" t="s">
        <v>43</v>
      </c>
      <c r="F4000" t="s">
        <v>44</v>
      </c>
      <c r="G4000" t="s">
        <v>45</v>
      </c>
      <c r="AH4000" t="s">
        <v>42</v>
      </c>
      <c r="AI4000" t="str">
        <f>"66298925889689"</f>
        <v>66298925889689</v>
      </c>
      <c r="AJ4000" t="str">
        <f>"82321"</f>
        <v>82321</v>
      </c>
      <c r="AK4000" t="s">
        <v>46</v>
      </c>
      <c r="AL4000" s="1">
        <v>44816.560856481483</v>
      </c>
      <c r="AM4000" t="s">
        <v>44</v>
      </c>
    </row>
    <row r="4001" spans="1:39" x14ac:dyDescent="0.2">
      <c r="A4001" t="s">
        <v>3799</v>
      </c>
      <c r="B4001" t="s">
        <v>40</v>
      </c>
      <c r="C4001" t="s">
        <v>3766</v>
      </c>
      <c r="D4001" t="s">
        <v>42</v>
      </c>
      <c r="E4001" t="s">
        <v>43</v>
      </c>
      <c r="F4001" t="s">
        <v>44</v>
      </c>
      <c r="G4001" t="s">
        <v>45</v>
      </c>
      <c r="AH4001" t="s">
        <v>42</v>
      </c>
      <c r="AI4001" t="str">
        <f>"66298925897683"</f>
        <v>66298925897683</v>
      </c>
      <c r="AJ4001" t="str">
        <f>"DB034"</f>
        <v>DB034</v>
      </c>
      <c r="AK4001" t="s">
        <v>46</v>
      </c>
      <c r="AL4001" s="1">
        <v>44816.560856481483</v>
      </c>
      <c r="AM4001" t="s">
        <v>44</v>
      </c>
    </row>
    <row r="4002" spans="1:39" x14ac:dyDescent="0.2">
      <c r="A4002" t="s">
        <v>3800</v>
      </c>
      <c r="B4002" t="s">
        <v>40</v>
      </c>
      <c r="C4002" t="s">
        <v>3766</v>
      </c>
      <c r="D4002" t="s">
        <v>42</v>
      </c>
      <c r="E4002" t="s">
        <v>43</v>
      </c>
      <c r="F4002" t="s">
        <v>44</v>
      </c>
      <c r="G4002" t="s">
        <v>45</v>
      </c>
      <c r="AH4002" t="s">
        <v>42</v>
      </c>
      <c r="AI4002" t="str">
        <f>"66298925948899"</f>
        <v>66298925948899</v>
      </c>
      <c r="AJ4002" t="str">
        <f>"13101-KFB7-050JP"</f>
        <v>13101-KFB7-050JP</v>
      </c>
      <c r="AK4002" t="s">
        <v>46</v>
      </c>
      <c r="AL4002" s="1">
        <v>44816.560868055552</v>
      </c>
      <c r="AM4002" t="s">
        <v>44</v>
      </c>
    </row>
    <row r="4003" spans="1:39" x14ac:dyDescent="0.2">
      <c r="A4003" t="s">
        <v>3801</v>
      </c>
      <c r="B4003" t="s">
        <v>40</v>
      </c>
      <c r="C4003" t="s">
        <v>3766</v>
      </c>
      <c r="D4003" t="s">
        <v>42</v>
      </c>
      <c r="E4003" t="s">
        <v>43</v>
      </c>
      <c r="F4003" t="s">
        <v>44</v>
      </c>
      <c r="G4003" t="s">
        <v>45</v>
      </c>
      <c r="AH4003" t="s">
        <v>42</v>
      </c>
      <c r="AI4003" t="str">
        <f>"66298925986897"</f>
        <v>66298925986897</v>
      </c>
      <c r="AJ4003" t="str">
        <f>"13101-KFB7-100JP"</f>
        <v>13101-KFB7-100JP</v>
      </c>
      <c r="AK4003" t="s">
        <v>46</v>
      </c>
      <c r="AL4003" s="1">
        <v>44816.560868055552</v>
      </c>
      <c r="AM4003" t="s">
        <v>44</v>
      </c>
    </row>
    <row r="4004" spans="1:39" x14ac:dyDescent="0.2">
      <c r="A4004" t="s">
        <v>3802</v>
      </c>
      <c r="B4004" t="s">
        <v>40</v>
      </c>
      <c r="C4004" t="s">
        <v>3766</v>
      </c>
      <c r="D4004" t="s">
        <v>42</v>
      </c>
      <c r="E4004" t="s">
        <v>43</v>
      </c>
      <c r="F4004" t="s">
        <v>44</v>
      </c>
      <c r="G4004" t="s">
        <v>45</v>
      </c>
      <c r="AH4004" t="s">
        <v>42</v>
      </c>
      <c r="AI4004" t="str">
        <f>"66298926027176"</f>
        <v>66298926027176</v>
      </c>
      <c r="AJ4004" t="str">
        <f>"619-100"</f>
        <v>619-100</v>
      </c>
      <c r="AK4004" t="s">
        <v>46</v>
      </c>
      <c r="AL4004" s="1">
        <v>44816.560879629629</v>
      </c>
      <c r="AM4004" t="s">
        <v>44</v>
      </c>
    </row>
    <row r="4005" spans="1:39" x14ac:dyDescent="0.2">
      <c r="A4005" t="s">
        <v>3803</v>
      </c>
      <c r="B4005" t="s">
        <v>40</v>
      </c>
      <c r="C4005" t="s">
        <v>3766</v>
      </c>
      <c r="D4005" t="s">
        <v>42</v>
      </c>
      <c r="E4005" t="s">
        <v>43</v>
      </c>
      <c r="F4005" t="s">
        <v>44</v>
      </c>
      <c r="G4005" t="s">
        <v>45</v>
      </c>
      <c r="AH4005" t="s">
        <v>42</v>
      </c>
      <c r="AI4005" t="str">
        <f>"66298926067800"</f>
        <v>66298926067800</v>
      </c>
      <c r="AJ4005" t="str">
        <f>"619-STD"</f>
        <v>619-STD</v>
      </c>
      <c r="AK4005" t="s">
        <v>46</v>
      </c>
      <c r="AL4005" s="1">
        <v>44816.560879629629</v>
      </c>
      <c r="AM4005" t="s">
        <v>44</v>
      </c>
    </row>
    <row r="4006" spans="1:39" x14ac:dyDescent="0.2">
      <c r="A4006" t="s">
        <v>3804</v>
      </c>
      <c r="B4006" t="s">
        <v>40</v>
      </c>
      <c r="C4006" t="s">
        <v>3766</v>
      </c>
      <c r="D4006" t="s">
        <v>42</v>
      </c>
      <c r="E4006" t="s">
        <v>43</v>
      </c>
      <c r="F4006" t="s">
        <v>44</v>
      </c>
      <c r="G4006" t="s">
        <v>45</v>
      </c>
      <c r="AH4006" t="s">
        <v>42</v>
      </c>
      <c r="AI4006" t="str">
        <f>"66298926107226"</f>
        <v>66298926107226</v>
      </c>
      <c r="AJ4006" t="str">
        <f>"06133-KVC-900JP"</f>
        <v>06133-KVC-900JP</v>
      </c>
      <c r="AK4006" t="s">
        <v>46</v>
      </c>
      <c r="AL4006" s="1">
        <v>44816.560891203706</v>
      </c>
      <c r="AM4006" t="s">
        <v>44</v>
      </c>
    </row>
    <row r="4007" spans="1:39" x14ac:dyDescent="0.2">
      <c r="A4007" t="s">
        <v>3805</v>
      </c>
      <c r="B4007" t="s">
        <v>40</v>
      </c>
      <c r="C4007" t="s">
        <v>3766</v>
      </c>
      <c r="D4007" t="s">
        <v>42</v>
      </c>
      <c r="E4007" t="s">
        <v>43</v>
      </c>
      <c r="F4007" t="s">
        <v>44</v>
      </c>
      <c r="G4007" t="s">
        <v>45</v>
      </c>
      <c r="AH4007" t="s">
        <v>42</v>
      </c>
      <c r="AI4007" t="str">
        <f>"66298926145573"</f>
        <v>66298926145573</v>
      </c>
      <c r="AJ4007" t="str">
        <f>"DB036"</f>
        <v>DB036</v>
      </c>
      <c r="AK4007" t="s">
        <v>46</v>
      </c>
      <c r="AL4007" s="1">
        <v>44816.560891203706</v>
      </c>
      <c r="AM4007" t="s">
        <v>44</v>
      </c>
    </row>
    <row r="4008" spans="1:39" x14ac:dyDescent="0.2">
      <c r="A4008" t="s">
        <v>3806</v>
      </c>
      <c r="B4008" t="s">
        <v>40</v>
      </c>
      <c r="C4008" t="s">
        <v>3766</v>
      </c>
      <c r="D4008" t="s">
        <v>42</v>
      </c>
      <c r="E4008" t="s">
        <v>43</v>
      </c>
      <c r="F4008" t="s">
        <v>44</v>
      </c>
      <c r="G4008" t="s">
        <v>45</v>
      </c>
      <c r="AH4008" t="s">
        <v>42</v>
      </c>
      <c r="AI4008" t="str">
        <f>"66298926187929"</f>
        <v>66298926187929</v>
      </c>
      <c r="AJ4008" t="str">
        <f>"DB035"</f>
        <v>DB035</v>
      </c>
      <c r="AK4008" t="s">
        <v>46</v>
      </c>
      <c r="AL4008" s="1">
        <v>44816.560891203706</v>
      </c>
      <c r="AM4008" t="s">
        <v>44</v>
      </c>
    </row>
    <row r="4009" spans="1:39" x14ac:dyDescent="0.2">
      <c r="A4009" t="s">
        <v>3807</v>
      </c>
      <c r="B4009" t="s">
        <v>40</v>
      </c>
      <c r="C4009" t="s">
        <v>3766</v>
      </c>
      <c r="D4009" t="s">
        <v>42</v>
      </c>
      <c r="E4009" t="s">
        <v>43</v>
      </c>
      <c r="F4009" t="s">
        <v>44</v>
      </c>
      <c r="G4009" t="s">
        <v>45</v>
      </c>
      <c r="AH4009" t="s">
        <v>42</v>
      </c>
      <c r="AI4009" t="str">
        <f>"66298926234767"</f>
        <v>66298926234767</v>
      </c>
      <c r="AJ4009" t="str">
        <f>"06135-KGA-B00JP"</f>
        <v>06135-KGA-B00JP</v>
      </c>
      <c r="AK4009" t="s">
        <v>46</v>
      </c>
      <c r="AL4009" s="1">
        <v>44816.560902777775</v>
      </c>
      <c r="AM4009" t="s">
        <v>44</v>
      </c>
    </row>
    <row r="4010" spans="1:39" x14ac:dyDescent="0.2">
      <c r="A4010" t="s">
        <v>3808</v>
      </c>
      <c r="B4010" t="s">
        <v>40</v>
      </c>
      <c r="C4010" t="s">
        <v>3766</v>
      </c>
      <c r="D4010" t="s">
        <v>42</v>
      </c>
      <c r="E4010" t="s">
        <v>43</v>
      </c>
      <c r="F4010" t="s">
        <v>44</v>
      </c>
      <c r="G4010" t="s">
        <v>45</v>
      </c>
      <c r="AH4010" t="s">
        <v>42</v>
      </c>
      <c r="AI4010" t="str">
        <f>"66298926270952"</f>
        <v>66298926270952</v>
      </c>
      <c r="AJ4010" t="str">
        <f>"80279"</f>
        <v>80279</v>
      </c>
      <c r="AK4010" t="s">
        <v>46</v>
      </c>
      <c r="AL4010" s="1">
        <v>44816.560902777775</v>
      </c>
      <c r="AM4010" t="s">
        <v>44</v>
      </c>
    </row>
    <row r="4011" spans="1:39" x14ac:dyDescent="0.2">
      <c r="A4011" t="s">
        <v>3809</v>
      </c>
      <c r="B4011" t="s">
        <v>40</v>
      </c>
      <c r="C4011" t="s">
        <v>3766</v>
      </c>
      <c r="D4011" t="s">
        <v>42</v>
      </c>
      <c r="E4011" t="s">
        <v>43</v>
      </c>
      <c r="F4011" t="s">
        <v>44</v>
      </c>
      <c r="G4011" t="s">
        <v>45</v>
      </c>
      <c r="AH4011" t="s">
        <v>42</v>
      </c>
      <c r="AI4011" t="str">
        <f>"66298926311005"</f>
        <v>66298926311005</v>
      </c>
      <c r="AJ4011" t="str">
        <f>"06133-KT1-315JP"</f>
        <v>06133-KT1-315JP</v>
      </c>
      <c r="AK4011" t="s">
        <v>46</v>
      </c>
      <c r="AL4011" s="1">
        <v>44816.560914351852</v>
      </c>
      <c r="AM4011" t="s">
        <v>44</v>
      </c>
    </row>
    <row r="4012" spans="1:39" x14ac:dyDescent="0.2">
      <c r="A4012" t="s">
        <v>3810</v>
      </c>
      <c r="B4012" t="s">
        <v>40</v>
      </c>
      <c r="C4012" t="s">
        <v>3766</v>
      </c>
      <c r="D4012" t="s">
        <v>42</v>
      </c>
      <c r="E4012" t="s">
        <v>43</v>
      </c>
      <c r="F4012" t="s">
        <v>44</v>
      </c>
      <c r="G4012" t="s">
        <v>45</v>
      </c>
      <c r="AH4012" t="s">
        <v>42</v>
      </c>
      <c r="AI4012" t="str">
        <f>"66298926353882"</f>
        <v>66298926353882</v>
      </c>
      <c r="AJ4012" t="str">
        <f>"06135-KT1-315JP"</f>
        <v>06135-KT1-315JP</v>
      </c>
      <c r="AK4012" t="s">
        <v>46</v>
      </c>
      <c r="AL4012" s="1">
        <v>44816.560914351852</v>
      </c>
      <c r="AM4012" t="s">
        <v>44</v>
      </c>
    </row>
    <row r="4013" spans="1:39" x14ac:dyDescent="0.2">
      <c r="A4013" t="s">
        <v>3811</v>
      </c>
      <c r="B4013" t="s">
        <v>40</v>
      </c>
      <c r="C4013" t="s">
        <v>3766</v>
      </c>
      <c r="D4013" t="s">
        <v>42</v>
      </c>
      <c r="E4013" t="s">
        <v>43</v>
      </c>
      <c r="F4013" t="s">
        <v>44</v>
      </c>
      <c r="G4013" t="s">
        <v>45</v>
      </c>
      <c r="AH4013" t="s">
        <v>42</v>
      </c>
      <c r="AI4013" t="str">
        <f>"66298926400164"</f>
        <v>66298926400164</v>
      </c>
      <c r="AJ4013" t="str">
        <f>"06131-KT1-013JP"</f>
        <v>06131-KT1-013JP</v>
      </c>
      <c r="AK4013" t="s">
        <v>46</v>
      </c>
      <c r="AL4013" s="1">
        <v>44816.560925925929</v>
      </c>
      <c r="AM4013" t="s">
        <v>44</v>
      </c>
    </row>
    <row r="4014" spans="1:39" x14ac:dyDescent="0.2">
      <c r="A4014" t="s">
        <v>3812</v>
      </c>
      <c r="B4014" t="s">
        <v>40</v>
      </c>
      <c r="C4014" t="s">
        <v>3766</v>
      </c>
      <c r="D4014" t="s">
        <v>42</v>
      </c>
      <c r="E4014" t="s">
        <v>43</v>
      </c>
      <c r="F4014" t="s">
        <v>44</v>
      </c>
      <c r="G4014" t="s">
        <v>45</v>
      </c>
      <c r="AH4014" t="s">
        <v>42</v>
      </c>
      <c r="AI4014" t="str">
        <f>"66298926439435"</f>
        <v>66298926439435</v>
      </c>
      <c r="AJ4014" t="str">
        <f>"DB022"</f>
        <v>DB022</v>
      </c>
      <c r="AK4014" t="s">
        <v>46</v>
      </c>
      <c r="AL4014" s="1">
        <v>44816.560925925929</v>
      </c>
      <c r="AM4014" t="s">
        <v>44</v>
      </c>
    </row>
    <row r="4015" spans="1:39" x14ac:dyDescent="0.2">
      <c r="A4015" t="s">
        <v>3813</v>
      </c>
      <c r="B4015" t="s">
        <v>40</v>
      </c>
      <c r="C4015" t="s">
        <v>3766</v>
      </c>
      <c r="D4015" t="s">
        <v>42</v>
      </c>
      <c r="E4015" t="s">
        <v>43</v>
      </c>
      <c r="F4015" t="s">
        <v>44</v>
      </c>
      <c r="G4015" t="s">
        <v>45</v>
      </c>
      <c r="AH4015" t="s">
        <v>42</v>
      </c>
      <c r="AI4015" t="str">
        <f>"66298926476220"</f>
        <v>66298926476220</v>
      </c>
      <c r="AJ4015" t="str">
        <f>"5ML-11630-40JP"</f>
        <v>5ML-11630-40JP</v>
      </c>
      <c r="AK4015" t="s">
        <v>46</v>
      </c>
      <c r="AL4015" s="1">
        <v>44816.560925925929</v>
      </c>
      <c r="AM4015" t="s">
        <v>44</v>
      </c>
    </row>
    <row r="4016" spans="1:39" x14ac:dyDescent="0.2">
      <c r="A4016" t="s">
        <v>3814</v>
      </c>
      <c r="B4016" t="s">
        <v>40</v>
      </c>
      <c r="C4016" t="s">
        <v>3766</v>
      </c>
      <c r="D4016" t="s">
        <v>42</v>
      </c>
      <c r="E4016" t="s">
        <v>43</v>
      </c>
      <c r="F4016" t="s">
        <v>44</v>
      </c>
      <c r="G4016" t="s">
        <v>45</v>
      </c>
      <c r="AH4016" t="s">
        <v>42</v>
      </c>
      <c r="AI4016" t="str">
        <f>"66298926514945"</f>
        <v>66298926514945</v>
      </c>
      <c r="AJ4016" t="str">
        <f>"2724"</f>
        <v>2724</v>
      </c>
      <c r="AK4016" t="s">
        <v>46</v>
      </c>
      <c r="AL4016" s="1">
        <v>44816.560937499999</v>
      </c>
      <c r="AM4016" t="s">
        <v>44</v>
      </c>
    </row>
    <row r="4017" spans="1:39" x14ac:dyDescent="0.2">
      <c r="A4017" t="s">
        <v>3815</v>
      </c>
      <c r="B4017" t="s">
        <v>40</v>
      </c>
      <c r="C4017" t="s">
        <v>129</v>
      </c>
      <c r="D4017" t="s">
        <v>42</v>
      </c>
      <c r="E4017" t="s">
        <v>43</v>
      </c>
      <c r="F4017" t="s">
        <v>44</v>
      </c>
      <c r="G4017" t="s">
        <v>45</v>
      </c>
      <c r="AH4017" t="s">
        <v>42</v>
      </c>
      <c r="AI4017" t="str">
        <f>"66298926555662"</f>
        <v>66298926555662</v>
      </c>
      <c r="AJ4017" t="str">
        <f>"21C-F2174-00GY"</f>
        <v>21C-F2174-00GY</v>
      </c>
      <c r="AK4017" t="s">
        <v>46</v>
      </c>
      <c r="AL4017" s="1">
        <v>44816.560937499999</v>
      </c>
      <c r="AM4017" t="s">
        <v>44</v>
      </c>
    </row>
    <row r="4018" spans="1:39" x14ac:dyDescent="0.2">
      <c r="A4018" t="s">
        <v>3816</v>
      </c>
      <c r="B4018" t="s">
        <v>40</v>
      </c>
      <c r="C4018" t="s">
        <v>464</v>
      </c>
      <c r="D4018" t="s">
        <v>42</v>
      </c>
      <c r="E4018" t="s">
        <v>43</v>
      </c>
      <c r="F4018" t="s">
        <v>44</v>
      </c>
      <c r="G4018" t="s">
        <v>45</v>
      </c>
      <c r="AH4018" t="s">
        <v>42</v>
      </c>
      <c r="AI4018" t="str">
        <f>"66298926609191"</f>
        <v>66298926609191</v>
      </c>
      <c r="AJ4018" t="str">
        <f>"400701"</f>
        <v>400701</v>
      </c>
      <c r="AK4018" t="s">
        <v>46</v>
      </c>
      <c r="AL4018" s="1">
        <v>44816.560949074075</v>
      </c>
      <c r="AM4018" t="s">
        <v>44</v>
      </c>
    </row>
    <row r="4019" spans="1:39" x14ac:dyDescent="0.2">
      <c r="A4019" t="s">
        <v>3817</v>
      </c>
      <c r="B4019" t="s">
        <v>40</v>
      </c>
      <c r="C4019" t="s">
        <v>464</v>
      </c>
      <c r="D4019" t="s">
        <v>42</v>
      </c>
      <c r="E4019" t="s">
        <v>43</v>
      </c>
      <c r="F4019" t="s">
        <v>44</v>
      </c>
      <c r="G4019" t="s">
        <v>45</v>
      </c>
      <c r="AH4019" t="s">
        <v>42</v>
      </c>
      <c r="AI4019" t="str">
        <f>"66298926652078"</f>
        <v>66298926652078</v>
      </c>
      <c r="AJ4019" t="str">
        <f>"32101-23410HB"</f>
        <v>32101-23410HB</v>
      </c>
      <c r="AK4019" t="s">
        <v>46</v>
      </c>
      <c r="AL4019" s="1">
        <v>44816.560949074075</v>
      </c>
      <c r="AM4019" t="s">
        <v>44</v>
      </c>
    </row>
    <row r="4020" spans="1:39" x14ac:dyDescent="0.2">
      <c r="A4020" t="s">
        <v>3817</v>
      </c>
      <c r="B4020" t="s">
        <v>40</v>
      </c>
      <c r="C4020" t="s">
        <v>464</v>
      </c>
      <c r="D4020" t="s">
        <v>42</v>
      </c>
      <c r="E4020" t="s">
        <v>43</v>
      </c>
      <c r="F4020" t="s">
        <v>44</v>
      </c>
      <c r="G4020" t="s">
        <v>45</v>
      </c>
      <c r="AH4020" t="s">
        <v>42</v>
      </c>
      <c r="AI4020" t="str">
        <f>"FB033"</f>
        <v>FB033</v>
      </c>
      <c r="AJ4020" t="str">
        <f>"FB033"</f>
        <v>FB033</v>
      </c>
      <c r="AK4020" t="s">
        <v>46</v>
      </c>
      <c r="AL4020" s="1">
        <v>45093.83965277778</v>
      </c>
      <c r="AM4020" t="s">
        <v>44</v>
      </c>
    </row>
    <row r="4021" spans="1:39" x14ac:dyDescent="0.2">
      <c r="A4021" t="s">
        <v>3818</v>
      </c>
      <c r="B4021" t="s">
        <v>40</v>
      </c>
      <c r="C4021" t="s">
        <v>464</v>
      </c>
      <c r="D4021" t="s">
        <v>42</v>
      </c>
      <c r="E4021" t="s">
        <v>43</v>
      </c>
      <c r="F4021" t="s">
        <v>44</v>
      </c>
      <c r="G4021" t="s">
        <v>45</v>
      </c>
      <c r="AH4021" t="s">
        <v>42</v>
      </c>
      <c r="AI4021" t="str">
        <f>"66298926695070"</f>
        <v>66298926695070</v>
      </c>
      <c r="AJ4021" t="str">
        <f>"FB021"</f>
        <v>FB021</v>
      </c>
      <c r="AK4021" t="s">
        <v>46</v>
      </c>
      <c r="AL4021" s="1">
        <v>44816.560949074075</v>
      </c>
      <c r="AM4021" t="s">
        <v>44</v>
      </c>
    </row>
    <row r="4022" spans="1:39" x14ac:dyDescent="0.2">
      <c r="A4022" t="s">
        <v>3819</v>
      </c>
      <c r="B4022" t="s">
        <v>40</v>
      </c>
      <c r="C4022" t="s">
        <v>172</v>
      </c>
      <c r="D4022" t="s">
        <v>42</v>
      </c>
      <c r="E4022" t="s">
        <v>43</v>
      </c>
      <c r="F4022" t="s">
        <v>44</v>
      </c>
      <c r="G4022" t="s">
        <v>45</v>
      </c>
      <c r="AH4022" t="s">
        <v>42</v>
      </c>
      <c r="AI4022" t="str">
        <f>"66298926738030"</f>
        <v>66298926738030</v>
      </c>
      <c r="AJ4022" t="str">
        <f>"0080S"</f>
        <v>0080S</v>
      </c>
      <c r="AK4022" t="s">
        <v>46</v>
      </c>
      <c r="AL4022" s="1">
        <v>44816.560960648145</v>
      </c>
      <c r="AM4022" t="s">
        <v>44</v>
      </c>
    </row>
    <row r="4023" spans="1:39" x14ac:dyDescent="0.2">
      <c r="A4023" t="s">
        <v>3820</v>
      </c>
      <c r="B4023" t="s">
        <v>40</v>
      </c>
      <c r="C4023" t="s">
        <v>172</v>
      </c>
      <c r="D4023" t="s">
        <v>42</v>
      </c>
      <c r="E4023" t="s">
        <v>43</v>
      </c>
      <c r="F4023" t="s">
        <v>44</v>
      </c>
      <c r="G4023" t="s">
        <v>45</v>
      </c>
      <c r="AH4023" t="s">
        <v>42</v>
      </c>
      <c r="AI4023" t="str">
        <f>"66298926779460"</f>
        <v>66298926779460</v>
      </c>
      <c r="AJ4023" t="str">
        <f>"400627"</f>
        <v>400627</v>
      </c>
      <c r="AK4023" t="s">
        <v>46</v>
      </c>
      <c r="AL4023" s="1">
        <v>44816.560960648145</v>
      </c>
      <c r="AM4023" t="s">
        <v>44</v>
      </c>
    </row>
    <row r="4024" spans="1:39" x14ac:dyDescent="0.2">
      <c r="A4024" t="s">
        <v>3821</v>
      </c>
      <c r="B4024" t="s">
        <v>40</v>
      </c>
      <c r="C4024" t="s">
        <v>172</v>
      </c>
      <c r="D4024" t="s">
        <v>42</v>
      </c>
      <c r="E4024" t="s">
        <v>43</v>
      </c>
      <c r="F4024" t="s">
        <v>44</v>
      </c>
      <c r="G4024" t="s">
        <v>45</v>
      </c>
      <c r="AH4024" t="s">
        <v>42</v>
      </c>
      <c r="AI4024" t="str">
        <f>"66298926823705"</f>
        <v>66298926823705</v>
      </c>
      <c r="AJ4024" t="str">
        <f>"115114"</f>
        <v>115114</v>
      </c>
      <c r="AK4024" t="s">
        <v>46</v>
      </c>
      <c r="AL4024" s="1">
        <v>44816.560972222222</v>
      </c>
      <c r="AM4024" t="s">
        <v>44</v>
      </c>
    </row>
    <row r="4025" spans="1:39" x14ac:dyDescent="0.2">
      <c r="A4025" t="s">
        <v>3822</v>
      </c>
      <c r="B4025" t="s">
        <v>40</v>
      </c>
      <c r="C4025" t="s">
        <v>172</v>
      </c>
      <c r="D4025" t="s">
        <v>42</v>
      </c>
      <c r="E4025" t="s">
        <v>43</v>
      </c>
      <c r="F4025" t="s">
        <v>44</v>
      </c>
      <c r="G4025" t="s">
        <v>45</v>
      </c>
      <c r="AH4025" t="s">
        <v>42</v>
      </c>
      <c r="AI4025" t="str">
        <f>"66298926867971"</f>
        <v>66298926867971</v>
      </c>
      <c r="AJ4025" t="str">
        <f>"PA002"</f>
        <v>PA002</v>
      </c>
      <c r="AK4025" t="s">
        <v>46</v>
      </c>
      <c r="AL4025" s="1">
        <v>44816.560972222222</v>
      </c>
      <c r="AM4025" t="s">
        <v>44</v>
      </c>
    </row>
    <row r="4026" spans="1:39" x14ac:dyDescent="0.2">
      <c r="A4026" t="s">
        <v>3823</v>
      </c>
      <c r="B4026" t="s">
        <v>40</v>
      </c>
      <c r="C4026" t="s">
        <v>172</v>
      </c>
      <c r="D4026" t="s">
        <v>42</v>
      </c>
      <c r="E4026" t="s">
        <v>43</v>
      </c>
      <c r="F4026" t="s">
        <v>44</v>
      </c>
      <c r="G4026" t="s">
        <v>45</v>
      </c>
      <c r="AH4026" t="s">
        <v>42</v>
      </c>
      <c r="AI4026" t="str">
        <f>"66298926907678"</f>
        <v>66298926907678</v>
      </c>
      <c r="AJ4026" t="str">
        <f>"PA003"</f>
        <v>PA003</v>
      </c>
      <c r="AK4026" t="s">
        <v>46</v>
      </c>
      <c r="AL4026" s="1">
        <v>44816.560983796298</v>
      </c>
      <c r="AM4026" t="s">
        <v>44</v>
      </c>
    </row>
    <row r="4027" spans="1:39" x14ac:dyDescent="0.2">
      <c r="A4027" t="s">
        <v>3824</v>
      </c>
      <c r="B4027" t="s">
        <v>40</v>
      </c>
      <c r="C4027" t="s">
        <v>172</v>
      </c>
      <c r="D4027" t="s">
        <v>42</v>
      </c>
      <c r="E4027" t="s">
        <v>43</v>
      </c>
      <c r="F4027" t="s">
        <v>44</v>
      </c>
      <c r="G4027" t="s">
        <v>45</v>
      </c>
      <c r="AH4027" t="s">
        <v>42</v>
      </c>
      <c r="AI4027" t="str">
        <f>"66298926948961"</f>
        <v>66298926948961</v>
      </c>
      <c r="AJ4027" t="str">
        <f>"PA001"</f>
        <v>PA001</v>
      </c>
      <c r="AK4027" t="s">
        <v>46</v>
      </c>
      <c r="AL4027" s="1">
        <v>44816.560983796298</v>
      </c>
      <c r="AM4027" t="s">
        <v>44</v>
      </c>
    </row>
    <row r="4028" spans="1:39" x14ac:dyDescent="0.2">
      <c r="A4028" t="s">
        <v>3825</v>
      </c>
      <c r="B4028" t="s">
        <v>40</v>
      </c>
      <c r="C4028" t="s">
        <v>172</v>
      </c>
      <c r="D4028" t="s">
        <v>42</v>
      </c>
      <c r="E4028" t="s">
        <v>43</v>
      </c>
      <c r="F4028" t="s">
        <v>44</v>
      </c>
      <c r="G4028" t="s">
        <v>45</v>
      </c>
      <c r="AH4028" t="s">
        <v>42</v>
      </c>
      <c r="AI4028" t="str">
        <f>"66298926990356"</f>
        <v>66298926990356</v>
      </c>
      <c r="AJ4028" t="str">
        <f>"PA008"</f>
        <v>PA008</v>
      </c>
      <c r="AK4028" t="s">
        <v>46</v>
      </c>
      <c r="AL4028" s="1">
        <v>44816.560983796298</v>
      </c>
      <c r="AM4028" t="s">
        <v>44</v>
      </c>
    </row>
    <row r="4029" spans="1:39" x14ac:dyDescent="0.2">
      <c r="A4029" t="s">
        <v>3826</v>
      </c>
      <c r="B4029" t="s">
        <v>40</v>
      </c>
      <c r="C4029" t="s">
        <v>172</v>
      </c>
      <c r="D4029" t="s">
        <v>42</v>
      </c>
      <c r="E4029" t="s">
        <v>43</v>
      </c>
      <c r="F4029" t="s">
        <v>44</v>
      </c>
      <c r="G4029" t="s">
        <v>45</v>
      </c>
      <c r="AH4029" t="s">
        <v>42</v>
      </c>
      <c r="AI4029" t="str">
        <f>"66298927036172"</f>
        <v>66298927036172</v>
      </c>
      <c r="AJ4029" t="str">
        <f>"PA004"</f>
        <v>PA004</v>
      </c>
      <c r="AK4029" t="s">
        <v>46</v>
      </c>
      <c r="AL4029" s="1">
        <v>44816.560995370368</v>
      </c>
      <c r="AM4029" t="s">
        <v>44</v>
      </c>
    </row>
    <row r="4030" spans="1:39" x14ac:dyDescent="0.2">
      <c r="A4030" t="s">
        <v>3826</v>
      </c>
      <c r="B4030" t="s">
        <v>40</v>
      </c>
      <c r="C4030" t="s">
        <v>172</v>
      </c>
      <c r="D4030" t="s">
        <v>42</v>
      </c>
      <c r="E4030" t="s">
        <v>43</v>
      </c>
      <c r="F4030" t="s">
        <v>44</v>
      </c>
      <c r="G4030" t="s">
        <v>45</v>
      </c>
      <c r="AH4030" t="s">
        <v>42</v>
      </c>
      <c r="AI4030" t="str">
        <f>"66298927042572"</f>
        <v>66298927042572</v>
      </c>
      <c r="AJ4030" t="str">
        <f>"PA005"</f>
        <v>PA005</v>
      </c>
      <c r="AK4030" t="s">
        <v>46</v>
      </c>
      <c r="AL4030" s="1">
        <v>44816.560995370368</v>
      </c>
      <c r="AM4030" t="s">
        <v>44</v>
      </c>
    </row>
    <row r="4031" spans="1:39" x14ac:dyDescent="0.2">
      <c r="A4031" t="s">
        <v>3827</v>
      </c>
      <c r="B4031" t="s">
        <v>40</v>
      </c>
      <c r="C4031" t="s">
        <v>1261</v>
      </c>
      <c r="D4031" t="s">
        <v>42</v>
      </c>
      <c r="E4031" t="s">
        <v>43</v>
      </c>
      <c r="F4031" t="s">
        <v>44</v>
      </c>
      <c r="G4031" t="s">
        <v>45</v>
      </c>
      <c r="AH4031" t="s">
        <v>42</v>
      </c>
      <c r="AI4031" t="str">
        <f>"NF003"</f>
        <v>NF003</v>
      </c>
      <c r="AJ4031" t="str">
        <f>"NF003"</f>
        <v>NF003</v>
      </c>
      <c r="AK4031" t="s">
        <v>46</v>
      </c>
      <c r="AL4031" s="1">
        <v>44916.688113425924</v>
      </c>
      <c r="AM4031" t="s">
        <v>44</v>
      </c>
    </row>
    <row r="4032" spans="1:39" x14ac:dyDescent="0.2">
      <c r="A4032" t="s">
        <v>3828</v>
      </c>
      <c r="B4032" t="s">
        <v>40</v>
      </c>
      <c r="C4032" t="s">
        <v>3829</v>
      </c>
      <c r="D4032" t="s">
        <v>42</v>
      </c>
      <c r="E4032" t="s">
        <v>43</v>
      </c>
      <c r="F4032" t="s">
        <v>44</v>
      </c>
      <c r="G4032" t="s">
        <v>45</v>
      </c>
      <c r="AH4032" t="s">
        <v>42</v>
      </c>
      <c r="AI4032" t="str">
        <f>"N009"</f>
        <v>N009</v>
      </c>
      <c r="AJ4032" t="str">
        <f>"N009"</f>
        <v>N009</v>
      </c>
      <c r="AK4032" t="s">
        <v>46</v>
      </c>
      <c r="AL4032" s="1">
        <v>45174.826932870368</v>
      </c>
      <c r="AM4032" t="s">
        <v>44</v>
      </c>
    </row>
    <row r="4033" spans="1:39" x14ac:dyDescent="0.2">
      <c r="A4033" t="s">
        <v>3830</v>
      </c>
      <c r="B4033" t="s">
        <v>40</v>
      </c>
      <c r="C4033" t="s">
        <v>1261</v>
      </c>
      <c r="D4033" t="s">
        <v>42</v>
      </c>
      <c r="E4033" t="s">
        <v>43</v>
      </c>
      <c r="F4033" t="s">
        <v>44</v>
      </c>
      <c r="G4033" t="s">
        <v>45</v>
      </c>
      <c r="AH4033" t="s">
        <v>42</v>
      </c>
      <c r="AI4033" t="str">
        <f>"NF002"</f>
        <v>NF002</v>
      </c>
      <c r="AJ4033" t="str">
        <f>"NF002"</f>
        <v>NF002</v>
      </c>
      <c r="AK4033" t="s">
        <v>46</v>
      </c>
      <c r="AL4033" s="1">
        <v>44916.691145833334</v>
      </c>
      <c r="AM4033" t="s">
        <v>44</v>
      </c>
    </row>
    <row r="4034" spans="1:39" x14ac:dyDescent="0.2">
      <c r="A4034" t="s">
        <v>3831</v>
      </c>
      <c r="B4034" t="s">
        <v>40</v>
      </c>
      <c r="C4034" t="s">
        <v>1261</v>
      </c>
      <c r="D4034" t="s">
        <v>42</v>
      </c>
      <c r="E4034" t="s">
        <v>43</v>
      </c>
      <c r="F4034" t="s">
        <v>44</v>
      </c>
      <c r="G4034" t="s">
        <v>45</v>
      </c>
      <c r="AH4034" t="s">
        <v>42</v>
      </c>
      <c r="AI4034" t="str">
        <f>"NF005"</f>
        <v>NF005</v>
      </c>
      <c r="AJ4034" t="str">
        <f>"NF005"</f>
        <v>NF005</v>
      </c>
      <c r="AK4034" t="s">
        <v>46</v>
      </c>
      <c r="AL4034" s="1">
        <v>44916.692569444444</v>
      </c>
      <c r="AM4034" t="s">
        <v>44</v>
      </c>
    </row>
    <row r="4035" spans="1:39" x14ac:dyDescent="0.2">
      <c r="A4035" t="s">
        <v>3832</v>
      </c>
      <c r="B4035" t="s">
        <v>40</v>
      </c>
      <c r="C4035" t="s">
        <v>1261</v>
      </c>
      <c r="D4035" t="s">
        <v>42</v>
      </c>
      <c r="E4035" t="s">
        <v>43</v>
      </c>
      <c r="F4035" t="s">
        <v>44</v>
      </c>
      <c r="G4035" t="s">
        <v>45</v>
      </c>
      <c r="AH4035" t="s">
        <v>42</v>
      </c>
      <c r="AI4035" t="str">
        <f>"NF004"</f>
        <v>NF004</v>
      </c>
      <c r="AJ4035" t="str">
        <f>"NF004"</f>
        <v>NF004</v>
      </c>
      <c r="AK4035" t="s">
        <v>46</v>
      </c>
      <c r="AL4035" s="1">
        <v>44916.689780092594</v>
      </c>
      <c r="AM4035" t="s">
        <v>44</v>
      </c>
    </row>
    <row r="4036" spans="1:39" x14ac:dyDescent="0.2">
      <c r="A4036" t="s">
        <v>3833</v>
      </c>
      <c r="B4036" t="s">
        <v>40</v>
      </c>
      <c r="C4036" t="s">
        <v>3829</v>
      </c>
      <c r="D4036" t="s">
        <v>42</v>
      </c>
      <c r="E4036" t="s">
        <v>43</v>
      </c>
      <c r="F4036" t="s">
        <v>44</v>
      </c>
      <c r="G4036" t="s">
        <v>45</v>
      </c>
      <c r="AH4036" t="s">
        <v>42</v>
      </c>
      <c r="AI4036" t="str">
        <f>"CR1S-F11-18"</f>
        <v>CR1S-F11-18</v>
      </c>
      <c r="AJ4036" t="str">
        <f>"CR1S-F11-18"</f>
        <v>CR1S-F11-18</v>
      </c>
      <c r="AK4036" t="s">
        <v>46</v>
      </c>
      <c r="AL4036" s="1">
        <v>45062.617361111108</v>
      </c>
      <c r="AM4036" t="s">
        <v>44</v>
      </c>
    </row>
    <row r="4037" spans="1:39" x14ac:dyDescent="0.2">
      <c r="A4037" t="s">
        <v>3834</v>
      </c>
      <c r="B4037" t="s">
        <v>40</v>
      </c>
      <c r="C4037" t="s">
        <v>1261</v>
      </c>
      <c r="D4037" t="s">
        <v>42</v>
      </c>
      <c r="E4037" t="s">
        <v>43</v>
      </c>
      <c r="F4037" t="s">
        <v>44</v>
      </c>
      <c r="G4037" t="s">
        <v>45</v>
      </c>
      <c r="AH4037" t="s">
        <v>42</v>
      </c>
      <c r="AI4037" t="str">
        <f>"66298927096929"</f>
        <v>66298927096929</v>
      </c>
      <c r="AJ4037" t="str">
        <f>"JL-1312-25"</f>
        <v>JL-1312-25</v>
      </c>
      <c r="AK4037" t="s">
        <v>46</v>
      </c>
      <c r="AL4037" s="1">
        <v>44816.560995370368</v>
      </c>
      <c r="AM4037" t="s">
        <v>44</v>
      </c>
    </row>
    <row r="4038" spans="1:39" x14ac:dyDescent="0.2">
      <c r="A4038" t="s">
        <v>3835</v>
      </c>
      <c r="B4038" t="s">
        <v>40</v>
      </c>
      <c r="C4038" t="s">
        <v>50</v>
      </c>
      <c r="D4038" t="s">
        <v>42</v>
      </c>
      <c r="E4038" t="s">
        <v>43</v>
      </c>
      <c r="F4038" t="s">
        <v>44</v>
      </c>
      <c r="G4038" t="s">
        <v>45</v>
      </c>
      <c r="AH4038" t="s">
        <v>42</v>
      </c>
      <c r="AI4038" t="str">
        <f>"66298927136609"</f>
        <v>66298927136609</v>
      </c>
      <c r="AJ4038" t="str">
        <f>"390-1"</f>
        <v>390-1</v>
      </c>
      <c r="AK4038" t="s">
        <v>46</v>
      </c>
      <c r="AL4038" s="1">
        <v>44816.561006944445</v>
      </c>
      <c r="AM4038" t="s">
        <v>44</v>
      </c>
    </row>
    <row r="4039" spans="1:39" x14ac:dyDescent="0.2">
      <c r="A4039" t="s">
        <v>3836</v>
      </c>
      <c r="B4039" t="s">
        <v>40</v>
      </c>
      <c r="C4039" t="s">
        <v>50</v>
      </c>
      <c r="D4039" t="s">
        <v>42</v>
      </c>
      <c r="E4039" t="s">
        <v>43</v>
      </c>
      <c r="F4039" t="s">
        <v>44</v>
      </c>
      <c r="G4039" t="s">
        <v>45</v>
      </c>
      <c r="AH4039" t="s">
        <v>42</v>
      </c>
      <c r="AI4039" t="str">
        <f>"66298927178881"</f>
        <v>66298927178881</v>
      </c>
      <c r="AJ4039" t="str">
        <f>"QG036"</f>
        <v>QG036</v>
      </c>
      <c r="AK4039" t="s">
        <v>46</v>
      </c>
      <c r="AL4039" s="1">
        <v>44816.561006944445</v>
      </c>
      <c r="AM4039" t="s">
        <v>44</v>
      </c>
    </row>
    <row r="4040" spans="1:39" x14ac:dyDescent="0.2">
      <c r="A4040" t="s">
        <v>3837</v>
      </c>
      <c r="B4040" t="s">
        <v>40</v>
      </c>
      <c r="C4040" t="s">
        <v>50</v>
      </c>
      <c r="D4040" t="s">
        <v>42</v>
      </c>
      <c r="E4040" t="s">
        <v>43</v>
      </c>
      <c r="F4040" t="s">
        <v>44</v>
      </c>
      <c r="G4040" t="s">
        <v>45</v>
      </c>
      <c r="AH4040" t="s">
        <v>42</v>
      </c>
      <c r="AI4040" t="str">
        <f>"QG059"</f>
        <v>QG059</v>
      </c>
      <c r="AJ4040" t="str">
        <f>"QG059"</f>
        <v>QG059</v>
      </c>
      <c r="AK4040" t="s">
        <v>46</v>
      </c>
      <c r="AL4040" s="1">
        <v>44926.622719907406</v>
      </c>
      <c r="AM4040" t="s">
        <v>44</v>
      </c>
    </row>
    <row r="4041" spans="1:39" x14ac:dyDescent="0.2">
      <c r="A4041" t="s">
        <v>3837</v>
      </c>
      <c r="B4041" t="s">
        <v>40</v>
      </c>
      <c r="C4041" t="s">
        <v>50</v>
      </c>
      <c r="D4041" t="s">
        <v>42</v>
      </c>
      <c r="E4041" t="s">
        <v>43</v>
      </c>
      <c r="F4041" t="s">
        <v>44</v>
      </c>
      <c r="G4041" t="s">
        <v>45</v>
      </c>
      <c r="AH4041" t="s">
        <v>42</v>
      </c>
      <c r="AI4041" t="str">
        <f>"2261"</f>
        <v>2261</v>
      </c>
      <c r="AJ4041" t="str">
        <f>"2261"</f>
        <v>2261</v>
      </c>
      <c r="AK4041" t="s">
        <v>46</v>
      </c>
      <c r="AL4041" s="1">
        <v>44995.601122685184</v>
      </c>
      <c r="AM4041" t="s">
        <v>44</v>
      </c>
    </row>
    <row r="4042" spans="1:39" x14ac:dyDescent="0.2">
      <c r="A4042" t="s">
        <v>3837</v>
      </c>
      <c r="B4042" t="s">
        <v>40</v>
      </c>
      <c r="C4042" t="s">
        <v>50</v>
      </c>
      <c r="D4042" t="s">
        <v>42</v>
      </c>
      <c r="E4042" t="s">
        <v>43</v>
      </c>
      <c r="F4042" t="s">
        <v>44</v>
      </c>
      <c r="G4042" t="s">
        <v>45</v>
      </c>
      <c r="AH4042" t="s">
        <v>42</v>
      </c>
      <c r="AI4042" t="str">
        <f>"PC-UNIV"</f>
        <v>PC-UNIV</v>
      </c>
      <c r="AJ4042" t="str">
        <f>"PC-UNIV"</f>
        <v>PC-UNIV</v>
      </c>
      <c r="AK4042" t="s">
        <v>46</v>
      </c>
      <c r="AL4042" s="1">
        <v>44999.687523148146</v>
      </c>
      <c r="AM4042" t="s">
        <v>44</v>
      </c>
    </row>
    <row r="4043" spans="1:39" x14ac:dyDescent="0.2">
      <c r="A4043" t="s">
        <v>3838</v>
      </c>
      <c r="B4043" t="s">
        <v>40</v>
      </c>
      <c r="C4043" t="s">
        <v>50</v>
      </c>
      <c r="D4043" t="s">
        <v>42</v>
      </c>
      <c r="E4043" t="s">
        <v>43</v>
      </c>
      <c r="F4043" t="s">
        <v>44</v>
      </c>
      <c r="G4043" t="s">
        <v>45</v>
      </c>
      <c r="AH4043" t="s">
        <v>42</v>
      </c>
      <c r="AI4043" t="str">
        <f>"66298927221695"</f>
        <v>66298927221695</v>
      </c>
      <c r="AJ4043" t="str">
        <f>"1216"</f>
        <v>1216</v>
      </c>
      <c r="AK4043" t="s">
        <v>46</v>
      </c>
      <c r="AL4043" s="1">
        <v>44816.561018518521</v>
      </c>
      <c r="AM4043" t="s">
        <v>44</v>
      </c>
    </row>
    <row r="4044" spans="1:39" x14ac:dyDescent="0.2">
      <c r="A4044" t="s">
        <v>3839</v>
      </c>
      <c r="B4044" t="s">
        <v>40</v>
      </c>
      <c r="C4044" t="s">
        <v>50</v>
      </c>
      <c r="D4044" t="s">
        <v>42</v>
      </c>
      <c r="E4044" t="s">
        <v>43</v>
      </c>
      <c r="F4044" t="s">
        <v>44</v>
      </c>
      <c r="G4044" t="s">
        <v>45</v>
      </c>
      <c r="AH4044" t="s">
        <v>42</v>
      </c>
      <c r="AI4044" t="str">
        <f>"2155"</f>
        <v>2155</v>
      </c>
      <c r="AJ4044" t="str">
        <f>"2155"</f>
        <v>2155</v>
      </c>
      <c r="AK4044" t="s">
        <v>46</v>
      </c>
      <c r="AL4044" s="1">
        <v>44996.686400462961</v>
      </c>
      <c r="AM4044" t="s">
        <v>44</v>
      </c>
    </row>
    <row r="4045" spans="1:39" x14ac:dyDescent="0.2">
      <c r="A4045" t="s">
        <v>3839</v>
      </c>
      <c r="B4045" t="s">
        <v>40</v>
      </c>
      <c r="C4045" t="s">
        <v>50</v>
      </c>
      <c r="D4045" t="s">
        <v>42</v>
      </c>
      <c r="E4045" t="s">
        <v>43</v>
      </c>
      <c r="F4045" t="s">
        <v>44</v>
      </c>
      <c r="G4045" t="s">
        <v>45</v>
      </c>
      <c r="AH4045" t="s">
        <v>42</v>
      </c>
      <c r="AI4045" t="str">
        <f>"113541"</f>
        <v>113541</v>
      </c>
      <c r="AJ4045" t="str">
        <f>"113541"</f>
        <v>113541</v>
      </c>
      <c r="AK4045" t="s">
        <v>46</v>
      </c>
      <c r="AL4045" s="1">
        <v>45134.677766203706</v>
      </c>
      <c r="AM4045" t="s">
        <v>44</v>
      </c>
    </row>
    <row r="4046" spans="1:39" x14ac:dyDescent="0.2">
      <c r="A4046" t="s">
        <v>3840</v>
      </c>
      <c r="B4046" t="s">
        <v>40</v>
      </c>
      <c r="C4046" t="s">
        <v>50</v>
      </c>
      <c r="D4046" t="s">
        <v>42</v>
      </c>
      <c r="E4046" t="s">
        <v>43</v>
      </c>
      <c r="F4046" t="s">
        <v>44</v>
      </c>
      <c r="G4046" t="s">
        <v>45</v>
      </c>
      <c r="AH4046" t="s">
        <v>42</v>
      </c>
      <c r="AI4046" t="str">
        <f>"2223"</f>
        <v>2223</v>
      </c>
      <c r="AJ4046" t="str">
        <f>"2223"</f>
        <v>2223</v>
      </c>
      <c r="AK4046" t="s">
        <v>46</v>
      </c>
      <c r="AL4046" s="1">
        <v>44996.685798611114</v>
      </c>
      <c r="AM4046" t="s">
        <v>44</v>
      </c>
    </row>
    <row r="4047" spans="1:39" x14ac:dyDescent="0.2">
      <c r="A4047" t="s">
        <v>3840</v>
      </c>
      <c r="B4047" t="s">
        <v>40</v>
      </c>
      <c r="C4047" t="s">
        <v>50</v>
      </c>
      <c r="D4047" t="s">
        <v>42</v>
      </c>
      <c r="E4047" t="s">
        <v>43</v>
      </c>
      <c r="F4047" t="s">
        <v>44</v>
      </c>
      <c r="G4047" t="s">
        <v>45</v>
      </c>
      <c r="H4047" t="s">
        <v>2037</v>
      </c>
      <c r="AH4047" t="s">
        <v>42</v>
      </c>
      <c r="AI4047" t="str">
        <f>"115895"</f>
        <v>115895</v>
      </c>
      <c r="AJ4047" t="str">
        <f>"115895"</f>
        <v>115895</v>
      </c>
      <c r="AK4047" t="s">
        <v>46</v>
      </c>
      <c r="AL4047" s="1">
        <v>45132.724039351851</v>
      </c>
      <c r="AM4047" t="s">
        <v>44</v>
      </c>
    </row>
    <row r="4048" spans="1:39" x14ac:dyDescent="0.2">
      <c r="A4048" t="s">
        <v>3841</v>
      </c>
      <c r="B4048" t="s">
        <v>40</v>
      </c>
      <c r="C4048" t="s">
        <v>1318</v>
      </c>
      <c r="D4048" t="s">
        <v>42</v>
      </c>
      <c r="E4048" t="s">
        <v>43</v>
      </c>
      <c r="F4048" t="s">
        <v>44</v>
      </c>
      <c r="G4048" t="s">
        <v>45</v>
      </c>
      <c r="AH4048" t="s">
        <v>42</v>
      </c>
      <c r="AI4048" t="str">
        <f>"66298927260585"</f>
        <v>66298927260585</v>
      </c>
      <c r="AJ4048" t="str">
        <f>"400719"</f>
        <v>400719</v>
      </c>
      <c r="AK4048" t="s">
        <v>46</v>
      </c>
      <c r="AL4048" s="1">
        <v>44816.561018518521</v>
      </c>
      <c r="AM4048" t="s">
        <v>44</v>
      </c>
    </row>
    <row r="4049" spans="1:39" x14ac:dyDescent="0.2">
      <c r="A4049" t="s">
        <v>3842</v>
      </c>
      <c r="B4049" t="s">
        <v>40</v>
      </c>
      <c r="C4049" t="s">
        <v>1318</v>
      </c>
      <c r="D4049" t="s">
        <v>42</v>
      </c>
      <c r="E4049" t="s">
        <v>43</v>
      </c>
      <c r="F4049" t="s">
        <v>44</v>
      </c>
      <c r="G4049" t="s">
        <v>45</v>
      </c>
      <c r="AH4049" t="s">
        <v>42</v>
      </c>
      <c r="AI4049" t="str">
        <f>"66298927305154"</f>
        <v>66298927305154</v>
      </c>
      <c r="AJ4049" t="str">
        <f>"400721"</f>
        <v>400721</v>
      </c>
      <c r="AK4049" t="s">
        <v>46</v>
      </c>
      <c r="AL4049" s="1">
        <v>44816.561030092591</v>
      </c>
      <c r="AM4049" t="s">
        <v>44</v>
      </c>
    </row>
    <row r="4050" spans="1:39" x14ac:dyDescent="0.2">
      <c r="A4050" t="s">
        <v>3843</v>
      </c>
      <c r="B4050" t="s">
        <v>40</v>
      </c>
      <c r="C4050" t="s">
        <v>1318</v>
      </c>
      <c r="D4050" t="s">
        <v>42</v>
      </c>
      <c r="E4050" t="s">
        <v>43</v>
      </c>
      <c r="F4050" t="s">
        <v>44</v>
      </c>
      <c r="G4050" t="s">
        <v>45</v>
      </c>
      <c r="AH4050" t="s">
        <v>42</v>
      </c>
      <c r="AI4050" t="str">
        <f>"66298927397245"</f>
        <v>66298927397245</v>
      </c>
      <c r="AJ4050" t="str">
        <f>"400722"</f>
        <v>400722</v>
      </c>
      <c r="AK4050" t="s">
        <v>46</v>
      </c>
      <c r="AL4050" s="1">
        <v>44816.561030092591</v>
      </c>
      <c r="AM4050" t="s">
        <v>44</v>
      </c>
    </row>
    <row r="4051" spans="1:39" x14ac:dyDescent="0.2">
      <c r="A4051" t="s">
        <v>3844</v>
      </c>
      <c r="B4051" t="s">
        <v>40</v>
      </c>
      <c r="C4051" t="s">
        <v>1318</v>
      </c>
      <c r="D4051" t="s">
        <v>42</v>
      </c>
      <c r="E4051" t="s">
        <v>43</v>
      </c>
      <c r="F4051" t="s">
        <v>44</v>
      </c>
      <c r="G4051" t="s">
        <v>45</v>
      </c>
      <c r="AH4051" t="s">
        <v>42</v>
      </c>
      <c r="AI4051" t="str">
        <f>"66298927347843"</f>
        <v>66298927347843</v>
      </c>
      <c r="AJ4051" t="str">
        <f>"JG-5514-49/43"</f>
        <v>JG-5514-49/43</v>
      </c>
      <c r="AK4051" t="s">
        <v>46</v>
      </c>
      <c r="AL4051" s="1">
        <v>44816.561030092591</v>
      </c>
      <c r="AM4051" t="s">
        <v>44</v>
      </c>
    </row>
    <row r="4052" spans="1:39" x14ac:dyDescent="0.2">
      <c r="A4052" t="s">
        <v>3845</v>
      </c>
      <c r="B4052" t="s">
        <v>40</v>
      </c>
      <c r="C4052" t="s">
        <v>1318</v>
      </c>
      <c r="D4052" t="s">
        <v>42</v>
      </c>
      <c r="E4052" t="s">
        <v>43</v>
      </c>
      <c r="F4052" t="s">
        <v>44</v>
      </c>
      <c r="G4052" t="s">
        <v>45</v>
      </c>
      <c r="AH4052" t="s">
        <v>42</v>
      </c>
      <c r="AI4052" t="str">
        <f>"66298927436446"</f>
        <v>66298927436446</v>
      </c>
      <c r="AJ4052" t="str">
        <f>"3C1-E6371-E6351"</f>
        <v>3C1-E6371-E6351</v>
      </c>
      <c r="AK4052" t="s">
        <v>46</v>
      </c>
      <c r="AL4052" s="1">
        <v>44816.561041666668</v>
      </c>
      <c r="AM4052" t="s">
        <v>44</v>
      </c>
    </row>
    <row r="4053" spans="1:39" x14ac:dyDescent="0.2">
      <c r="A4053" t="s">
        <v>3846</v>
      </c>
      <c r="B4053" t="s">
        <v>40</v>
      </c>
      <c r="C4053" t="s">
        <v>1975</v>
      </c>
      <c r="D4053" t="s">
        <v>42</v>
      </c>
      <c r="E4053" t="s">
        <v>43</v>
      </c>
      <c r="F4053" t="s">
        <v>44</v>
      </c>
      <c r="G4053" t="s">
        <v>45</v>
      </c>
      <c r="AH4053" t="s">
        <v>42</v>
      </c>
      <c r="AI4053" t="str">
        <f>"66298927522931"</f>
        <v>66298927522931</v>
      </c>
      <c r="AJ4053" t="str">
        <f>"KB008"</f>
        <v>KB008</v>
      </c>
      <c r="AK4053" t="s">
        <v>46</v>
      </c>
      <c r="AL4053" s="1">
        <v>44816.561053240737</v>
      </c>
      <c r="AM4053" t="s">
        <v>44</v>
      </c>
    </row>
    <row r="4054" spans="1:39" x14ac:dyDescent="0.2">
      <c r="A4054" t="s">
        <v>3847</v>
      </c>
      <c r="B4054" t="s">
        <v>40</v>
      </c>
      <c r="C4054" t="s">
        <v>1975</v>
      </c>
      <c r="D4054" t="s">
        <v>42</v>
      </c>
      <c r="E4054" t="s">
        <v>43</v>
      </c>
      <c r="F4054" t="s">
        <v>44</v>
      </c>
      <c r="G4054" t="s">
        <v>45</v>
      </c>
      <c r="AH4054" t="s">
        <v>42</v>
      </c>
      <c r="AI4054" t="str">
        <f>"66298927481506"</f>
        <v>66298927481506</v>
      </c>
      <c r="AJ4054" t="str">
        <f>"KB007"</f>
        <v>KB007</v>
      </c>
      <c r="AK4054" t="s">
        <v>46</v>
      </c>
      <c r="AL4054" s="1">
        <v>44816.561041666668</v>
      </c>
      <c r="AM4054" t="s">
        <v>44</v>
      </c>
    </row>
    <row r="4055" spans="1:39" x14ac:dyDescent="0.2">
      <c r="A4055" t="s">
        <v>3848</v>
      </c>
      <c r="B4055" t="s">
        <v>40</v>
      </c>
      <c r="C4055" t="s">
        <v>2104</v>
      </c>
      <c r="D4055" t="s">
        <v>42</v>
      </c>
      <c r="E4055" t="s">
        <v>43</v>
      </c>
      <c r="F4055" t="s">
        <v>44</v>
      </c>
      <c r="G4055" t="s">
        <v>45</v>
      </c>
      <c r="AH4055" t="s">
        <v>42</v>
      </c>
      <c r="AI4055" t="str">
        <f>"A150"</f>
        <v>A150</v>
      </c>
      <c r="AJ4055" t="str">
        <f>"A150"</f>
        <v>A150</v>
      </c>
      <c r="AK4055" t="s">
        <v>46</v>
      </c>
      <c r="AL4055" s="1">
        <v>45093.870127314818</v>
      </c>
      <c r="AM4055" t="s">
        <v>44</v>
      </c>
    </row>
    <row r="4056" spans="1:39" x14ac:dyDescent="0.2">
      <c r="A4056" t="s">
        <v>3849</v>
      </c>
      <c r="B4056" t="s">
        <v>40</v>
      </c>
      <c r="C4056" t="s">
        <v>1464</v>
      </c>
      <c r="D4056" t="s">
        <v>42</v>
      </c>
      <c r="E4056" t="s">
        <v>43</v>
      </c>
      <c r="F4056" t="s">
        <v>44</v>
      </c>
      <c r="G4056" t="s">
        <v>45</v>
      </c>
      <c r="AH4056" t="s">
        <v>42</v>
      </c>
      <c r="AI4056" t="str">
        <f>"66298927562421"</f>
        <v>66298927562421</v>
      </c>
      <c r="AJ4056" t="str">
        <f>"BH001"</f>
        <v>BH001</v>
      </c>
      <c r="AK4056" t="s">
        <v>46</v>
      </c>
      <c r="AL4056" s="1">
        <v>44816.561053240737</v>
      </c>
      <c r="AM4056" t="s">
        <v>44</v>
      </c>
    </row>
    <row r="4057" spans="1:39" x14ac:dyDescent="0.2">
      <c r="A4057" t="s">
        <v>3850</v>
      </c>
      <c r="B4057" t="s">
        <v>40</v>
      </c>
      <c r="C4057" t="s">
        <v>50</v>
      </c>
      <c r="D4057" t="s">
        <v>42</v>
      </c>
      <c r="E4057" t="s">
        <v>43</v>
      </c>
      <c r="F4057" t="s">
        <v>44</v>
      </c>
      <c r="G4057" t="s">
        <v>45</v>
      </c>
      <c r="H4057" t="s">
        <v>1123</v>
      </c>
      <c r="AH4057" t="s">
        <v>42</v>
      </c>
      <c r="AI4057" t="str">
        <f>"JC054-ROJO"</f>
        <v>JC054-ROJO</v>
      </c>
      <c r="AJ4057" t="str">
        <f>"JC054-ROJO"</f>
        <v>JC054-ROJO</v>
      </c>
      <c r="AK4057" t="s">
        <v>46</v>
      </c>
      <c r="AL4057" s="1">
        <v>44991.600740740738</v>
      </c>
      <c r="AM4057" t="s">
        <v>44</v>
      </c>
    </row>
    <row r="4058" spans="1:39" x14ac:dyDescent="0.2">
      <c r="A4058" t="s">
        <v>3851</v>
      </c>
      <c r="B4058" t="s">
        <v>40</v>
      </c>
      <c r="C4058" t="s">
        <v>50</v>
      </c>
      <c r="D4058" t="s">
        <v>42</v>
      </c>
      <c r="E4058" t="s">
        <v>43</v>
      </c>
      <c r="F4058" t="s">
        <v>44</v>
      </c>
      <c r="G4058" t="s">
        <v>45</v>
      </c>
      <c r="H4058" t="s">
        <v>1114</v>
      </c>
      <c r="AH4058" t="s">
        <v>42</v>
      </c>
      <c r="AI4058" t="str">
        <f>"JC053-AZUL"</f>
        <v>JC053-AZUL</v>
      </c>
      <c r="AJ4058" t="str">
        <f>"JC053-AZUL"</f>
        <v>JC053-AZUL</v>
      </c>
      <c r="AK4058" t="s">
        <v>46</v>
      </c>
      <c r="AL4058" s="1">
        <v>44991.599340277775</v>
      </c>
      <c r="AM4058" t="s">
        <v>44</v>
      </c>
    </row>
    <row r="4059" spans="1:39" x14ac:dyDescent="0.2">
      <c r="A4059" t="s">
        <v>3851</v>
      </c>
      <c r="B4059" t="s">
        <v>40</v>
      </c>
      <c r="C4059" t="s">
        <v>50</v>
      </c>
      <c r="D4059" t="s">
        <v>42</v>
      </c>
      <c r="E4059" t="s">
        <v>43</v>
      </c>
      <c r="F4059" t="s">
        <v>44</v>
      </c>
      <c r="G4059" t="s">
        <v>45</v>
      </c>
      <c r="H4059" t="s">
        <v>1123</v>
      </c>
      <c r="AH4059" t="s">
        <v>42</v>
      </c>
      <c r="AI4059" t="str">
        <f>"JC053-ROJO"</f>
        <v>JC053-ROJO</v>
      </c>
      <c r="AJ4059" t="str">
        <f>"JC053-ROJO"</f>
        <v>JC053-ROJO</v>
      </c>
      <c r="AK4059" t="s">
        <v>46</v>
      </c>
      <c r="AL4059" s="1">
        <v>44991.60015046296</v>
      </c>
      <c r="AM4059" t="s">
        <v>44</v>
      </c>
    </row>
    <row r="4060" spans="1:39" x14ac:dyDescent="0.2">
      <c r="A4060" t="s">
        <v>3852</v>
      </c>
      <c r="B4060" t="s">
        <v>40</v>
      </c>
      <c r="C4060" t="s">
        <v>50</v>
      </c>
      <c r="D4060" t="s">
        <v>42</v>
      </c>
      <c r="E4060" t="s">
        <v>43</v>
      </c>
      <c r="F4060" t="s">
        <v>44</v>
      </c>
      <c r="G4060" t="s">
        <v>45</v>
      </c>
      <c r="AH4060" t="s">
        <v>42</v>
      </c>
      <c r="AI4060" t="str">
        <f>"JC112"</f>
        <v>JC112</v>
      </c>
      <c r="AJ4060" t="str">
        <f>"JC112"</f>
        <v>JC112</v>
      </c>
      <c r="AK4060" t="s">
        <v>46</v>
      </c>
      <c r="AL4060" s="1">
        <v>44846.635833333334</v>
      </c>
      <c r="AM4060" t="s">
        <v>44</v>
      </c>
    </row>
    <row r="4061" spans="1:39" x14ac:dyDescent="0.2">
      <c r="A4061" t="s">
        <v>3853</v>
      </c>
      <c r="B4061" t="s">
        <v>40</v>
      </c>
      <c r="C4061" t="s">
        <v>3546</v>
      </c>
      <c r="D4061" t="s">
        <v>42</v>
      </c>
      <c r="E4061" t="s">
        <v>43</v>
      </c>
      <c r="F4061" t="s">
        <v>44</v>
      </c>
      <c r="G4061" t="s">
        <v>45</v>
      </c>
      <c r="AH4061" t="s">
        <v>42</v>
      </c>
      <c r="AI4061" t="str">
        <f>"82049"</f>
        <v>82049</v>
      </c>
      <c r="AJ4061" t="str">
        <f>"82049"</f>
        <v>82049</v>
      </c>
      <c r="AK4061" t="s">
        <v>46</v>
      </c>
      <c r="AL4061" s="1">
        <v>44870.699571759258</v>
      </c>
      <c r="AM4061" t="s">
        <v>44</v>
      </c>
    </row>
    <row r="4062" spans="1:39" x14ac:dyDescent="0.2">
      <c r="A4062" t="s">
        <v>3854</v>
      </c>
      <c r="B4062" t="s">
        <v>40</v>
      </c>
      <c r="C4062" t="s">
        <v>3546</v>
      </c>
      <c r="D4062" t="s">
        <v>42</v>
      </c>
      <c r="E4062" t="s">
        <v>43</v>
      </c>
      <c r="F4062" t="s">
        <v>44</v>
      </c>
      <c r="G4062" t="s">
        <v>45</v>
      </c>
      <c r="AH4062" t="s">
        <v>42</v>
      </c>
      <c r="AI4062" t="str">
        <f>"66298927602911"</f>
        <v>66298927602911</v>
      </c>
      <c r="AJ4062" t="str">
        <f>"43100-KFC-790"</f>
        <v>43100-KFC-790</v>
      </c>
      <c r="AK4062" t="s">
        <v>46</v>
      </c>
      <c r="AL4062" s="1">
        <v>44816.561064814814</v>
      </c>
      <c r="AM4062" t="s">
        <v>44</v>
      </c>
    </row>
    <row r="4063" spans="1:39" x14ac:dyDescent="0.2">
      <c r="A4063" t="s">
        <v>3855</v>
      </c>
      <c r="B4063" t="s">
        <v>40</v>
      </c>
      <c r="C4063" t="s">
        <v>3546</v>
      </c>
      <c r="D4063" t="s">
        <v>42</v>
      </c>
      <c r="E4063" t="s">
        <v>43</v>
      </c>
      <c r="F4063" t="s">
        <v>44</v>
      </c>
      <c r="G4063" t="s">
        <v>45</v>
      </c>
      <c r="AH4063" t="s">
        <v>42</v>
      </c>
      <c r="AI4063" t="str">
        <f>"66298927647705"</f>
        <v>66298927647705</v>
      </c>
      <c r="AJ4063" t="str">
        <f>"80330"</f>
        <v>80330</v>
      </c>
      <c r="AK4063" t="s">
        <v>46</v>
      </c>
      <c r="AL4063" s="1">
        <v>44816.561064814814</v>
      </c>
      <c r="AM4063" t="s">
        <v>44</v>
      </c>
    </row>
    <row r="4064" spans="1:39" x14ac:dyDescent="0.2">
      <c r="A4064" t="s">
        <v>3856</v>
      </c>
      <c r="B4064" t="s">
        <v>40</v>
      </c>
      <c r="C4064" t="s">
        <v>3546</v>
      </c>
      <c r="D4064" t="s">
        <v>42</v>
      </c>
      <c r="E4064" t="s">
        <v>43</v>
      </c>
      <c r="F4064" t="s">
        <v>44</v>
      </c>
      <c r="G4064" t="s">
        <v>45</v>
      </c>
      <c r="AH4064" t="s">
        <v>42</v>
      </c>
      <c r="AI4064" t="str">
        <f>"66298927688979"</f>
        <v>66298927688979</v>
      </c>
      <c r="AJ4064" t="str">
        <f>"82826"</f>
        <v>82826</v>
      </c>
      <c r="AK4064" t="s">
        <v>46</v>
      </c>
      <c r="AL4064" s="1">
        <v>44816.561064814814</v>
      </c>
      <c r="AM4064" t="s">
        <v>44</v>
      </c>
    </row>
    <row r="4065" spans="1:39" x14ac:dyDescent="0.2">
      <c r="A4065" t="s">
        <v>3857</v>
      </c>
      <c r="B4065" t="s">
        <v>40</v>
      </c>
      <c r="C4065" t="s">
        <v>129</v>
      </c>
      <c r="D4065" t="s">
        <v>42</v>
      </c>
      <c r="E4065" t="s">
        <v>43</v>
      </c>
      <c r="F4065" t="s">
        <v>44</v>
      </c>
      <c r="G4065" t="s">
        <v>45</v>
      </c>
      <c r="AH4065" t="s">
        <v>42</v>
      </c>
      <c r="AI4065" t="str">
        <f>"66298927726393"</f>
        <v>66298927726393</v>
      </c>
      <c r="AJ4065" t="str">
        <f>"TC001"</f>
        <v>TC001</v>
      </c>
      <c r="AK4065" t="s">
        <v>46</v>
      </c>
      <c r="AL4065" s="1">
        <v>44816.561076388891</v>
      </c>
      <c r="AM4065" t="s">
        <v>44</v>
      </c>
    </row>
    <row r="4066" spans="1:39" x14ac:dyDescent="0.2">
      <c r="A4066" t="s">
        <v>3858</v>
      </c>
      <c r="B4066" t="s">
        <v>40</v>
      </c>
      <c r="C4066" t="s">
        <v>3859</v>
      </c>
      <c r="D4066" t="s">
        <v>42</v>
      </c>
      <c r="E4066" t="s">
        <v>43</v>
      </c>
      <c r="F4066" t="s">
        <v>44</v>
      </c>
      <c r="G4066" t="s">
        <v>45</v>
      </c>
      <c r="AH4066" t="s">
        <v>42</v>
      </c>
      <c r="AI4066" t="str">
        <f>"PROMO"</f>
        <v>PROMO</v>
      </c>
      <c r="AJ4066" t="str">
        <f>"PROMO"</f>
        <v>PROMO</v>
      </c>
      <c r="AK4066" t="s">
        <v>46</v>
      </c>
      <c r="AL4066" s="1">
        <v>44911.583518518521</v>
      </c>
      <c r="AM4066" t="s">
        <v>44</v>
      </c>
    </row>
    <row r="4067" spans="1:39" x14ac:dyDescent="0.2">
      <c r="A4067" t="s">
        <v>3860</v>
      </c>
      <c r="B4067" t="s">
        <v>40</v>
      </c>
      <c r="C4067" t="s">
        <v>50</v>
      </c>
      <c r="D4067" t="s">
        <v>42</v>
      </c>
      <c r="E4067" t="s">
        <v>43</v>
      </c>
      <c r="F4067" t="s">
        <v>44</v>
      </c>
      <c r="G4067" t="s">
        <v>45</v>
      </c>
      <c r="AH4067" t="s">
        <v>42</v>
      </c>
      <c r="AI4067" t="str">
        <f>"1789"</f>
        <v>1789</v>
      </c>
      <c r="AJ4067" t="str">
        <f>"1789"</f>
        <v>1789</v>
      </c>
      <c r="AK4067" t="s">
        <v>46</v>
      </c>
      <c r="AL4067" s="1">
        <v>44995.573518518519</v>
      </c>
      <c r="AM4067" t="s">
        <v>44</v>
      </c>
    </row>
    <row r="4068" spans="1:39" x14ac:dyDescent="0.2">
      <c r="A4068" t="s">
        <v>3860</v>
      </c>
      <c r="B4068" t="s">
        <v>40</v>
      </c>
      <c r="C4068" t="s">
        <v>50</v>
      </c>
      <c r="D4068" t="s">
        <v>42</v>
      </c>
      <c r="E4068" t="s">
        <v>43</v>
      </c>
      <c r="F4068" t="s">
        <v>44</v>
      </c>
      <c r="G4068" t="s">
        <v>45</v>
      </c>
      <c r="AH4068" t="s">
        <v>42</v>
      </c>
      <c r="AI4068" t="str">
        <f>"WA027-NEG/ROJO"</f>
        <v>WA027-NEG/ROJO</v>
      </c>
      <c r="AJ4068" t="str">
        <f>"WA027-NEG/ROJO"</f>
        <v>WA027-NEG/ROJO</v>
      </c>
      <c r="AK4068" t="s">
        <v>46</v>
      </c>
      <c r="AL4068" s="1">
        <v>45093.870925925927</v>
      </c>
      <c r="AM4068" t="s">
        <v>44</v>
      </c>
    </row>
    <row r="4069" spans="1:39" x14ac:dyDescent="0.2">
      <c r="A4069" t="s">
        <v>3861</v>
      </c>
      <c r="B4069" t="s">
        <v>40</v>
      </c>
      <c r="C4069" t="s">
        <v>50</v>
      </c>
      <c r="D4069" t="s">
        <v>42</v>
      </c>
      <c r="E4069" t="s">
        <v>43</v>
      </c>
      <c r="F4069" t="s">
        <v>44</v>
      </c>
      <c r="G4069" t="s">
        <v>45</v>
      </c>
      <c r="AH4069" t="s">
        <v>42</v>
      </c>
      <c r="AI4069" t="str">
        <f>"66298927765537"</f>
        <v>66298927765537</v>
      </c>
      <c r="AJ4069" t="str">
        <f>"MM3"</f>
        <v>MM3</v>
      </c>
      <c r="AK4069" t="s">
        <v>46</v>
      </c>
      <c r="AL4069" s="1">
        <v>44816.561076388891</v>
      </c>
      <c r="AM4069" t="s">
        <v>44</v>
      </c>
    </row>
    <row r="4070" spans="1:39" x14ac:dyDescent="0.2">
      <c r="A4070" t="s">
        <v>3862</v>
      </c>
      <c r="B4070" t="s">
        <v>40</v>
      </c>
      <c r="C4070" t="s">
        <v>50</v>
      </c>
      <c r="D4070" t="s">
        <v>42</v>
      </c>
      <c r="E4070" t="s">
        <v>43</v>
      </c>
      <c r="F4070" t="s">
        <v>44</v>
      </c>
      <c r="G4070" t="s">
        <v>45</v>
      </c>
      <c r="AH4070" t="s">
        <v>42</v>
      </c>
      <c r="AI4070" t="str">
        <f>"66298927808609"</f>
        <v>66298927808609</v>
      </c>
      <c r="AJ4070" t="str">
        <f>"MM4"</f>
        <v>MM4</v>
      </c>
      <c r="AK4070" t="s">
        <v>46</v>
      </c>
      <c r="AL4070" s="1">
        <v>44816.56108796296</v>
      </c>
      <c r="AM4070" t="s">
        <v>44</v>
      </c>
    </row>
    <row r="4071" spans="1:39" x14ac:dyDescent="0.2">
      <c r="A4071" t="s">
        <v>3863</v>
      </c>
      <c r="B4071" t="s">
        <v>40</v>
      </c>
      <c r="C4071" t="s">
        <v>50</v>
      </c>
      <c r="D4071" t="s">
        <v>42</v>
      </c>
      <c r="E4071" t="s">
        <v>43</v>
      </c>
      <c r="F4071" t="s">
        <v>44</v>
      </c>
      <c r="G4071" t="s">
        <v>45</v>
      </c>
      <c r="AH4071" t="s">
        <v>42</v>
      </c>
      <c r="AI4071" t="str">
        <f>"66298927850032"</f>
        <v>66298927850032</v>
      </c>
      <c r="AJ4071" t="str">
        <f>"1187-FILTRO"</f>
        <v>1187-FILTRO</v>
      </c>
      <c r="AK4071" t="s">
        <v>46</v>
      </c>
      <c r="AL4071" s="1">
        <v>44816.56108796296</v>
      </c>
      <c r="AM4071" t="s">
        <v>44</v>
      </c>
    </row>
    <row r="4072" spans="1:39" x14ac:dyDescent="0.2">
      <c r="A4072" t="s">
        <v>3864</v>
      </c>
      <c r="B4072" t="s">
        <v>40</v>
      </c>
      <c r="C4072" t="s">
        <v>50</v>
      </c>
      <c r="D4072" t="s">
        <v>42</v>
      </c>
      <c r="E4072" t="s">
        <v>43</v>
      </c>
      <c r="F4072" t="s">
        <v>44</v>
      </c>
      <c r="G4072" t="s">
        <v>45</v>
      </c>
      <c r="AH4072" t="s">
        <v>42</v>
      </c>
      <c r="AI4072" t="str">
        <f>"66298927890113"</f>
        <v>66298927890113</v>
      </c>
      <c r="AJ4072" t="str">
        <f>"YW2013-1"</f>
        <v>YW2013-1</v>
      </c>
      <c r="AK4072" t="s">
        <v>46</v>
      </c>
      <c r="AL4072" s="1">
        <v>44816.56108796296</v>
      </c>
      <c r="AM4072" t="s">
        <v>44</v>
      </c>
    </row>
    <row r="4073" spans="1:39" x14ac:dyDescent="0.2">
      <c r="A4073" t="s">
        <v>3865</v>
      </c>
      <c r="B4073" t="s">
        <v>40</v>
      </c>
      <c r="C4073" t="s">
        <v>50</v>
      </c>
      <c r="D4073" t="s">
        <v>42</v>
      </c>
      <c r="E4073" t="s">
        <v>43</v>
      </c>
      <c r="F4073" t="s">
        <v>44</v>
      </c>
      <c r="G4073" t="s">
        <v>45</v>
      </c>
      <c r="AH4073" t="s">
        <v>42</v>
      </c>
      <c r="AI4073" t="str">
        <f>"66298927932372"</f>
        <v>66298927932372</v>
      </c>
      <c r="AJ4073" t="str">
        <f>"MM2"</f>
        <v>MM2</v>
      </c>
      <c r="AK4073" t="s">
        <v>46</v>
      </c>
      <c r="AL4073" s="1">
        <v>44816.561099537037</v>
      </c>
      <c r="AM4073" t="s">
        <v>44</v>
      </c>
    </row>
    <row r="4074" spans="1:39" x14ac:dyDescent="0.2">
      <c r="A4074" t="s">
        <v>3866</v>
      </c>
      <c r="B4074" t="s">
        <v>40</v>
      </c>
      <c r="C4074" t="s">
        <v>50</v>
      </c>
      <c r="D4074" t="s">
        <v>42</v>
      </c>
      <c r="E4074" t="s">
        <v>43</v>
      </c>
      <c r="F4074" t="s">
        <v>44</v>
      </c>
      <c r="G4074" t="s">
        <v>45</v>
      </c>
      <c r="AH4074" t="s">
        <v>42</v>
      </c>
      <c r="AI4074" t="str">
        <f>"66298927975446"</f>
        <v>66298927975446</v>
      </c>
      <c r="AJ4074" t="str">
        <f>"2320-NEGRO"</f>
        <v>2320-NEGRO</v>
      </c>
      <c r="AK4074" t="s">
        <v>46</v>
      </c>
      <c r="AL4074" s="1">
        <v>44816.561099537037</v>
      </c>
      <c r="AM4074" t="s">
        <v>44</v>
      </c>
    </row>
    <row r="4075" spans="1:39" x14ac:dyDescent="0.2">
      <c r="A4075" t="s">
        <v>3867</v>
      </c>
      <c r="B4075" t="s">
        <v>40</v>
      </c>
      <c r="C4075" t="s">
        <v>50</v>
      </c>
      <c r="D4075" t="s">
        <v>42</v>
      </c>
      <c r="E4075" t="s">
        <v>43</v>
      </c>
      <c r="F4075" t="s">
        <v>44</v>
      </c>
      <c r="G4075" t="s">
        <v>45</v>
      </c>
      <c r="AH4075" t="s">
        <v>42</v>
      </c>
      <c r="AI4075" t="str">
        <f>"66298928024219"</f>
        <v>66298928024219</v>
      </c>
      <c r="AJ4075" t="str">
        <f>"116214-NEGRO"</f>
        <v>116214-NEGRO</v>
      </c>
      <c r="AK4075" t="s">
        <v>46</v>
      </c>
      <c r="AL4075" s="1">
        <v>44816.561111111114</v>
      </c>
      <c r="AM4075" t="s">
        <v>44</v>
      </c>
    </row>
    <row r="4076" spans="1:39" x14ac:dyDescent="0.2">
      <c r="A4076" t="s">
        <v>3867</v>
      </c>
      <c r="B4076" t="s">
        <v>40</v>
      </c>
      <c r="C4076" t="s">
        <v>50</v>
      </c>
      <c r="D4076" t="s">
        <v>42</v>
      </c>
      <c r="E4076" t="s">
        <v>43</v>
      </c>
      <c r="F4076" t="s">
        <v>44</v>
      </c>
      <c r="G4076" t="s">
        <v>45</v>
      </c>
      <c r="AH4076" t="s">
        <v>42</v>
      </c>
      <c r="AI4076" t="str">
        <f>"66298928030236"</f>
        <v>66298928030236</v>
      </c>
      <c r="AJ4076" t="str">
        <f>"116214-GRIS"</f>
        <v>116214-GRIS</v>
      </c>
      <c r="AK4076" t="s">
        <v>46</v>
      </c>
      <c r="AL4076" s="1">
        <v>44816.561111111114</v>
      </c>
      <c r="AM4076" t="s">
        <v>44</v>
      </c>
    </row>
    <row r="4077" spans="1:39" x14ac:dyDescent="0.2">
      <c r="A4077" t="s">
        <v>3868</v>
      </c>
      <c r="B4077" t="s">
        <v>40</v>
      </c>
      <c r="C4077" t="s">
        <v>1456</v>
      </c>
      <c r="D4077" t="s">
        <v>42</v>
      </c>
      <c r="E4077" t="s">
        <v>43</v>
      </c>
      <c r="F4077" t="s">
        <v>44</v>
      </c>
      <c r="G4077" t="s">
        <v>45</v>
      </c>
      <c r="AH4077" t="s">
        <v>42</v>
      </c>
      <c r="AI4077" t="str">
        <f>"Y006"</f>
        <v>Y006</v>
      </c>
      <c r="AJ4077" t="str">
        <f>"Y006"</f>
        <v>Y006</v>
      </c>
      <c r="AK4077" t="s">
        <v>46</v>
      </c>
      <c r="AL4077" s="1">
        <v>44868.579189814816</v>
      </c>
      <c r="AM4077" t="s">
        <v>44</v>
      </c>
    </row>
    <row r="4078" spans="1:39" x14ac:dyDescent="0.2">
      <c r="A4078" t="s">
        <v>3869</v>
      </c>
      <c r="B4078" t="s">
        <v>40</v>
      </c>
      <c r="C4078" t="s">
        <v>1456</v>
      </c>
      <c r="D4078" t="s">
        <v>42</v>
      </c>
      <c r="E4078" t="s">
        <v>43</v>
      </c>
      <c r="F4078" t="s">
        <v>44</v>
      </c>
      <c r="G4078" t="s">
        <v>45</v>
      </c>
      <c r="AH4078" t="s">
        <v>42</v>
      </c>
      <c r="AI4078" t="str">
        <f>"66298928083612"</f>
        <v>66298928083612</v>
      </c>
      <c r="AJ4078" t="str">
        <f>"Y293"</f>
        <v>Y293</v>
      </c>
      <c r="AK4078" t="s">
        <v>46</v>
      </c>
      <c r="AL4078" s="1">
        <v>44816.561111111114</v>
      </c>
      <c r="AM4078" t="s">
        <v>44</v>
      </c>
    </row>
    <row r="4079" spans="1:39" x14ac:dyDescent="0.2">
      <c r="A4079" t="s">
        <v>3870</v>
      </c>
      <c r="B4079" t="s">
        <v>40</v>
      </c>
      <c r="C4079" t="s">
        <v>1456</v>
      </c>
      <c r="D4079" t="s">
        <v>42</v>
      </c>
      <c r="E4079" t="s">
        <v>43</v>
      </c>
      <c r="F4079" t="s">
        <v>44</v>
      </c>
      <c r="G4079" t="s">
        <v>45</v>
      </c>
      <c r="AH4079" t="s">
        <v>42</v>
      </c>
      <c r="AI4079" t="str">
        <f>"14781H2C000H000"</f>
        <v>14781H2C000H000</v>
      </c>
      <c r="AJ4079" t="str">
        <f>"14781H2C000H000"</f>
        <v>14781H2C000H000</v>
      </c>
      <c r="AK4079" t="s">
        <v>46</v>
      </c>
      <c r="AL4079" s="1">
        <v>44875.819988425923</v>
      </c>
      <c r="AM4079" t="s">
        <v>44</v>
      </c>
    </row>
    <row r="4080" spans="1:39" x14ac:dyDescent="0.2">
      <c r="A4080" t="s">
        <v>3871</v>
      </c>
      <c r="B4080" t="s">
        <v>40</v>
      </c>
      <c r="C4080" t="s">
        <v>129</v>
      </c>
      <c r="D4080" t="s">
        <v>42</v>
      </c>
      <c r="E4080" t="s">
        <v>43</v>
      </c>
      <c r="F4080" t="s">
        <v>44</v>
      </c>
      <c r="G4080" t="s">
        <v>45</v>
      </c>
      <c r="AH4080" t="s">
        <v>42</v>
      </c>
      <c r="AI4080" t="str">
        <f>"66298928128196"</f>
        <v>66298928128196</v>
      </c>
      <c r="AJ4080" t="str">
        <f>"44352H2C000H000"</f>
        <v>44352H2C000H000</v>
      </c>
      <c r="AK4080" t="s">
        <v>46</v>
      </c>
      <c r="AL4080" s="1">
        <v>44816.561122685183</v>
      </c>
      <c r="AM4080" t="s">
        <v>44</v>
      </c>
    </row>
    <row r="4081" spans="1:39" x14ac:dyDescent="0.2">
      <c r="A4081" t="s">
        <v>3872</v>
      </c>
      <c r="B4081" t="s">
        <v>40</v>
      </c>
      <c r="C4081" t="s">
        <v>50</v>
      </c>
      <c r="D4081" t="s">
        <v>42</v>
      </c>
      <c r="E4081" t="s">
        <v>43</v>
      </c>
      <c r="F4081" t="s">
        <v>44</v>
      </c>
      <c r="G4081" t="s">
        <v>45</v>
      </c>
      <c r="AH4081" t="s">
        <v>42</v>
      </c>
      <c r="AI4081" t="str">
        <f>"3176"</f>
        <v>3176</v>
      </c>
      <c r="AJ4081" t="str">
        <f>"3176"</f>
        <v>3176</v>
      </c>
      <c r="AK4081" t="s">
        <v>46</v>
      </c>
      <c r="AL4081" s="1">
        <v>44998.60056712963</v>
      </c>
      <c r="AM4081" t="s">
        <v>44</v>
      </c>
    </row>
    <row r="4082" spans="1:39" x14ac:dyDescent="0.2">
      <c r="A4082" t="s">
        <v>3873</v>
      </c>
      <c r="B4082" t="s">
        <v>40</v>
      </c>
      <c r="C4082" t="s">
        <v>129</v>
      </c>
      <c r="D4082" t="s">
        <v>42</v>
      </c>
      <c r="E4082" t="s">
        <v>43</v>
      </c>
      <c r="F4082" t="s">
        <v>44</v>
      </c>
      <c r="G4082" t="s">
        <v>45</v>
      </c>
      <c r="AH4082" t="s">
        <v>42</v>
      </c>
      <c r="AI4082" t="str">
        <f>"66298928194374"</f>
        <v>66298928194374</v>
      </c>
      <c r="AJ4082" t="str">
        <f>"3473-AZUL"</f>
        <v>3473-AZUL</v>
      </c>
      <c r="AK4082" t="s">
        <v>46</v>
      </c>
      <c r="AL4082" s="1">
        <v>44816.561122685183</v>
      </c>
      <c r="AM4082" t="s">
        <v>44</v>
      </c>
    </row>
    <row r="4083" spans="1:39" x14ac:dyDescent="0.2">
      <c r="A4083" t="s">
        <v>3874</v>
      </c>
      <c r="B4083" t="s">
        <v>40</v>
      </c>
      <c r="C4083" t="s">
        <v>1456</v>
      </c>
      <c r="D4083" t="s">
        <v>42</v>
      </c>
      <c r="E4083" t="s">
        <v>43</v>
      </c>
      <c r="F4083" t="s">
        <v>44</v>
      </c>
      <c r="G4083" t="s">
        <v>45</v>
      </c>
      <c r="AH4083" t="s">
        <v>42</v>
      </c>
      <c r="AI4083" t="str">
        <f>"66298928251421"</f>
        <v>66298928251421</v>
      </c>
      <c r="AJ4083" t="str">
        <f>"TB006"</f>
        <v>TB006</v>
      </c>
      <c r="AK4083" t="s">
        <v>46</v>
      </c>
      <c r="AL4083" s="1">
        <v>44816.56113425926</v>
      </c>
      <c r="AM4083" t="s">
        <v>44</v>
      </c>
    </row>
    <row r="4084" spans="1:39" x14ac:dyDescent="0.2">
      <c r="A4084" t="s">
        <v>3875</v>
      </c>
      <c r="B4084" t="s">
        <v>40</v>
      </c>
      <c r="C4084" t="s">
        <v>50</v>
      </c>
      <c r="D4084" t="s">
        <v>42</v>
      </c>
      <c r="E4084" t="s">
        <v>43</v>
      </c>
      <c r="F4084" t="s">
        <v>44</v>
      </c>
      <c r="G4084" t="s">
        <v>45</v>
      </c>
      <c r="AH4084" t="s">
        <v>42</v>
      </c>
      <c r="AI4084" t="str">
        <f>"66298928302759"</f>
        <v>66298928302759</v>
      </c>
      <c r="AJ4084" t="str">
        <f>"4319-NEGRO"</f>
        <v>4319-NEGRO</v>
      </c>
      <c r="AK4084" t="s">
        <v>46</v>
      </c>
      <c r="AL4084" s="1">
        <v>44816.561145833337</v>
      </c>
      <c r="AM4084" t="s">
        <v>44</v>
      </c>
    </row>
    <row r="4085" spans="1:39" x14ac:dyDescent="0.2">
      <c r="A4085" t="s">
        <v>3876</v>
      </c>
      <c r="B4085" t="s">
        <v>40</v>
      </c>
      <c r="C4085" t="s">
        <v>50</v>
      </c>
      <c r="D4085" t="s">
        <v>42</v>
      </c>
      <c r="E4085" t="s">
        <v>43</v>
      </c>
      <c r="F4085" t="s">
        <v>44</v>
      </c>
      <c r="G4085" t="s">
        <v>45</v>
      </c>
      <c r="AH4085" t="s">
        <v>42</v>
      </c>
      <c r="AI4085" t="str">
        <f>"66298928351533"</f>
        <v>66298928351533</v>
      </c>
      <c r="AJ4085" t="str">
        <f>"RB003-VERDE"</f>
        <v>RB003-VERDE</v>
      </c>
      <c r="AK4085" t="s">
        <v>46</v>
      </c>
      <c r="AL4085" s="1">
        <v>44816.561145833337</v>
      </c>
      <c r="AM4085" t="s">
        <v>44</v>
      </c>
    </row>
    <row r="4086" spans="1:39" x14ac:dyDescent="0.2">
      <c r="A4086" t="s">
        <v>3876</v>
      </c>
      <c r="B4086" t="s">
        <v>40</v>
      </c>
      <c r="C4086" t="s">
        <v>50</v>
      </c>
      <c r="D4086" t="s">
        <v>42</v>
      </c>
      <c r="E4086" t="s">
        <v>43</v>
      </c>
      <c r="F4086" t="s">
        <v>44</v>
      </c>
      <c r="G4086" t="s">
        <v>45</v>
      </c>
      <c r="H4086" t="s">
        <v>2037</v>
      </c>
      <c r="AH4086" t="s">
        <v>42</v>
      </c>
      <c r="AI4086" t="str">
        <f>"133088-NEGRO"</f>
        <v>133088-NEGRO</v>
      </c>
      <c r="AJ4086" t="str">
        <f>"133088-NEGRO"</f>
        <v>133088-NEGRO</v>
      </c>
      <c r="AK4086" t="s">
        <v>46</v>
      </c>
      <c r="AL4086" s="1">
        <v>45132.672939814816</v>
      </c>
      <c r="AM4086" t="s">
        <v>44</v>
      </c>
    </row>
    <row r="4087" spans="1:39" x14ac:dyDescent="0.2">
      <c r="A4087" t="s">
        <v>3876</v>
      </c>
      <c r="B4087" t="s">
        <v>40</v>
      </c>
      <c r="C4087" t="s">
        <v>50</v>
      </c>
      <c r="D4087" t="s">
        <v>42</v>
      </c>
      <c r="E4087" t="s">
        <v>43</v>
      </c>
      <c r="F4087" t="s">
        <v>44</v>
      </c>
      <c r="G4087" t="s">
        <v>45</v>
      </c>
      <c r="H4087" t="s">
        <v>1123</v>
      </c>
      <c r="AH4087" t="s">
        <v>42</v>
      </c>
      <c r="AI4087" t="str">
        <f>"133088-ROJO"</f>
        <v>133088-ROJO</v>
      </c>
      <c r="AJ4087" t="str">
        <f>"133088-ROJO"</f>
        <v>133088-ROJO</v>
      </c>
      <c r="AK4087" t="s">
        <v>46</v>
      </c>
      <c r="AL4087" s="1">
        <v>45106.909432870372</v>
      </c>
      <c r="AM4087" t="s">
        <v>44</v>
      </c>
    </row>
    <row r="4088" spans="1:39" x14ac:dyDescent="0.2">
      <c r="A4088" t="s">
        <v>3877</v>
      </c>
      <c r="B4088" t="s">
        <v>40</v>
      </c>
      <c r="C4088" t="s">
        <v>50</v>
      </c>
      <c r="D4088" t="s">
        <v>42</v>
      </c>
      <c r="E4088" t="s">
        <v>43</v>
      </c>
      <c r="F4088" t="s">
        <v>44</v>
      </c>
      <c r="G4088" t="s">
        <v>45</v>
      </c>
      <c r="AH4088" t="s">
        <v>42</v>
      </c>
      <c r="AI4088" t="str">
        <f>"66298928398398"</f>
        <v>66298928398398</v>
      </c>
      <c r="AJ4088" t="str">
        <f>"82301"</f>
        <v>82301</v>
      </c>
      <c r="AK4088" t="s">
        <v>46</v>
      </c>
      <c r="AL4088" s="1">
        <v>44816.561145833337</v>
      </c>
      <c r="AM4088" t="s">
        <v>44</v>
      </c>
    </row>
    <row r="4089" spans="1:39" x14ac:dyDescent="0.2">
      <c r="A4089" t="s">
        <v>3878</v>
      </c>
      <c r="B4089" t="s">
        <v>40</v>
      </c>
      <c r="C4089" t="s">
        <v>50</v>
      </c>
      <c r="D4089" t="s">
        <v>42</v>
      </c>
      <c r="E4089" t="s">
        <v>43</v>
      </c>
      <c r="F4089" t="s">
        <v>44</v>
      </c>
      <c r="G4089" t="s">
        <v>45</v>
      </c>
      <c r="H4089" t="s">
        <v>1114</v>
      </c>
      <c r="AH4089" t="s">
        <v>42</v>
      </c>
      <c r="AI4089" t="str">
        <f>"0604-AZUL"</f>
        <v>0604-AZUL</v>
      </c>
      <c r="AJ4089" t="str">
        <f>"0604-AZUL"</f>
        <v>0604-AZUL</v>
      </c>
      <c r="AK4089" t="s">
        <v>46</v>
      </c>
      <c r="AL4089" s="1">
        <v>44816.561157407406</v>
      </c>
      <c r="AM4089" t="s">
        <v>44</v>
      </c>
    </row>
    <row r="4090" spans="1:39" x14ac:dyDescent="0.2">
      <c r="A4090" t="s">
        <v>3878</v>
      </c>
      <c r="B4090" t="s">
        <v>40</v>
      </c>
      <c r="C4090" t="s">
        <v>50</v>
      </c>
      <c r="D4090" t="s">
        <v>42</v>
      </c>
      <c r="E4090" t="s">
        <v>43</v>
      </c>
      <c r="F4090" t="s">
        <v>44</v>
      </c>
      <c r="G4090" t="s">
        <v>45</v>
      </c>
      <c r="H4090" t="s">
        <v>2037</v>
      </c>
      <c r="AH4090" t="s">
        <v>42</v>
      </c>
      <c r="AI4090" t="str">
        <f>"0604-NEGRO"</f>
        <v>0604-NEGRO</v>
      </c>
      <c r="AJ4090" t="str">
        <f>"0604-NEGRO"</f>
        <v>0604-NEGRO</v>
      </c>
      <c r="AK4090" t="s">
        <v>46</v>
      </c>
      <c r="AL4090" s="1">
        <v>44996.70621527778</v>
      </c>
      <c r="AM4090" t="s">
        <v>44</v>
      </c>
    </row>
    <row r="4091" spans="1:39" x14ac:dyDescent="0.2">
      <c r="A4091" t="s">
        <v>3878</v>
      </c>
      <c r="B4091" t="s">
        <v>40</v>
      </c>
      <c r="C4091" t="s">
        <v>50</v>
      </c>
      <c r="D4091" t="s">
        <v>42</v>
      </c>
      <c r="E4091" t="s">
        <v>43</v>
      </c>
      <c r="F4091" t="s">
        <v>44</v>
      </c>
      <c r="G4091" t="s">
        <v>45</v>
      </c>
      <c r="H4091" t="s">
        <v>1123</v>
      </c>
      <c r="AH4091" t="s">
        <v>42</v>
      </c>
      <c r="AI4091" t="str">
        <f>"0604-ROJO"</f>
        <v>0604-ROJO</v>
      </c>
      <c r="AJ4091" t="str">
        <f>"0604-ROJO"</f>
        <v>0604-ROJO</v>
      </c>
      <c r="AK4091" t="s">
        <v>46</v>
      </c>
      <c r="AL4091" s="1">
        <v>44996.706331018519</v>
      </c>
      <c r="AM4091" t="s">
        <v>44</v>
      </c>
    </row>
    <row r="4092" spans="1:39" x14ac:dyDescent="0.2">
      <c r="A4092" t="s">
        <v>3879</v>
      </c>
      <c r="B4092" t="s">
        <v>40</v>
      </c>
      <c r="C4092" t="s">
        <v>50</v>
      </c>
      <c r="D4092" t="s">
        <v>42</v>
      </c>
      <c r="E4092" t="s">
        <v>43</v>
      </c>
      <c r="F4092" t="s">
        <v>44</v>
      </c>
      <c r="G4092" t="s">
        <v>45</v>
      </c>
      <c r="AH4092" t="s">
        <v>42</v>
      </c>
      <c r="AI4092" t="str">
        <f>"66298928488138"</f>
        <v>66298928488138</v>
      </c>
      <c r="AJ4092" t="str">
        <f>"RB008-BLANCO"</f>
        <v>RB008-BLANCO</v>
      </c>
      <c r="AK4092" t="s">
        <v>46</v>
      </c>
      <c r="AL4092" s="1">
        <v>44816.561157407406</v>
      </c>
      <c r="AM4092" t="s">
        <v>44</v>
      </c>
    </row>
    <row r="4093" spans="1:39" x14ac:dyDescent="0.2">
      <c r="A4093" t="s">
        <v>3880</v>
      </c>
      <c r="B4093" t="s">
        <v>40</v>
      </c>
      <c r="C4093" t="s">
        <v>50</v>
      </c>
      <c r="D4093" t="s">
        <v>42</v>
      </c>
      <c r="E4093" t="s">
        <v>43</v>
      </c>
      <c r="F4093" t="s">
        <v>44</v>
      </c>
      <c r="G4093" t="s">
        <v>45</v>
      </c>
      <c r="H4093" t="s">
        <v>1114</v>
      </c>
      <c r="AH4093" t="s">
        <v>42</v>
      </c>
      <c r="AI4093" t="str">
        <f>"133165-AZUL"</f>
        <v>133165-AZUL</v>
      </c>
      <c r="AJ4093" t="str">
        <f>"133165-AZUL"</f>
        <v>133165-AZUL</v>
      </c>
      <c r="AK4093" t="s">
        <v>46</v>
      </c>
      <c r="AL4093" s="1">
        <v>45106.908009259256</v>
      </c>
      <c r="AM4093" t="s">
        <v>44</v>
      </c>
    </row>
    <row r="4094" spans="1:39" x14ac:dyDescent="0.2">
      <c r="A4094" t="s">
        <v>3880</v>
      </c>
      <c r="B4094" t="s">
        <v>40</v>
      </c>
      <c r="C4094" t="s">
        <v>50</v>
      </c>
      <c r="D4094" t="s">
        <v>42</v>
      </c>
      <c r="E4094" t="s">
        <v>43</v>
      </c>
      <c r="F4094" t="s">
        <v>44</v>
      </c>
      <c r="G4094" t="s">
        <v>45</v>
      </c>
      <c r="H4094" t="s">
        <v>1123</v>
      </c>
      <c r="AH4094" t="s">
        <v>42</v>
      </c>
      <c r="AI4094" t="str">
        <f>"133165-ROJO"</f>
        <v>133165-ROJO</v>
      </c>
      <c r="AJ4094" t="str">
        <f>"133165-ROJO"</f>
        <v>133165-ROJO</v>
      </c>
      <c r="AK4094" t="s">
        <v>46</v>
      </c>
      <c r="AL4094" s="1">
        <v>45106.907858796294</v>
      </c>
      <c r="AM4094" t="s">
        <v>44</v>
      </c>
    </row>
    <row r="4095" spans="1:39" x14ac:dyDescent="0.2">
      <c r="A4095" t="s">
        <v>3881</v>
      </c>
      <c r="B4095" t="s">
        <v>40</v>
      </c>
      <c r="C4095" t="s">
        <v>50</v>
      </c>
      <c r="D4095" t="s">
        <v>42</v>
      </c>
      <c r="E4095" t="s">
        <v>43</v>
      </c>
      <c r="F4095" t="s">
        <v>44</v>
      </c>
      <c r="G4095" t="s">
        <v>45</v>
      </c>
      <c r="AH4095" t="s">
        <v>42</v>
      </c>
      <c r="AI4095" t="str">
        <f>"66298928526268"</f>
        <v>66298928526268</v>
      </c>
      <c r="AJ4095" t="str">
        <f>"RB009-CAFE"</f>
        <v>RB009-CAFE</v>
      </c>
      <c r="AK4095" t="s">
        <v>46</v>
      </c>
      <c r="AL4095" s="1">
        <v>44816.561168981483</v>
      </c>
      <c r="AM4095" t="s">
        <v>44</v>
      </c>
    </row>
    <row r="4096" spans="1:39" x14ac:dyDescent="0.2">
      <c r="A4096" t="s">
        <v>3882</v>
      </c>
      <c r="B4096" t="s">
        <v>40</v>
      </c>
      <c r="C4096" t="s">
        <v>50</v>
      </c>
      <c r="D4096" t="s">
        <v>42</v>
      </c>
      <c r="E4096" t="s">
        <v>43</v>
      </c>
      <c r="F4096" t="s">
        <v>44</v>
      </c>
      <c r="G4096" t="s">
        <v>45</v>
      </c>
      <c r="AH4096" t="s">
        <v>42</v>
      </c>
      <c r="AI4096" t="str">
        <f>"66298928569807"</f>
        <v>66298928569807</v>
      </c>
      <c r="AJ4096" t="str">
        <f>"RB009-NARANJO"</f>
        <v>RB009-NARANJO</v>
      </c>
      <c r="AK4096" t="s">
        <v>46</v>
      </c>
      <c r="AL4096" s="1">
        <v>44816.561168981483</v>
      </c>
      <c r="AM4096" t="s">
        <v>44</v>
      </c>
    </row>
    <row r="4097" spans="1:39" x14ac:dyDescent="0.2">
      <c r="A4097" t="s">
        <v>3883</v>
      </c>
      <c r="B4097" t="s">
        <v>40</v>
      </c>
      <c r="C4097" t="s">
        <v>50</v>
      </c>
      <c r="D4097" t="s">
        <v>42</v>
      </c>
      <c r="E4097" t="s">
        <v>43</v>
      </c>
      <c r="F4097" t="s">
        <v>44</v>
      </c>
      <c r="G4097" t="s">
        <v>45</v>
      </c>
      <c r="H4097" t="s">
        <v>2037</v>
      </c>
      <c r="AH4097" t="s">
        <v>42</v>
      </c>
      <c r="AI4097" t="str">
        <f>"CUBRE-G-NEGRO"</f>
        <v>CUBRE-G-NEGRO</v>
      </c>
      <c r="AJ4097" t="str">
        <f>"CUBRE-G-NEGRO"</f>
        <v>CUBRE-G-NEGRO</v>
      </c>
      <c r="AK4097" t="s">
        <v>46</v>
      </c>
      <c r="AL4097" s="1">
        <v>45000.869375000002</v>
      </c>
      <c r="AM4097" t="s">
        <v>44</v>
      </c>
    </row>
    <row r="4098" spans="1:39" x14ac:dyDescent="0.2">
      <c r="A4098" t="s">
        <v>3883</v>
      </c>
      <c r="B4098" t="s">
        <v>40</v>
      </c>
      <c r="C4098" t="s">
        <v>50</v>
      </c>
      <c r="D4098" t="s">
        <v>42</v>
      </c>
      <c r="E4098" t="s">
        <v>43</v>
      </c>
      <c r="F4098" t="s">
        <v>44</v>
      </c>
      <c r="G4098" t="s">
        <v>45</v>
      </c>
      <c r="H4098" t="s">
        <v>1123</v>
      </c>
      <c r="AH4098" t="s">
        <v>42</v>
      </c>
      <c r="AI4098" t="str">
        <f>"CUBRE-G-ROJO"</f>
        <v>CUBRE-G-ROJO</v>
      </c>
      <c r="AJ4098" t="str">
        <f>"CUBRE-G-ROJO"</f>
        <v>CUBRE-G-ROJO</v>
      </c>
      <c r="AK4098" t="s">
        <v>46</v>
      </c>
      <c r="AL4098" s="1">
        <v>45000.869027777779</v>
      </c>
      <c r="AM4098" t="s">
        <v>44</v>
      </c>
    </row>
    <row r="4099" spans="1:39" x14ac:dyDescent="0.2">
      <c r="A4099" t="s">
        <v>3884</v>
      </c>
      <c r="B4099" t="s">
        <v>40</v>
      </c>
      <c r="C4099" t="s">
        <v>50</v>
      </c>
      <c r="D4099" t="s">
        <v>42</v>
      </c>
      <c r="E4099" t="s">
        <v>43</v>
      </c>
      <c r="F4099" t="s">
        <v>44</v>
      </c>
      <c r="G4099" t="s">
        <v>45</v>
      </c>
      <c r="H4099" t="s">
        <v>2370</v>
      </c>
      <c r="AH4099" t="s">
        <v>42</v>
      </c>
      <c r="AI4099" t="str">
        <f>"CUBRE-P-BLANCO"</f>
        <v>CUBRE-P-BLANCO</v>
      </c>
      <c r="AJ4099" t="str">
        <f>"CUBRE-P-BLANCO"</f>
        <v>CUBRE-P-BLANCO</v>
      </c>
      <c r="AK4099" t="s">
        <v>46</v>
      </c>
      <c r="AL4099" s="1">
        <v>45000.869988425926</v>
      </c>
      <c r="AM4099" t="s">
        <v>44</v>
      </c>
    </row>
    <row r="4100" spans="1:39" x14ac:dyDescent="0.2">
      <c r="A4100" t="s">
        <v>3884</v>
      </c>
      <c r="B4100" t="s">
        <v>40</v>
      </c>
      <c r="C4100" t="s">
        <v>50</v>
      </c>
      <c r="D4100" t="s">
        <v>42</v>
      </c>
      <c r="E4100" t="s">
        <v>43</v>
      </c>
      <c r="F4100" t="s">
        <v>44</v>
      </c>
      <c r="G4100" t="s">
        <v>45</v>
      </c>
      <c r="H4100" t="s">
        <v>2037</v>
      </c>
      <c r="AH4100" t="s">
        <v>42</v>
      </c>
      <c r="AI4100" t="str">
        <f>"CUBRE-P-NEGRO"</f>
        <v>CUBRE-P-NEGRO</v>
      </c>
      <c r="AJ4100" t="str">
        <f>"CUBRE-P-NEGRO"</f>
        <v>CUBRE-P-NEGRO</v>
      </c>
      <c r="AK4100" t="s">
        <v>46</v>
      </c>
      <c r="AL4100" s="1">
        <v>45000.870104166665</v>
      </c>
      <c r="AM4100" t="s">
        <v>44</v>
      </c>
    </row>
    <row r="4101" spans="1:39" x14ac:dyDescent="0.2">
      <c r="A4101" t="s">
        <v>3885</v>
      </c>
      <c r="B4101" t="s">
        <v>40</v>
      </c>
      <c r="C4101" t="s">
        <v>50</v>
      </c>
      <c r="D4101" t="s">
        <v>42</v>
      </c>
      <c r="E4101" t="s">
        <v>43</v>
      </c>
      <c r="F4101" t="s">
        <v>44</v>
      </c>
      <c r="G4101" t="s">
        <v>45</v>
      </c>
      <c r="AH4101" t="s">
        <v>42</v>
      </c>
      <c r="AI4101" t="str">
        <f>"55882"</f>
        <v>55882</v>
      </c>
      <c r="AJ4101" t="str">
        <f>"55882"</f>
        <v>55882</v>
      </c>
      <c r="AK4101" t="s">
        <v>46</v>
      </c>
      <c r="AL4101" s="1">
        <v>45091.024016203701</v>
      </c>
      <c r="AM4101" t="s">
        <v>44</v>
      </c>
    </row>
    <row r="4102" spans="1:39" x14ac:dyDescent="0.2">
      <c r="A4102" t="s">
        <v>3885</v>
      </c>
      <c r="B4102" t="s">
        <v>40</v>
      </c>
      <c r="C4102" t="s">
        <v>50</v>
      </c>
      <c r="D4102" t="s">
        <v>42</v>
      </c>
      <c r="E4102" t="s">
        <v>43</v>
      </c>
      <c r="F4102" t="s">
        <v>44</v>
      </c>
      <c r="G4102" t="s">
        <v>45</v>
      </c>
      <c r="AH4102" t="s">
        <v>42</v>
      </c>
      <c r="AI4102" t="str">
        <f>"55883"</f>
        <v>55883</v>
      </c>
      <c r="AJ4102" t="str">
        <f>"55883"</f>
        <v>55883</v>
      </c>
      <c r="AK4102" t="s">
        <v>46</v>
      </c>
      <c r="AL4102" s="1">
        <v>45091.024513888886</v>
      </c>
      <c r="AM4102" t="s">
        <v>44</v>
      </c>
    </row>
    <row r="4103" spans="1:39" x14ac:dyDescent="0.2">
      <c r="A4103" t="s">
        <v>3885</v>
      </c>
      <c r="B4103" t="s">
        <v>40</v>
      </c>
      <c r="C4103" t="s">
        <v>50</v>
      </c>
      <c r="D4103" t="s">
        <v>42</v>
      </c>
      <c r="E4103" t="s">
        <v>43</v>
      </c>
      <c r="F4103" t="s">
        <v>44</v>
      </c>
      <c r="G4103" t="s">
        <v>45</v>
      </c>
      <c r="AH4103" t="s">
        <v>42</v>
      </c>
      <c r="AI4103" t="str">
        <f>"RB003"</f>
        <v>RB003</v>
      </c>
      <c r="AJ4103" t="str">
        <f>"RB003"</f>
        <v>RB003</v>
      </c>
      <c r="AK4103" t="s">
        <v>46</v>
      </c>
      <c r="AL4103" s="1">
        <v>45093.871412037035</v>
      </c>
      <c r="AM4103" t="s">
        <v>44</v>
      </c>
    </row>
    <row r="4104" spans="1:39" x14ac:dyDescent="0.2">
      <c r="A4104" t="s">
        <v>3886</v>
      </c>
      <c r="B4104" t="s">
        <v>40</v>
      </c>
      <c r="C4104" t="s">
        <v>50</v>
      </c>
      <c r="D4104" t="s">
        <v>42</v>
      </c>
      <c r="E4104" t="s">
        <v>43</v>
      </c>
      <c r="F4104" t="s">
        <v>44</v>
      </c>
      <c r="G4104" t="s">
        <v>45</v>
      </c>
      <c r="AH4104" t="s">
        <v>42</v>
      </c>
      <c r="AI4104" t="str">
        <f>"66298928612281"</f>
        <v>66298928612281</v>
      </c>
      <c r="AJ4104" t="str">
        <f>"RB012-AZUL"</f>
        <v>RB012-AZUL</v>
      </c>
      <c r="AK4104" t="s">
        <v>46</v>
      </c>
      <c r="AL4104" s="1">
        <v>44816.561180555553</v>
      </c>
      <c r="AM4104" t="s">
        <v>44</v>
      </c>
    </row>
    <row r="4105" spans="1:39" x14ac:dyDescent="0.2">
      <c r="A4105" t="s">
        <v>3887</v>
      </c>
      <c r="B4105" t="s">
        <v>40</v>
      </c>
      <c r="C4105" t="s">
        <v>50</v>
      </c>
      <c r="D4105" t="s">
        <v>42</v>
      </c>
      <c r="E4105" t="s">
        <v>43</v>
      </c>
      <c r="F4105" t="s">
        <v>44</v>
      </c>
      <c r="G4105" t="s">
        <v>45</v>
      </c>
      <c r="AH4105" t="s">
        <v>42</v>
      </c>
      <c r="AI4105" t="str">
        <f>"66298928657123"</f>
        <v>66298928657123</v>
      </c>
      <c r="AJ4105" t="str">
        <f>"RB012-NARANJA"</f>
        <v>RB012-NARANJA</v>
      </c>
      <c r="AK4105" t="s">
        <v>46</v>
      </c>
      <c r="AL4105" s="1">
        <v>44816.561180555553</v>
      </c>
      <c r="AM4105" t="s">
        <v>44</v>
      </c>
    </row>
    <row r="4106" spans="1:39" x14ac:dyDescent="0.2">
      <c r="A4106" t="s">
        <v>3888</v>
      </c>
      <c r="B4106" t="s">
        <v>40</v>
      </c>
      <c r="C4106" t="s">
        <v>50</v>
      </c>
      <c r="D4106" t="s">
        <v>42</v>
      </c>
      <c r="E4106" t="s">
        <v>43</v>
      </c>
      <c r="F4106" t="s">
        <v>44</v>
      </c>
      <c r="G4106" t="s">
        <v>45</v>
      </c>
      <c r="AH4106" t="s">
        <v>42</v>
      </c>
      <c r="AI4106" t="str">
        <f>"66298928697047"</f>
        <v>66298928697047</v>
      </c>
      <c r="AJ4106" t="str">
        <f>"RB012-NEGRO"</f>
        <v>RB012-NEGRO</v>
      </c>
      <c r="AK4106" t="s">
        <v>46</v>
      </c>
      <c r="AL4106" s="1">
        <v>44816.561180555553</v>
      </c>
      <c r="AM4106" t="s">
        <v>44</v>
      </c>
    </row>
    <row r="4107" spans="1:39" x14ac:dyDescent="0.2">
      <c r="A4107" t="s">
        <v>3889</v>
      </c>
      <c r="B4107" t="s">
        <v>40</v>
      </c>
      <c r="C4107" t="s">
        <v>50</v>
      </c>
      <c r="D4107" t="s">
        <v>42</v>
      </c>
      <c r="E4107" t="s">
        <v>43</v>
      </c>
      <c r="F4107" t="s">
        <v>44</v>
      </c>
      <c r="G4107" t="s">
        <v>45</v>
      </c>
      <c r="AH4107" t="s">
        <v>42</v>
      </c>
      <c r="AI4107" t="str">
        <f>"66298928738602"</f>
        <v>66298928738602</v>
      </c>
      <c r="AJ4107" t="str">
        <f>"RB012-VERDE"</f>
        <v>RB012-VERDE</v>
      </c>
      <c r="AK4107" t="s">
        <v>46</v>
      </c>
      <c r="AL4107" s="1">
        <v>44816.561192129629</v>
      </c>
      <c r="AM4107" t="s">
        <v>44</v>
      </c>
    </row>
    <row r="4108" spans="1:39" x14ac:dyDescent="0.2">
      <c r="A4108" t="s">
        <v>3890</v>
      </c>
      <c r="B4108" t="s">
        <v>40</v>
      </c>
      <c r="C4108" t="s">
        <v>50</v>
      </c>
      <c r="D4108" t="s">
        <v>42</v>
      </c>
      <c r="E4108" t="s">
        <v>43</v>
      </c>
      <c r="F4108" t="s">
        <v>44</v>
      </c>
      <c r="G4108" t="s">
        <v>45</v>
      </c>
      <c r="AH4108" t="s">
        <v>42</v>
      </c>
      <c r="AI4108" t="str">
        <f>"66298928781827"</f>
        <v>66298928781827</v>
      </c>
      <c r="AJ4108" t="str">
        <f>"82304"</f>
        <v>82304</v>
      </c>
      <c r="AK4108" t="s">
        <v>46</v>
      </c>
      <c r="AL4108" s="1">
        <v>44816.561192129629</v>
      </c>
      <c r="AM4108" t="s">
        <v>44</v>
      </c>
    </row>
    <row r="4109" spans="1:39" x14ac:dyDescent="0.2">
      <c r="A4109" t="s">
        <v>3891</v>
      </c>
      <c r="B4109" t="s">
        <v>40</v>
      </c>
      <c r="C4109" t="s">
        <v>129</v>
      </c>
      <c r="D4109" t="s">
        <v>42</v>
      </c>
      <c r="E4109" t="s">
        <v>43</v>
      </c>
      <c r="F4109" t="s">
        <v>44</v>
      </c>
      <c r="G4109" t="s">
        <v>45</v>
      </c>
      <c r="AH4109" t="s">
        <v>42</v>
      </c>
      <c r="AI4109" t="str">
        <f>"66502509408827"</f>
        <v>66502509408827</v>
      </c>
      <c r="AJ4109" t="str">
        <f>"PRUASV"</f>
        <v>PRUASV</v>
      </c>
      <c r="AK4109" t="s">
        <v>46</v>
      </c>
      <c r="AL4109" s="1">
        <v>44840.123773148145</v>
      </c>
      <c r="AM4109" t="s">
        <v>44</v>
      </c>
    </row>
    <row r="4110" spans="1:39" x14ac:dyDescent="0.2">
      <c r="A4110" t="s">
        <v>3892</v>
      </c>
      <c r="B4110" t="s">
        <v>40</v>
      </c>
      <c r="C4110" t="s">
        <v>129</v>
      </c>
      <c r="D4110" t="s">
        <v>42</v>
      </c>
      <c r="E4110" t="s">
        <v>43</v>
      </c>
      <c r="F4110" t="s">
        <v>44</v>
      </c>
      <c r="G4110" t="s">
        <v>45</v>
      </c>
      <c r="AH4110" t="s">
        <v>42</v>
      </c>
      <c r="AI4110" t="str">
        <f>"66298928822232"</f>
        <v>66298928822232</v>
      </c>
      <c r="AJ4110" t="str">
        <f>"PRUEBA-1"</f>
        <v>PRUEBA-1</v>
      </c>
      <c r="AK4110" t="s">
        <v>46</v>
      </c>
      <c r="AL4110" s="1">
        <v>44816.561203703706</v>
      </c>
      <c r="AM4110" t="s">
        <v>44</v>
      </c>
    </row>
    <row r="4111" spans="1:39" x14ac:dyDescent="0.2">
      <c r="A4111" t="s">
        <v>3893</v>
      </c>
      <c r="B4111" t="s">
        <v>40</v>
      </c>
      <c r="C4111" t="s">
        <v>129</v>
      </c>
      <c r="D4111" t="s">
        <v>42</v>
      </c>
      <c r="E4111" t="s">
        <v>43</v>
      </c>
      <c r="F4111" t="s">
        <v>44</v>
      </c>
      <c r="G4111" t="s">
        <v>45</v>
      </c>
      <c r="AH4111" t="s">
        <v>42</v>
      </c>
      <c r="AI4111" t="str">
        <f>"66298928863388"</f>
        <v>66298928863388</v>
      </c>
      <c r="AJ4111" t="str">
        <f>"PRUEBA-2"</f>
        <v>PRUEBA-2</v>
      </c>
      <c r="AK4111" t="s">
        <v>46</v>
      </c>
      <c r="AL4111" s="1">
        <v>44816.561203703706</v>
      </c>
      <c r="AM4111" t="s">
        <v>44</v>
      </c>
    </row>
    <row r="4112" spans="1:39" x14ac:dyDescent="0.2">
      <c r="A4112" t="s">
        <v>3894</v>
      </c>
      <c r="B4112" t="s">
        <v>40</v>
      </c>
      <c r="C4112" t="s">
        <v>129</v>
      </c>
      <c r="D4112" t="s">
        <v>42</v>
      </c>
      <c r="E4112" t="s">
        <v>43</v>
      </c>
      <c r="F4112" t="s">
        <v>44</v>
      </c>
      <c r="G4112" t="s">
        <v>45</v>
      </c>
      <c r="AH4112" t="s">
        <v>42</v>
      </c>
      <c r="AI4112" t="str">
        <f>"66298928903605"</f>
        <v>66298928903605</v>
      </c>
      <c r="AJ4112" t="str">
        <f>"PRUEBA-3"</f>
        <v>PRUEBA-3</v>
      </c>
      <c r="AK4112" t="s">
        <v>46</v>
      </c>
      <c r="AL4112" s="1">
        <v>44816.561215277776</v>
      </c>
      <c r="AM4112" t="s">
        <v>44</v>
      </c>
    </row>
    <row r="4113" spans="1:39" x14ac:dyDescent="0.2">
      <c r="A4113" t="s">
        <v>3895</v>
      </c>
      <c r="B4113" t="s">
        <v>40</v>
      </c>
      <c r="C4113" t="s">
        <v>129</v>
      </c>
      <c r="D4113" t="s">
        <v>42</v>
      </c>
      <c r="E4113" t="s">
        <v>43</v>
      </c>
      <c r="F4113" t="s">
        <v>44</v>
      </c>
      <c r="G4113" t="s">
        <v>45</v>
      </c>
      <c r="AH4113" t="s">
        <v>42</v>
      </c>
      <c r="AI4113" t="str">
        <f>"66298928995746"</f>
        <v>66298928995746</v>
      </c>
      <c r="AJ4113" t="str">
        <f>"PROVEEDOR-1"</f>
        <v>PROVEEDOR-1</v>
      </c>
      <c r="AK4113" t="s">
        <v>46</v>
      </c>
      <c r="AL4113" s="1">
        <v>44816.561215277776</v>
      </c>
      <c r="AM4113" t="s">
        <v>44</v>
      </c>
    </row>
    <row r="4114" spans="1:39" x14ac:dyDescent="0.2">
      <c r="A4114" t="s">
        <v>3896</v>
      </c>
      <c r="B4114" t="s">
        <v>40</v>
      </c>
      <c r="C4114" t="s">
        <v>50</v>
      </c>
      <c r="D4114" t="s">
        <v>42</v>
      </c>
      <c r="E4114" t="s">
        <v>43</v>
      </c>
      <c r="F4114" t="s">
        <v>44</v>
      </c>
      <c r="G4114" t="s">
        <v>45</v>
      </c>
      <c r="AH4114" t="s">
        <v>42</v>
      </c>
      <c r="AI4114" t="str">
        <f>"7335"</f>
        <v>7335</v>
      </c>
      <c r="AJ4114" t="str">
        <f>"7335"</f>
        <v>7335</v>
      </c>
      <c r="AK4114" t="s">
        <v>46</v>
      </c>
      <c r="AL4114" s="1">
        <v>44995.570335648146</v>
      </c>
      <c r="AM4114" t="s">
        <v>44</v>
      </c>
    </row>
    <row r="4115" spans="1:39" x14ac:dyDescent="0.2">
      <c r="A4115" t="s">
        <v>3896</v>
      </c>
      <c r="B4115" t="s">
        <v>40</v>
      </c>
      <c r="C4115" t="s">
        <v>50</v>
      </c>
      <c r="D4115" t="s">
        <v>42</v>
      </c>
      <c r="E4115" t="s">
        <v>43</v>
      </c>
      <c r="F4115" t="s">
        <v>44</v>
      </c>
      <c r="G4115" t="s">
        <v>45</v>
      </c>
      <c r="H4115" t="s">
        <v>2037</v>
      </c>
      <c r="AH4115" t="s">
        <v>42</v>
      </c>
      <c r="AI4115" t="str">
        <f>"ZZE009-NEGRO"</f>
        <v>ZZE009-NEGRO</v>
      </c>
      <c r="AJ4115" t="str">
        <f>"ZZE009-NEGRO"</f>
        <v>ZZE009-NEGRO</v>
      </c>
      <c r="AK4115" t="s">
        <v>46</v>
      </c>
      <c r="AL4115" s="1">
        <v>45093.872662037036</v>
      </c>
      <c r="AM4115" t="s">
        <v>44</v>
      </c>
    </row>
    <row r="4116" spans="1:39" x14ac:dyDescent="0.2">
      <c r="A4116" t="s">
        <v>3897</v>
      </c>
      <c r="B4116" t="s">
        <v>40</v>
      </c>
      <c r="C4116" t="s">
        <v>50</v>
      </c>
      <c r="D4116" t="s">
        <v>42</v>
      </c>
      <c r="E4116" t="s">
        <v>43</v>
      </c>
      <c r="F4116" t="s">
        <v>44</v>
      </c>
      <c r="G4116" t="s">
        <v>45</v>
      </c>
      <c r="AH4116" t="s">
        <v>42</v>
      </c>
      <c r="AI4116" t="str">
        <f>"66298929038391"</f>
        <v>66298929038391</v>
      </c>
      <c r="AJ4116" t="str">
        <f>"WJ005"</f>
        <v>WJ005</v>
      </c>
      <c r="AK4116" t="s">
        <v>46</v>
      </c>
      <c r="AL4116" s="1">
        <v>44816.561226851853</v>
      </c>
      <c r="AM4116" t="s">
        <v>44</v>
      </c>
    </row>
    <row r="4117" spans="1:39" x14ac:dyDescent="0.2">
      <c r="A4117" t="s">
        <v>3898</v>
      </c>
      <c r="B4117" t="s">
        <v>40</v>
      </c>
      <c r="C4117" t="s">
        <v>50</v>
      </c>
      <c r="D4117" t="s">
        <v>42</v>
      </c>
      <c r="E4117" t="s">
        <v>43</v>
      </c>
      <c r="F4117" t="s">
        <v>44</v>
      </c>
      <c r="G4117" t="s">
        <v>45</v>
      </c>
      <c r="AH4117" t="s">
        <v>42</v>
      </c>
      <c r="AI4117" t="str">
        <f>"66298929305412"</f>
        <v>66298929305412</v>
      </c>
      <c r="AJ4117" t="str">
        <f>"J039-ROJO"</f>
        <v>J039-ROJO</v>
      </c>
      <c r="AK4117" t="s">
        <v>46</v>
      </c>
      <c r="AL4117" s="1">
        <v>44816.561261574076</v>
      </c>
      <c r="AM4117" t="s">
        <v>44</v>
      </c>
    </row>
    <row r="4118" spans="1:39" x14ac:dyDescent="0.2">
      <c r="A4118" t="s">
        <v>3899</v>
      </c>
      <c r="B4118" t="s">
        <v>40</v>
      </c>
      <c r="C4118" t="s">
        <v>50</v>
      </c>
      <c r="D4118" t="s">
        <v>42</v>
      </c>
      <c r="E4118" t="s">
        <v>43</v>
      </c>
      <c r="F4118" t="s">
        <v>44</v>
      </c>
      <c r="G4118" t="s">
        <v>45</v>
      </c>
      <c r="H4118" t="s">
        <v>1114</v>
      </c>
      <c r="AH4118" t="s">
        <v>42</v>
      </c>
      <c r="AI4118" t="str">
        <f>"0296-AZUL"</f>
        <v>0296-AZUL</v>
      </c>
      <c r="AJ4118" t="str">
        <f>"0296-AZUL"</f>
        <v>0296-AZUL</v>
      </c>
      <c r="AK4118" t="s">
        <v>46</v>
      </c>
      <c r="AL4118" s="1">
        <v>44996.697314814817</v>
      </c>
      <c r="AM4118" t="s">
        <v>44</v>
      </c>
    </row>
    <row r="4119" spans="1:39" x14ac:dyDescent="0.2">
      <c r="A4119" t="s">
        <v>3899</v>
      </c>
      <c r="B4119" t="s">
        <v>40</v>
      </c>
      <c r="C4119" t="s">
        <v>50</v>
      </c>
      <c r="D4119" t="s">
        <v>42</v>
      </c>
      <c r="E4119" t="s">
        <v>43</v>
      </c>
      <c r="F4119" t="s">
        <v>44</v>
      </c>
      <c r="G4119" t="s">
        <v>45</v>
      </c>
      <c r="H4119" t="s">
        <v>2340</v>
      </c>
      <c r="AH4119" t="s">
        <v>42</v>
      </c>
      <c r="AI4119" t="str">
        <f>"0296-DORADO"</f>
        <v>0296-DORADO</v>
      </c>
      <c r="AJ4119" t="str">
        <f>"0296-DORADO"</f>
        <v>0296-DORADO</v>
      </c>
      <c r="AK4119" t="s">
        <v>46</v>
      </c>
      <c r="AL4119" s="1">
        <v>44996.697083333333</v>
      </c>
      <c r="AM4119" t="s">
        <v>44</v>
      </c>
    </row>
    <row r="4120" spans="1:39" x14ac:dyDescent="0.2">
      <c r="A4120" t="s">
        <v>3899</v>
      </c>
      <c r="B4120" t="s">
        <v>40</v>
      </c>
      <c r="C4120" t="s">
        <v>50</v>
      </c>
      <c r="D4120" t="s">
        <v>42</v>
      </c>
      <c r="E4120" t="s">
        <v>43</v>
      </c>
      <c r="F4120" t="s">
        <v>44</v>
      </c>
      <c r="G4120" t="s">
        <v>45</v>
      </c>
      <c r="H4120" t="s">
        <v>2037</v>
      </c>
      <c r="AH4120" t="s">
        <v>42</v>
      </c>
      <c r="AI4120" t="str">
        <f>"0296-NEGRO"</f>
        <v>0296-NEGRO</v>
      </c>
      <c r="AJ4120" t="str">
        <f>"0296-NEGRO"</f>
        <v>0296-NEGRO</v>
      </c>
      <c r="AK4120" t="s">
        <v>46</v>
      </c>
      <c r="AL4120" s="1">
        <v>44996.696296296293</v>
      </c>
      <c r="AM4120" t="s">
        <v>44</v>
      </c>
    </row>
    <row r="4121" spans="1:39" x14ac:dyDescent="0.2">
      <c r="A4121" t="s">
        <v>3899</v>
      </c>
      <c r="B4121" t="s">
        <v>40</v>
      </c>
      <c r="C4121" t="s">
        <v>50</v>
      </c>
      <c r="D4121" t="s">
        <v>42</v>
      </c>
      <c r="E4121" t="s">
        <v>43</v>
      </c>
      <c r="F4121" t="s">
        <v>44</v>
      </c>
      <c r="G4121" t="s">
        <v>45</v>
      </c>
      <c r="H4121" t="s">
        <v>2341</v>
      </c>
      <c r="AH4121" t="s">
        <v>42</v>
      </c>
      <c r="AI4121" t="str">
        <f>"0296-PLATEADO"</f>
        <v>0296-PLATEADO</v>
      </c>
      <c r="AJ4121" t="str">
        <f>"0296-PLATEADO"</f>
        <v>0296-PLATEADO</v>
      </c>
      <c r="AK4121" t="s">
        <v>46</v>
      </c>
      <c r="AL4121" s="1">
        <v>44996.696574074071</v>
      </c>
      <c r="AM4121" t="s">
        <v>44</v>
      </c>
    </row>
    <row r="4122" spans="1:39" x14ac:dyDescent="0.2">
      <c r="A4122" t="s">
        <v>3899</v>
      </c>
      <c r="B4122" t="s">
        <v>40</v>
      </c>
      <c r="C4122" t="s">
        <v>50</v>
      </c>
      <c r="D4122" t="s">
        <v>42</v>
      </c>
      <c r="E4122" t="s">
        <v>43</v>
      </c>
      <c r="F4122" t="s">
        <v>44</v>
      </c>
      <c r="G4122" t="s">
        <v>45</v>
      </c>
      <c r="H4122" t="s">
        <v>1123</v>
      </c>
      <c r="AH4122" t="s">
        <v>42</v>
      </c>
      <c r="AI4122" t="str">
        <f>"0296-ROJO"</f>
        <v>0296-ROJO</v>
      </c>
      <c r="AJ4122" t="str">
        <f>"0296-ROJO"</f>
        <v>0296-ROJO</v>
      </c>
      <c r="AK4122" t="s">
        <v>46</v>
      </c>
      <c r="AL4122" s="1">
        <v>44996.696817129632</v>
      </c>
      <c r="AM4122" t="s">
        <v>44</v>
      </c>
    </row>
    <row r="4123" spans="1:39" x14ac:dyDescent="0.2">
      <c r="A4123" t="s">
        <v>3900</v>
      </c>
      <c r="B4123" t="s">
        <v>40</v>
      </c>
      <c r="C4123" t="s">
        <v>50</v>
      </c>
      <c r="D4123" t="s">
        <v>42</v>
      </c>
      <c r="E4123" t="s">
        <v>43</v>
      </c>
      <c r="F4123" t="s">
        <v>44</v>
      </c>
      <c r="G4123" t="s">
        <v>45</v>
      </c>
      <c r="H4123" t="s">
        <v>1118</v>
      </c>
      <c r="AH4123" t="s">
        <v>42</v>
      </c>
      <c r="AI4123" t="str">
        <f>"DSB-AMARILLO"</f>
        <v>DSB-AMARILLO</v>
      </c>
      <c r="AJ4123" t="str">
        <f>"DBS-AMARILLO"</f>
        <v>DBS-AMARILLO</v>
      </c>
      <c r="AK4123" t="s">
        <v>46</v>
      </c>
      <c r="AL4123" s="1">
        <v>44999.631261574075</v>
      </c>
      <c r="AM4123" t="s">
        <v>44</v>
      </c>
    </row>
    <row r="4124" spans="1:39" x14ac:dyDescent="0.2">
      <c r="A4124" t="s">
        <v>3900</v>
      </c>
      <c r="B4124" t="s">
        <v>40</v>
      </c>
      <c r="C4124" t="s">
        <v>50</v>
      </c>
      <c r="D4124" t="s">
        <v>42</v>
      </c>
      <c r="E4124" t="s">
        <v>43</v>
      </c>
      <c r="F4124" t="s">
        <v>44</v>
      </c>
      <c r="G4124" t="s">
        <v>45</v>
      </c>
      <c r="H4124" t="s">
        <v>1114</v>
      </c>
      <c r="AH4124" t="s">
        <v>42</v>
      </c>
      <c r="AI4124" t="str">
        <f>"DBS-AZUL"</f>
        <v>DBS-AZUL</v>
      </c>
      <c r="AJ4124" t="str">
        <f>"DBS-AZUL"</f>
        <v>DBS-AZUL</v>
      </c>
      <c r="AK4124" t="s">
        <v>46</v>
      </c>
      <c r="AL4124" s="1">
        <v>44999.630995370368</v>
      </c>
      <c r="AM4124" t="s">
        <v>44</v>
      </c>
    </row>
    <row r="4125" spans="1:39" x14ac:dyDescent="0.2">
      <c r="A4125" t="s">
        <v>3900</v>
      </c>
      <c r="B4125" t="s">
        <v>40</v>
      </c>
      <c r="C4125" t="s">
        <v>50</v>
      </c>
      <c r="D4125" t="s">
        <v>42</v>
      </c>
      <c r="E4125" t="s">
        <v>43</v>
      </c>
      <c r="F4125" t="s">
        <v>44</v>
      </c>
      <c r="G4125" t="s">
        <v>45</v>
      </c>
      <c r="H4125" t="s">
        <v>1116</v>
      </c>
      <c r="AH4125" t="s">
        <v>42</v>
      </c>
      <c r="AI4125" t="str">
        <f>"DBS-NARANJO"</f>
        <v>DBS-NARANJO</v>
      </c>
      <c r="AJ4125" t="str">
        <f>"DBS-NARANJO"</f>
        <v>DBS-NARANJO</v>
      </c>
      <c r="AK4125" t="s">
        <v>46</v>
      </c>
      <c r="AL4125" s="1">
        <v>44999.63144675926</v>
      </c>
      <c r="AM4125" t="s">
        <v>44</v>
      </c>
    </row>
    <row r="4126" spans="1:39" x14ac:dyDescent="0.2">
      <c r="A4126" t="s">
        <v>3900</v>
      </c>
      <c r="B4126" t="s">
        <v>40</v>
      </c>
      <c r="C4126" t="s">
        <v>50</v>
      </c>
      <c r="D4126" t="s">
        <v>42</v>
      </c>
      <c r="E4126" t="s">
        <v>43</v>
      </c>
      <c r="F4126" t="s">
        <v>44</v>
      </c>
      <c r="G4126" t="s">
        <v>45</v>
      </c>
      <c r="H4126" t="s">
        <v>1123</v>
      </c>
      <c r="AH4126" t="s">
        <v>42</v>
      </c>
      <c r="AI4126" t="str">
        <f>"DBS-ROJO"</f>
        <v>DBS-ROJO</v>
      </c>
      <c r="AJ4126" t="str">
        <f>"DBS-ROJO"</f>
        <v>DBS-ROJO</v>
      </c>
      <c r="AK4126" t="s">
        <v>46</v>
      </c>
      <c r="AL4126" s="1">
        <v>44999.631122685183</v>
      </c>
      <c r="AM4126" t="s">
        <v>44</v>
      </c>
    </row>
    <row r="4127" spans="1:39" x14ac:dyDescent="0.2">
      <c r="A4127" t="s">
        <v>3901</v>
      </c>
      <c r="B4127" t="s">
        <v>40</v>
      </c>
      <c r="C4127" t="s">
        <v>50</v>
      </c>
      <c r="D4127" t="s">
        <v>42</v>
      </c>
      <c r="E4127" t="s">
        <v>43</v>
      </c>
      <c r="F4127" t="s">
        <v>44</v>
      </c>
      <c r="G4127" t="s">
        <v>45</v>
      </c>
      <c r="H4127" t="s">
        <v>1114</v>
      </c>
      <c r="AH4127" t="s">
        <v>42</v>
      </c>
      <c r="AI4127" t="str">
        <f>"4739-AZUL"</f>
        <v>4739-AZUL</v>
      </c>
      <c r="AJ4127" t="str">
        <f>"4739-AZUL"</f>
        <v>4739-AZUL</v>
      </c>
      <c r="AK4127" t="s">
        <v>46</v>
      </c>
      <c r="AL4127" s="1">
        <v>44996.690821759257</v>
      </c>
      <c r="AM4127" t="s">
        <v>44</v>
      </c>
    </row>
    <row r="4128" spans="1:39" x14ac:dyDescent="0.2">
      <c r="A4128" t="s">
        <v>3901</v>
      </c>
      <c r="B4128" t="s">
        <v>40</v>
      </c>
      <c r="C4128" t="s">
        <v>50</v>
      </c>
      <c r="D4128" t="s">
        <v>42</v>
      </c>
      <c r="E4128" t="s">
        <v>43</v>
      </c>
      <c r="F4128" t="s">
        <v>44</v>
      </c>
      <c r="G4128" t="s">
        <v>45</v>
      </c>
      <c r="H4128" t="s">
        <v>2340</v>
      </c>
      <c r="AH4128" t="s">
        <v>43</v>
      </c>
      <c r="AI4128" t="str">
        <f>"4739-DORADO"</f>
        <v>4739-DORADO</v>
      </c>
      <c r="AJ4128" t="str">
        <f>"4739-DORADO"</f>
        <v>4739-DORADO</v>
      </c>
      <c r="AK4128" t="s">
        <v>46</v>
      </c>
      <c r="AL4128" s="1">
        <v>44996.691192129627</v>
      </c>
      <c r="AM4128" t="s">
        <v>44</v>
      </c>
    </row>
    <row r="4129" spans="1:39" x14ac:dyDescent="0.2">
      <c r="A4129" t="s">
        <v>3901</v>
      </c>
      <c r="B4129" t="s">
        <v>40</v>
      </c>
      <c r="C4129" t="s">
        <v>50</v>
      </c>
      <c r="D4129" t="s">
        <v>42</v>
      </c>
      <c r="E4129" t="s">
        <v>43</v>
      </c>
      <c r="F4129" t="s">
        <v>44</v>
      </c>
      <c r="G4129" t="s">
        <v>45</v>
      </c>
      <c r="H4129" t="s">
        <v>2037</v>
      </c>
      <c r="AH4129" t="s">
        <v>42</v>
      </c>
      <c r="AI4129" t="str">
        <f>"4739-NEGRO"</f>
        <v>4739-NEGRO</v>
      </c>
      <c r="AJ4129" t="str">
        <f>"4739-NEGRO"</f>
        <v>4739-NEGRO</v>
      </c>
      <c r="AK4129" t="s">
        <v>46</v>
      </c>
      <c r="AL4129" s="1">
        <v>44996.69189814815</v>
      </c>
      <c r="AM4129" t="s">
        <v>44</v>
      </c>
    </row>
    <row r="4130" spans="1:39" x14ac:dyDescent="0.2">
      <c r="A4130" t="s">
        <v>3901</v>
      </c>
      <c r="B4130" t="s">
        <v>40</v>
      </c>
      <c r="C4130" t="s">
        <v>50</v>
      </c>
      <c r="D4130" t="s">
        <v>42</v>
      </c>
      <c r="E4130" t="s">
        <v>43</v>
      </c>
      <c r="F4130" t="s">
        <v>44</v>
      </c>
      <c r="G4130" t="s">
        <v>45</v>
      </c>
      <c r="H4130" t="s">
        <v>2341</v>
      </c>
      <c r="AH4130" t="s">
        <v>42</v>
      </c>
      <c r="AI4130" t="str">
        <f>"4739-PLATEADO"</f>
        <v>4739-PLATEADO</v>
      </c>
      <c r="AJ4130" t="str">
        <f>"4739-PLATEADO"</f>
        <v>4739-PLATEADO</v>
      </c>
      <c r="AK4130" t="s">
        <v>46</v>
      </c>
      <c r="AL4130" s="1">
        <v>44996.691620370373</v>
      </c>
      <c r="AM4130" t="s">
        <v>44</v>
      </c>
    </row>
    <row r="4131" spans="1:39" x14ac:dyDescent="0.2">
      <c r="A4131" t="s">
        <v>3901</v>
      </c>
      <c r="B4131" t="s">
        <v>40</v>
      </c>
      <c r="C4131" t="s">
        <v>50</v>
      </c>
      <c r="D4131" t="s">
        <v>42</v>
      </c>
      <c r="E4131" t="s">
        <v>43</v>
      </c>
      <c r="F4131" t="s">
        <v>44</v>
      </c>
      <c r="G4131" t="s">
        <v>45</v>
      </c>
      <c r="H4131" t="s">
        <v>1123</v>
      </c>
      <c r="AH4131" t="s">
        <v>42</v>
      </c>
      <c r="AI4131" t="str">
        <f>"4739-ROJO"</f>
        <v>4739-ROJO</v>
      </c>
      <c r="AJ4131" t="str">
        <f>"4739-ROJO"</f>
        <v>4739-ROJO</v>
      </c>
      <c r="AK4131" t="s">
        <v>46</v>
      </c>
      <c r="AL4131" s="1">
        <v>44996.691377314812</v>
      </c>
      <c r="AM4131" t="s">
        <v>44</v>
      </c>
    </row>
    <row r="4132" spans="1:39" x14ac:dyDescent="0.2">
      <c r="A4132" t="s">
        <v>3902</v>
      </c>
      <c r="B4132" t="s">
        <v>40</v>
      </c>
      <c r="C4132" t="s">
        <v>50</v>
      </c>
      <c r="D4132" t="s">
        <v>42</v>
      </c>
      <c r="E4132" t="s">
        <v>43</v>
      </c>
      <c r="F4132" t="s">
        <v>44</v>
      </c>
      <c r="G4132" t="s">
        <v>45</v>
      </c>
      <c r="AH4132" t="s">
        <v>42</v>
      </c>
      <c r="AI4132" t="str">
        <f>"66298929242820"</f>
        <v>66298929242820</v>
      </c>
      <c r="AJ4132" t="str">
        <f>"J021"</f>
        <v>J021</v>
      </c>
      <c r="AK4132" t="s">
        <v>46</v>
      </c>
      <c r="AL4132" s="1">
        <v>44816.561249999999</v>
      </c>
      <c r="AM4132" t="s">
        <v>44</v>
      </c>
    </row>
    <row r="4133" spans="1:39" x14ac:dyDescent="0.2">
      <c r="A4133" t="s">
        <v>3902</v>
      </c>
      <c r="B4133" t="s">
        <v>40</v>
      </c>
      <c r="C4133" t="s">
        <v>50</v>
      </c>
      <c r="D4133" t="s">
        <v>42</v>
      </c>
      <c r="E4133" t="s">
        <v>43</v>
      </c>
      <c r="F4133" t="s">
        <v>44</v>
      </c>
      <c r="G4133" t="s">
        <v>45</v>
      </c>
      <c r="AH4133" t="s">
        <v>42</v>
      </c>
      <c r="AI4133" t="str">
        <f>"66298929250383"</f>
        <v>66298929250383</v>
      </c>
      <c r="AJ4133" t="str">
        <f>"J020"</f>
        <v>J020</v>
      </c>
      <c r="AK4133" t="s">
        <v>46</v>
      </c>
      <c r="AL4133" s="1">
        <v>44816.561249999999</v>
      </c>
      <c r="AM4133" t="s">
        <v>44</v>
      </c>
    </row>
    <row r="4134" spans="1:39" x14ac:dyDescent="0.2">
      <c r="A4134" t="s">
        <v>3902</v>
      </c>
      <c r="B4134" t="s">
        <v>40</v>
      </c>
      <c r="C4134" t="s">
        <v>50</v>
      </c>
      <c r="D4134" t="s">
        <v>42</v>
      </c>
      <c r="E4134" t="s">
        <v>43</v>
      </c>
      <c r="F4134" t="s">
        <v>44</v>
      </c>
      <c r="G4134" t="s">
        <v>45</v>
      </c>
      <c r="AH4134" t="s">
        <v>42</v>
      </c>
      <c r="AI4134" t="str">
        <f>"JA004"</f>
        <v>JA004</v>
      </c>
      <c r="AJ4134" t="str">
        <f>"JA004"</f>
        <v>JA004</v>
      </c>
      <c r="AK4134" t="s">
        <v>46</v>
      </c>
      <c r="AL4134" s="1">
        <v>45093.878298611111</v>
      </c>
      <c r="AM4134" t="s">
        <v>44</v>
      </c>
    </row>
    <row r="4135" spans="1:39" x14ac:dyDescent="0.2">
      <c r="A4135" t="s">
        <v>3902</v>
      </c>
      <c r="B4135" t="s">
        <v>40</v>
      </c>
      <c r="C4135" t="s">
        <v>50</v>
      </c>
      <c r="D4135" t="s">
        <v>42</v>
      </c>
      <c r="E4135" t="s">
        <v>43</v>
      </c>
      <c r="F4135" t="s">
        <v>44</v>
      </c>
      <c r="G4135" t="s">
        <v>45</v>
      </c>
      <c r="AH4135" t="s">
        <v>42</v>
      </c>
      <c r="AI4135" t="str">
        <f>"J065"</f>
        <v>J065</v>
      </c>
      <c r="AJ4135" t="str">
        <f>"J065"</f>
        <v>J065</v>
      </c>
      <c r="AK4135" t="s">
        <v>46</v>
      </c>
      <c r="AL4135" s="1">
        <v>45093.879756944443</v>
      </c>
      <c r="AM4135" t="s">
        <v>44</v>
      </c>
    </row>
    <row r="4136" spans="1:39" x14ac:dyDescent="0.2">
      <c r="A4136" t="s">
        <v>3902</v>
      </c>
      <c r="B4136" t="s">
        <v>40</v>
      </c>
      <c r="C4136" t="s">
        <v>50</v>
      </c>
      <c r="D4136" t="s">
        <v>42</v>
      </c>
      <c r="E4136" t="s">
        <v>43</v>
      </c>
      <c r="F4136" t="s">
        <v>44</v>
      </c>
      <c r="G4136" t="s">
        <v>45</v>
      </c>
      <c r="AH4136" t="s">
        <v>42</v>
      </c>
      <c r="AI4136" t="str">
        <f>"J064"</f>
        <v>J064</v>
      </c>
      <c r="AJ4136" t="str">
        <f>"J064"</f>
        <v>J064</v>
      </c>
      <c r="AK4136" t="s">
        <v>46</v>
      </c>
      <c r="AL4136" s="1">
        <v>45093.88013888889</v>
      </c>
      <c r="AM4136" t="s">
        <v>44</v>
      </c>
    </row>
    <row r="4137" spans="1:39" x14ac:dyDescent="0.2">
      <c r="A4137" t="s">
        <v>3902</v>
      </c>
      <c r="B4137" t="s">
        <v>40</v>
      </c>
      <c r="C4137" t="s">
        <v>50</v>
      </c>
      <c r="D4137" t="s">
        <v>42</v>
      </c>
      <c r="E4137" t="s">
        <v>43</v>
      </c>
      <c r="F4137" t="s">
        <v>44</v>
      </c>
      <c r="G4137" t="s">
        <v>45</v>
      </c>
      <c r="AH4137" t="s">
        <v>42</v>
      </c>
      <c r="AI4137" t="str">
        <f>"J062"</f>
        <v>J062</v>
      </c>
      <c r="AJ4137" t="str">
        <f>"J062"</f>
        <v>J062</v>
      </c>
      <c r="AK4137" t="s">
        <v>46</v>
      </c>
      <c r="AL4137" s="1">
        <v>45093.880624999998</v>
      </c>
      <c r="AM4137" t="s">
        <v>44</v>
      </c>
    </row>
    <row r="4138" spans="1:39" x14ac:dyDescent="0.2">
      <c r="A4138" t="s">
        <v>3902</v>
      </c>
      <c r="B4138" t="s">
        <v>40</v>
      </c>
      <c r="C4138" t="s">
        <v>50</v>
      </c>
      <c r="D4138" t="s">
        <v>42</v>
      </c>
      <c r="E4138" t="s">
        <v>43</v>
      </c>
      <c r="F4138" t="s">
        <v>44</v>
      </c>
      <c r="G4138" t="s">
        <v>45</v>
      </c>
      <c r="AH4138" t="s">
        <v>42</v>
      </c>
      <c r="AI4138" t="str">
        <f>"J054"</f>
        <v>J054</v>
      </c>
      <c r="AJ4138" t="str">
        <f>"J054"</f>
        <v>J054</v>
      </c>
      <c r="AK4138" t="s">
        <v>46</v>
      </c>
      <c r="AL4138" s="1">
        <v>45093.880891203706</v>
      </c>
      <c r="AM4138" t="s">
        <v>44</v>
      </c>
    </row>
    <row r="4139" spans="1:39" x14ac:dyDescent="0.2">
      <c r="A4139" t="s">
        <v>3902</v>
      </c>
      <c r="B4139" t="s">
        <v>40</v>
      </c>
      <c r="C4139" t="s">
        <v>50</v>
      </c>
      <c r="D4139" t="s">
        <v>42</v>
      </c>
      <c r="E4139" t="s">
        <v>43</v>
      </c>
      <c r="F4139" t="s">
        <v>44</v>
      </c>
      <c r="G4139" t="s">
        <v>45</v>
      </c>
      <c r="AH4139" t="s">
        <v>42</v>
      </c>
      <c r="AI4139" t="str">
        <f>"AC015A"</f>
        <v>AC015A</v>
      </c>
      <c r="AJ4139" t="str">
        <f>"AC015A"</f>
        <v>AC015A</v>
      </c>
      <c r="AK4139" t="s">
        <v>46</v>
      </c>
      <c r="AL4139" s="1">
        <v>45093.881238425929</v>
      </c>
      <c r="AM4139" t="s">
        <v>44</v>
      </c>
    </row>
    <row r="4140" spans="1:39" x14ac:dyDescent="0.2">
      <c r="A4140" t="s">
        <v>3902</v>
      </c>
      <c r="B4140" t="s">
        <v>40</v>
      </c>
      <c r="C4140" t="s">
        <v>50</v>
      </c>
      <c r="D4140" t="s">
        <v>42</v>
      </c>
      <c r="E4140" t="s">
        <v>43</v>
      </c>
      <c r="F4140" t="s">
        <v>44</v>
      </c>
      <c r="G4140" t="s">
        <v>45</v>
      </c>
      <c r="AH4140" t="s">
        <v>42</v>
      </c>
      <c r="AI4140" t="str">
        <f>"AC015R"</f>
        <v>AC015R</v>
      </c>
      <c r="AJ4140" t="str">
        <f>"AC015R"</f>
        <v>AC015R</v>
      </c>
      <c r="AK4140" t="s">
        <v>46</v>
      </c>
      <c r="AL4140" s="1">
        <v>45093.885231481479</v>
      </c>
      <c r="AM4140" t="s">
        <v>44</v>
      </c>
    </row>
    <row r="4141" spans="1:39" x14ac:dyDescent="0.2">
      <c r="A4141" t="s">
        <v>3903</v>
      </c>
      <c r="B4141" t="s">
        <v>40</v>
      </c>
      <c r="C4141" t="s">
        <v>50</v>
      </c>
      <c r="D4141" t="s">
        <v>42</v>
      </c>
      <c r="E4141" t="s">
        <v>43</v>
      </c>
      <c r="F4141" t="s">
        <v>44</v>
      </c>
      <c r="G4141" t="s">
        <v>45</v>
      </c>
      <c r="AH4141" t="s">
        <v>42</v>
      </c>
      <c r="AI4141" t="str">
        <f>"66298929350225"</f>
        <v>66298929350225</v>
      </c>
      <c r="AJ4141" t="str">
        <f>"400799"</f>
        <v>400799</v>
      </c>
      <c r="AK4141" t="s">
        <v>46</v>
      </c>
      <c r="AL4141" s="1">
        <v>44816.561261574076</v>
      </c>
      <c r="AM4141" t="s">
        <v>44</v>
      </c>
    </row>
    <row r="4142" spans="1:39" x14ac:dyDescent="0.2">
      <c r="A4142" t="s">
        <v>3904</v>
      </c>
      <c r="B4142" t="s">
        <v>40</v>
      </c>
      <c r="C4142" t="s">
        <v>50</v>
      </c>
      <c r="D4142" t="s">
        <v>42</v>
      </c>
      <c r="E4142" t="s">
        <v>43</v>
      </c>
      <c r="F4142" t="s">
        <v>44</v>
      </c>
      <c r="G4142" t="s">
        <v>45</v>
      </c>
      <c r="AH4142" t="s">
        <v>42</v>
      </c>
      <c r="AI4142" t="str">
        <f>"66298929394285"</f>
        <v>66298929394285</v>
      </c>
      <c r="AJ4142" t="str">
        <f>"400798"</f>
        <v>400798</v>
      </c>
      <c r="AK4142" t="s">
        <v>46</v>
      </c>
      <c r="AL4142" s="1">
        <v>44816.561261574076</v>
      </c>
      <c r="AM4142" t="s">
        <v>44</v>
      </c>
    </row>
    <row r="4143" spans="1:39" x14ac:dyDescent="0.2">
      <c r="A4143" t="s">
        <v>3905</v>
      </c>
      <c r="B4143" t="s">
        <v>40</v>
      </c>
      <c r="C4143" t="s">
        <v>50</v>
      </c>
      <c r="D4143" t="s">
        <v>42</v>
      </c>
      <c r="E4143" t="s">
        <v>43</v>
      </c>
      <c r="F4143" t="s">
        <v>44</v>
      </c>
      <c r="G4143" t="s">
        <v>45</v>
      </c>
      <c r="AH4143" t="s">
        <v>42</v>
      </c>
      <c r="AI4143" t="str">
        <f>"66298929432449"</f>
        <v>66298929432449</v>
      </c>
      <c r="AJ4143" t="str">
        <f>"400797"</f>
        <v>400797</v>
      </c>
      <c r="AK4143" t="s">
        <v>46</v>
      </c>
      <c r="AL4143" s="1">
        <v>44816.561273148145</v>
      </c>
      <c r="AM4143" t="s">
        <v>44</v>
      </c>
    </row>
    <row r="4144" spans="1:39" x14ac:dyDescent="0.2">
      <c r="A4144" t="s">
        <v>3906</v>
      </c>
      <c r="B4144" t="s">
        <v>40</v>
      </c>
      <c r="C4144" t="s">
        <v>50</v>
      </c>
      <c r="D4144" t="s">
        <v>42</v>
      </c>
      <c r="E4144" t="s">
        <v>43</v>
      </c>
      <c r="F4144" t="s">
        <v>44</v>
      </c>
      <c r="G4144" t="s">
        <v>45</v>
      </c>
      <c r="AH4144" t="s">
        <v>42</v>
      </c>
      <c r="AI4144" t="str">
        <f>"66298929469556"</f>
        <v>66298929469556</v>
      </c>
      <c r="AJ4144" t="str">
        <f>"82062"</f>
        <v>82062</v>
      </c>
      <c r="AK4144" t="s">
        <v>46</v>
      </c>
      <c r="AL4144" s="1">
        <v>44816.561273148145</v>
      </c>
      <c r="AM4144" t="s">
        <v>44</v>
      </c>
    </row>
    <row r="4145" spans="1:39" x14ac:dyDescent="0.2">
      <c r="A4145" t="s">
        <v>3907</v>
      </c>
      <c r="B4145" t="s">
        <v>40</v>
      </c>
      <c r="C4145" t="s">
        <v>50</v>
      </c>
      <c r="D4145" t="s">
        <v>42</v>
      </c>
      <c r="E4145" t="s">
        <v>43</v>
      </c>
      <c r="F4145" t="s">
        <v>44</v>
      </c>
      <c r="G4145" t="s">
        <v>45</v>
      </c>
      <c r="AH4145" t="s">
        <v>42</v>
      </c>
      <c r="AI4145" t="str">
        <f>"JA003"</f>
        <v>JA003</v>
      </c>
      <c r="AJ4145" t="str">
        <f>"JA003"</f>
        <v>JA003</v>
      </c>
      <c r="AK4145" t="s">
        <v>46</v>
      </c>
      <c r="AL4145" s="1">
        <v>45093.877129629633</v>
      </c>
      <c r="AM4145" t="s">
        <v>44</v>
      </c>
    </row>
    <row r="4146" spans="1:39" x14ac:dyDescent="0.2">
      <c r="A4146" t="s">
        <v>3907</v>
      </c>
      <c r="B4146" t="s">
        <v>40</v>
      </c>
      <c r="C4146" t="s">
        <v>50</v>
      </c>
      <c r="D4146" t="s">
        <v>42</v>
      </c>
      <c r="E4146" t="s">
        <v>43</v>
      </c>
      <c r="F4146" t="s">
        <v>44</v>
      </c>
      <c r="G4146" t="s">
        <v>45</v>
      </c>
      <c r="AH4146" t="s">
        <v>42</v>
      </c>
      <c r="AI4146" t="str">
        <f>"JA005"</f>
        <v>JA005</v>
      </c>
      <c r="AJ4146" t="str">
        <f>"JA005"</f>
        <v>JA005</v>
      </c>
      <c r="AK4146" t="s">
        <v>46</v>
      </c>
      <c r="AL4146" s="1">
        <v>45093.877743055556</v>
      </c>
      <c r="AM4146" t="s">
        <v>44</v>
      </c>
    </row>
    <row r="4147" spans="1:39" x14ac:dyDescent="0.2">
      <c r="A4147" t="s">
        <v>3908</v>
      </c>
      <c r="B4147" t="s">
        <v>40</v>
      </c>
      <c r="C4147" t="s">
        <v>50</v>
      </c>
      <c r="D4147" t="s">
        <v>42</v>
      </c>
      <c r="E4147" t="s">
        <v>43</v>
      </c>
      <c r="F4147" t="s">
        <v>44</v>
      </c>
      <c r="G4147" t="s">
        <v>45</v>
      </c>
      <c r="AH4147" t="s">
        <v>42</v>
      </c>
      <c r="AI4147" t="str">
        <f>"66298929516470"</f>
        <v>66298929516470</v>
      </c>
      <c r="AJ4147" t="str">
        <f>"C071"</f>
        <v>C071</v>
      </c>
      <c r="AK4147" t="s">
        <v>46</v>
      </c>
      <c r="AL4147" s="1">
        <v>44816.561284722222</v>
      </c>
      <c r="AM4147" t="s">
        <v>44</v>
      </c>
    </row>
    <row r="4148" spans="1:39" x14ac:dyDescent="0.2">
      <c r="A4148" t="s">
        <v>3908</v>
      </c>
      <c r="B4148" t="s">
        <v>40</v>
      </c>
      <c r="C4148" t="s">
        <v>50</v>
      </c>
      <c r="D4148" t="s">
        <v>42</v>
      </c>
      <c r="E4148" t="s">
        <v>43</v>
      </c>
      <c r="F4148" t="s">
        <v>44</v>
      </c>
      <c r="G4148" t="s">
        <v>45</v>
      </c>
      <c r="H4148" t="s">
        <v>1118</v>
      </c>
      <c r="AH4148" t="s">
        <v>42</v>
      </c>
      <c r="AI4148" t="str">
        <f>"0116-AMARILLO"</f>
        <v>0116-AMARILLO</v>
      </c>
      <c r="AJ4148" t="str">
        <f>"0116-AMARILLO"</f>
        <v>0116-AMARILLO</v>
      </c>
      <c r="AK4148" t="s">
        <v>46</v>
      </c>
      <c r="AL4148" s="1">
        <v>44996.694664351853</v>
      </c>
      <c r="AM4148" t="s">
        <v>44</v>
      </c>
    </row>
    <row r="4149" spans="1:39" x14ac:dyDescent="0.2">
      <c r="A4149" t="s">
        <v>3908</v>
      </c>
      <c r="B4149" t="s">
        <v>40</v>
      </c>
      <c r="C4149" t="s">
        <v>50</v>
      </c>
      <c r="D4149" t="s">
        <v>42</v>
      </c>
      <c r="E4149" t="s">
        <v>43</v>
      </c>
      <c r="F4149" t="s">
        <v>44</v>
      </c>
      <c r="G4149" t="s">
        <v>45</v>
      </c>
      <c r="H4149" t="s">
        <v>1123</v>
      </c>
      <c r="AH4149" t="s">
        <v>42</v>
      </c>
      <c r="AI4149" t="str">
        <f>"0116-ROJO"</f>
        <v>0116-ROJO</v>
      </c>
      <c r="AJ4149" t="str">
        <f>"0116-ROJO"</f>
        <v>0116-ROJO</v>
      </c>
      <c r="AK4149" t="s">
        <v>46</v>
      </c>
      <c r="AL4149" s="1">
        <v>44996.694791666669</v>
      </c>
      <c r="AM4149" t="s">
        <v>44</v>
      </c>
    </row>
    <row r="4150" spans="1:39" x14ac:dyDescent="0.2">
      <c r="A4150" t="s">
        <v>3909</v>
      </c>
      <c r="B4150" t="s">
        <v>40</v>
      </c>
      <c r="C4150" t="s">
        <v>50</v>
      </c>
      <c r="D4150" t="s">
        <v>42</v>
      </c>
      <c r="E4150" t="s">
        <v>43</v>
      </c>
      <c r="F4150" t="s">
        <v>44</v>
      </c>
      <c r="G4150" t="s">
        <v>45</v>
      </c>
      <c r="AH4150" t="s">
        <v>42</v>
      </c>
      <c r="AI4150" t="str">
        <f>"66298929556263"</f>
        <v>66298929556263</v>
      </c>
      <c r="AJ4150" t="str">
        <f>"400800"</f>
        <v>400800</v>
      </c>
      <c r="AK4150" t="s">
        <v>46</v>
      </c>
      <c r="AL4150" s="1">
        <v>44816.561284722222</v>
      </c>
      <c r="AM4150" t="s">
        <v>44</v>
      </c>
    </row>
    <row r="4151" spans="1:39" x14ac:dyDescent="0.2">
      <c r="A4151" t="s">
        <v>3910</v>
      </c>
      <c r="B4151" t="s">
        <v>40</v>
      </c>
      <c r="C4151" t="s">
        <v>50</v>
      </c>
      <c r="D4151" t="s">
        <v>42</v>
      </c>
      <c r="E4151" t="s">
        <v>43</v>
      </c>
      <c r="F4151" t="s">
        <v>44</v>
      </c>
      <c r="G4151" t="s">
        <v>45</v>
      </c>
      <c r="H4151" t="s">
        <v>1114</v>
      </c>
      <c r="AH4151" t="s">
        <v>42</v>
      </c>
      <c r="AI4151" t="str">
        <f>"RIZO-AZUL"</f>
        <v>RIZO-AZUL</v>
      </c>
      <c r="AJ4151" t="str">
        <f>"RIZO-AZUL"</f>
        <v>RIZO-AZUL</v>
      </c>
      <c r="AK4151" t="s">
        <v>46</v>
      </c>
      <c r="AL4151" s="1">
        <v>44999.661099537036</v>
      </c>
      <c r="AM4151" t="s">
        <v>44</v>
      </c>
    </row>
    <row r="4152" spans="1:39" x14ac:dyDescent="0.2">
      <c r="A4152" t="s">
        <v>3910</v>
      </c>
      <c r="B4152" t="s">
        <v>40</v>
      </c>
      <c r="C4152" t="s">
        <v>50</v>
      </c>
      <c r="D4152" t="s">
        <v>42</v>
      </c>
      <c r="E4152" t="s">
        <v>43</v>
      </c>
      <c r="F4152" t="s">
        <v>44</v>
      </c>
      <c r="G4152" t="s">
        <v>45</v>
      </c>
      <c r="H4152" t="s">
        <v>2340</v>
      </c>
      <c r="AH4152" t="s">
        <v>42</v>
      </c>
      <c r="AI4152" t="str">
        <f>"RIZO-DORADOV"</f>
        <v>RIZO-DORADOV</v>
      </c>
      <c r="AJ4152" t="str">
        <f>"RIZO-DORADO"</f>
        <v>RIZO-DORADO</v>
      </c>
      <c r="AK4152" t="s">
        <v>46</v>
      </c>
      <c r="AL4152" s="1">
        <v>44999.661423611113</v>
      </c>
      <c r="AM4152" t="s">
        <v>44</v>
      </c>
    </row>
    <row r="4153" spans="1:39" x14ac:dyDescent="0.2">
      <c r="A4153" t="s">
        <v>3910</v>
      </c>
      <c r="B4153" t="s">
        <v>40</v>
      </c>
      <c r="C4153" t="s">
        <v>50</v>
      </c>
      <c r="D4153" t="s">
        <v>42</v>
      </c>
      <c r="E4153" t="s">
        <v>43</v>
      </c>
      <c r="F4153" t="s">
        <v>44</v>
      </c>
      <c r="G4153" t="s">
        <v>45</v>
      </c>
      <c r="H4153" t="s">
        <v>2037</v>
      </c>
      <c r="AH4153" t="s">
        <v>42</v>
      </c>
      <c r="AI4153" t="str">
        <f>"RIZO-NEGRO"</f>
        <v>RIZO-NEGRO</v>
      </c>
      <c r="AJ4153" t="str">
        <f>"RIZO-NEGRO"</f>
        <v>RIZO-NEGRO</v>
      </c>
      <c r="AK4153" t="s">
        <v>46</v>
      </c>
      <c r="AL4153" s="1">
        <v>44999.661296296297</v>
      </c>
      <c r="AM4153" t="s">
        <v>44</v>
      </c>
    </row>
    <row r="4154" spans="1:39" x14ac:dyDescent="0.2">
      <c r="A4154" t="s">
        <v>3910</v>
      </c>
      <c r="B4154" t="s">
        <v>40</v>
      </c>
      <c r="C4154" t="s">
        <v>50</v>
      </c>
      <c r="D4154" t="s">
        <v>42</v>
      </c>
      <c r="E4154" t="s">
        <v>43</v>
      </c>
      <c r="F4154" t="s">
        <v>44</v>
      </c>
      <c r="G4154" t="s">
        <v>45</v>
      </c>
      <c r="H4154" t="s">
        <v>2341</v>
      </c>
      <c r="AH4154" t="s">
        <v>42</v>
      </c>
      <c r="AI4154" t="str">
        <f>"RIZO-PLATEADO"</f>
        <v>RIZO-PLATEADO</v>
      </c>
      <c r="AJ4154" t="str">
        <f>"RIZO-PLATEADO"</f>
        <v>RIZO-PLATEADO</v>
      </c>
      <c r="AK4154" t="s">
        <v>46</v>
      </c>
      <c r="AL4154" s="1">
        <v>44999.661678240744</v>
      </c>
      <c r="AM4154" t="s">
        <v>44</v>
      </c>
    </row>
    <row r="4155" spans="1:39" x14ac:dyDescent="0.2">
      <c r="A4155" t="s">
        <v>3910</v>
      </c>
      <c r="B4155" t="s">
        <v>40</v>
      </c>
      <c r="C4155" t="s">
        <v>50</v>
      </c>
      <c r="D4155" t="s">
        <v>42</v>
      </c>
      <c r="E4155" t="s">
        <v>43</v>
      </c>
      <c r="F4155" t="s">
        <v>44</v>
      </c>
      <c r="G4155" t="s">
        <v>45</v>
      </c>
      <c r="H4155" t="s">
        <v>1123</v>
      </c>
      <c r="AH4155" t="s">
        <v>42</v>
      </c>
      <c r="AI4155" t="str">
        <f>"RIZO-ROJO"</f>
        <v>RIZO-ROJO</v>
      </c>
      <c r="AJ4155" t="str">
        <f>"RIZO-ROJO"</f>
        <v>RIZO-ROJO</v>
      </c>
      <c r="AK4155" t="s">
        <v>46</v>
      </c>
      <c r="AL4155" s="1">
        <v>44999.661539351851</v>
      </c>
      <c r="AM4155" t="s">
        <v>44</v>
      </c>
    </row>
    <row r="4156" spans="1:39" x14ac:dyDescent="0.2">
      <c r="A4156" t="s">
        <v>3911</v>
      </c>
      <c r="B4156" t="s">
        <v>40</v>
      </c>
      <c r="C4156" t="s">
        <v>50</v>
      </c>
      <c r="D4156" t="s">
        <v>42</v>
      </c>
      <c r="E4156" t="s">
        <v>43</v>
      </c>
      <c r="F4156" t="s">
        <v>44</v>
      </c>
      <c r="G4156" t="s">
        <v>45</v>
      </c>
      <c r="AH4156" t="s">
        <v>42</v>
      </c>
      <c r="AI4156" t="str">
        <f>"66298929595675"</f>
        <v>66298929595675</v>
      </c>
      <c r="AJ4156" t="str">
        <f>"0052P-NEGRO"</f>
        <v>0052P-NEGRO</v>
      </c>
      <c r="AK4156" t="s">
        <v>46</v>
      </c>
      <c r="AL4156" s="1">
        <v>44816.561284722222</v>
      </c>
      <c r="AM4156" t="s">
        <v>44</v>
      </c>
    </row>
    <row r="4157" spans="1:39" x14ac:dyDescent="0.2">
      <c r="A4157" t="s">
        <v>3912</v>
      </c>
      <c r="B4157" t="s">
        <v>40</v>
      </c>
      <c r="C4157" t="s">
        <v>129</v>
      </c>
      <c r="D4157" t="s">
        <v>42</v>
      </c>
      <c r="E4157" t="s">
        <v>43</v>
      </c>
      <c r="F4157" t="s">
        <v>44</v>
      </c>
      <c r="G4157" t="s">
        <v>45</v>
      </c>
      <c r="AH4157" t="s">
        <v>42</v>
      </c>
      <c r="AI4157" t="str">
        <f>"56270H2C010H000"</f>
        <v>56270H2C010H000</v>
      </c>
      <c r="AJ4157" t="str">
        <f>"56270H2C010H000"</f>
        <v>56270H2C010H000</v>
      </c>
      <c r="AK4157" t="s">
        <v>46</v>
      </c>
      <c r="AL4157" s="1">
        <v>44879.632997685185</v>
      </c>
      <c r="AM4157" t="s">
        <v>44</v>
      </c>
    </row>
    <row r="4158" spans="1:39" x14ac:dyDescent="0.2">
      <c r="A4158" t="s">
        <v>3913</v>
      </c>
      <c r="B4158" t="s">
        <v>40</v>
      </c>
      <c r="C4158" t="s">
        <v>129</v>
      </c>
      <c r="D4158" t="s">
        <v>42</v>
      </c>
      <c r="E4158" t="s">
        <v>43</v>
      </c>
      <c r="F4158" t="s">
        <v>44</v>
      </c>
      <c r="G4158" t="s">
        <v>45</v>
      </c>
      <c r="AH4158" t="s">
        <v>42</v>
      </c>
      <c r="AI4158" t="str">
        <f>"66298929127335"</f>
        <v>66298929127335</v>
      </c>
      <c r="AJ4158" t="str">
        <f>"JB030-B"</f>
        <v>JB030-B</v>
      </c>
      <c r="AK4158" t="s">
        <v>46</v>
      </c>
      <c r="AL4158" s="1">
        <v>44816.561238425929</v>
      </c>
      <c r="AM4158" t="s">
        <v>44</v>
      </c>
    </row>
    <row r="4159" spans="1:39" x14ac:dyDescent="0.2">
      <c r="A4159" t="s">
        <v>3913</v>
      </c>
      <c r="B4159" t="s">
        <v>40</v>
      </c>
      <c r="C4159" t="s">
        <v>129</v>
      </c>
      <c r="D4159" t="s">
        <v>42</v>
      </c>
      <c r="E4159" t="s">
        <v>43</v>
      </c>
      <c r="F4159" t="s">
        <v>44</v>
      </c>
      <c r="G4159" t="s">
        <v>45</v>
      </c>
      <c r="AH4159" t="s">
        <v>42</v>
      </c>
      <c r="AI4159" t="str">
        <f>"66298929134709"</f>
        <v>66298929134709</v>
      </c>
      <c r="AJ4159" t="str">
        <f>"JB030-A"</f>
        <v>JB030-A</v>
      </c>
      <c r="AK4159" t="s">
        <v>46</v>
      </c>
      <c r="AL4159" s="1">
        <v>44816.561238425929</v>
      </c>
      <c r="AM4159" t="s">
        <v>44</v>
      </c>
    </row>
    <row r="4160" spans="1:39" x14ac:dyDescent="0.2">
      <c r="A4160" t="s">
        <v>3914</v>
      </c>
      <c r="B4160" t="s">
        <v>40</v>
      </c>
      <c r="C4160" t="s">
        <v>129</v>
      </c>
      <c r="D4160" t="s">
        <v>42</v>
      </c>
      <c r="E4160" t="s">
        <v>43</v>
      </c>
      <c r="F4160" t="s">
        <v>44</v>
      </c>
      <c r="G4160" t="s">
        <v>45</v>
      </c>
      <c r="AH4160" t="s">
        <v>42</v>
      </c>
      <c r="AI4160" t="str">
        <f>"66298929079455"</f>
        <v>66298929079455</v>
      </c>
      <c r="AJ4160" t="str">
        <f>"9656"</f>
        <v>9656</v>
      </c>
      <c r="AK4160" t="s">
        <v>46</v>
      </c>
      <c r="AL4160" s="1">
        <v>44816.561226851853</v>
      </c>
      <c r="AM4160" t="s">
        <v>44</v>
      </c>
    </row>
    <row r="4161" spans="1:39" x14ac:dyDescent="0.2">
      <c r="A4161" t="s">
        <v>3915</v>
      </c>
      <c r="B4161" t="s">
        <v>40</v>
      </c>
      <c r="C4161" t="s">
        <v>129</v>
      </c>
      <c r="D4161" t="s">
        <v>42</v>
      </c>
      <c r="E4161" t="s">
        <v>43</v>
      </c>
      <c r="F4161" t="s">
        <v>44</v>
      </c>
      <c r="G4161" t="s">
        <v>45</v>
      </c>
      <c r="H4161" t="s">
        <v>3916</v>
      </c>
      <c r="AH4161" t="s">
        <v>42</v>
      </c>
      <c r="AI4161" t="str">
        <f>"JB012-TORNASOL"</f>
        <v>JB012-TORNASOL</v>
      </c>
      <c r="AJ4161" t="str">
        <f>"JB012-TORNASOL"</f>
        <v>JB012-TORNASOL</v>
      </c>
      <c r="AK4161" t="s">
        <v>46</v>
      </c>
      <c r="AL4161" s="1">
        <v>45001.66369212963</v>
      </c>
      <c r="AM4161" t="s">
        <v>44</v>
      </c>
    </row>
    <row r="4162" spans="1:39" x14ac:dyDescent="0.2">
      <c r="A4162" t="s">
        <v>3917</v>
      </c>
      <c r="B4162" t="s">
        <v>40</v>
      </c>
      <c r="C4162" t="s">
        <v>129</v>
      </c>
      <c r="D4162" t="s">
        <v>42</v>
      </c>
      <c r="E4162" t="s">
        <v>43</v>
      </c>
      <c r="F4162" t="s">
        <v>44</v>
      </c>
      <c r="G4162" t="s">
        <v>45</v>
      </c>
      <c r="AH4162" t="s">
        <v>42</v>
      </c>
      <c r="AI4162" t="str">
        <f>"66298929197422"</f>
        <v>66298929197422</v>
      </c>
      <c r="AJ4162" t="str">
        <f>"JB001-AZUL"</f>
        <v>JB001-AZUL</v>
      </c>
      <c r="AK4162" t="s">
        <v>46</v>
      </c>
      <c r="AL4162" s="1">
        <v>44816.561238425929</v>
      </c>
      <c r="AM4162" t="s">
        <v>44</v>
      </c>
    </row>
    <row r="4163" spans="1:39" x14ac:dyDescent="0.2">
      <c r="A4163" t="s">
        <v>3918</v>
      </c>
      <c r="B4163" t="s">
        <v>40</v>
      </c>
      <c r="C4163" t="s">
        <v>50</v>
      </c>
      <c r="D4163" t="s">
        <v>42</v>
      </c>
      <c r="E4163" t="s">
        <v>43</v>
      </c>
      <c r="F4163" t="s">
        <v>44</v>
      </c>
      <c r="G4163" t="s">
        <v>45</v>
      </c>
      <c r="AH4163" t="s">
        <v>42</v>
      </c>
      <c r="AI4163" t="str">
        <f>"JB005"</f>
        <v>JB005</v>
      </c>
      <c r="AJ4163" t="str">
        <f>"JB005"</f>
        <v>JB005</v>
      </c>
      <c r="AK4163" t="s">
        <v>46</v>
      </c>
      <c r="AL4163" s="1">
        <v>45093.874143518522</v>
      </c>
      <c r="AM4163" t="s">
        <v>44</v>
      </c>
    </row>
    <row r="4164" spans="1:39" x14ac:dyDescent="0.2">
      <c r="A4164" t="s">
        <v>3918</v>
      </c>
      <c r="B4164" t="s">
        <v>40</v>
      </c>
      <c r="C4164" t="s">
        <v>50</v>
      </c>
      <c r="D4164" t="s">
        <v>42</v>
      </c>
      <c r="E4164" t="s">
        <v>43</v>
      </c>
      <c r="F4164" t="s">
        <v>44</v>
      </c>
      <c r="G4164" t="s">
        <v>45</v>
      </c>
      <c r="AH4164" t="s">
        <v>42</v>
      </c>
      <c r="AI4164" t="str">
        <f>"JB007"</f>
        <v>JB007</v>
      </c>
      <c r="AJ4164" t="str">
        <f>"JB007"</f>
        <v>JB007</v>
      </c>
      <c r="AK4164" t="s">
        <v>46</v>
      </c>
      <c r="AL4164" s="1">
        <v>45093.875497685185</v>
      </c>
      <c r="AM4164" t="s">
        <v>44</v>
      </c>
    </row>
    <row r="4165" spans="1:39" x14ac:dyDescent="0.2">
      <c r="A4165" t="s">
        <v>3918</v>
      </c>
      <c r="B4165" t="s">
        <v>40</v>
      </c>
      <c r="C4165" t="s">
        <v>50</v>
      </c>
      <c r="D4165" t="s">
        <v>42</v>
      </c>
      <c r="E4165" t="s">
        <v>43</v>
      </c>
      <c r="F4165" t="s">
        <v>44</v>
      </c>
      <c r="G4165" t="s">
        <v>45</v>
      </c>
      <c r="AH4165" t="s">
        <v>42</v>
      </c>
      <c r="AI4165" t="str">
        <f>"JB009"</f>
        <v>JB009</v>
      </c>
      <c r="AJ4165" t="str">
        <f>"JB009"</f>
        <v>JB009</v>
      </c>
      <c r="AK4165" t="s">
        <v>46</v>
      </c>
      <c r="AL4165" s="1">
        <v>45093.875879629632</v>
      </c>
      <c r="AM4165" t="s">
        <v>44</v>
      </c>
    </row>
    <row r="4166" spans="1:39" x14ac:dyDescent="0.2">
      <c r="A4166" t="s">
        <v>3918</v>
      </c>
      <c r="B4166" t="s">
        <v>40</v>
      </c>
      <c r="C4166" t="s">
        <v>50</v>
      </c>
      <c r="D4166" t="s">
        <v>42</v>
      </c>
      <c r="E4166" t="s">
        <v>43</v>
      </c>
      <c r="F4166" t="s">
        <v>44</v>
      </c>
      <c r="G4166" t="s">
        <v>45</v>
      </c>
      <c r="AH4166" t="s">
        <v>42</v>
      </c>
      <c r="AI4166" t="str">
        <f>"JB010"</f>
        <v>JB010</v>
      </c>
      <c r="AJ4166" t="str">
        <f>"JB010"</f>
        <v>JB010</v>
      </c>
      <c r="AK4166" t="s">
        <v>46</v>
      </c>
      <c r="AL4166" s="1">
        <v>45093.876377314817</v>
      </c>
      <c r="AM4166" t="s">
        <v>44</v>
      </c>
    </row>
    <row r="4167" spans="1:39" x14ac:dyDescent="0.2">
      <c r="A4167" t="s">
        <v>3918</v>
      </c>
      <c r="B4167" t="s">
        <v>40</v>
      </c>
      <c r="C4167" t="s">
        <v>129</v>
      </c>
      <c r="D4167" t="s">
        <v>42</v>
      </c>
      <c r="E4167" t="s">
        <v>43</v>
      </c>
      <c r="F4167" t="s">
        <v>44</v>
      </c>
      <c r="G4167" t="s">
        <v>45</v>
      </c>
      <c r="H4167" t="s">
        <v>1114</v>
      </c>
      <c r="AH4167" t="s">
        <v>42</v>
      </c>
      <c r="AI4167" t="str">
        <f>"JB010-AZUL"</f>
        <v>JB010-AZUL</v>
      </c>
      <c r="AJ4167" t="str">
        <f>"JB010-AZUL"</f>
        <v>JB010-AZUL</v>
      </c>
      <c r="AK4167" t="s">
        <v>46</v>
      </c>
      <c r="AL4167" s="1">
        <v>45001.664560185185</v>
      </c>
      <c r="AM4167" t="s">
        <v>44</v>
      </c>
    </row>
    <row r="4168" spans="1:39" x14ac:dyDescent="0.2">
      <c r="A4168" t="s">
        <v>3918</v>
      </c>
      <c r="B4168" t="s">
        <v>40</v>
      </c>
      <c r="C4168" t="s">
        <v>129</v>
      </c>
      <c r="D4168" t="s">
        <v>42</v>
      </c>
      <c r="E4168" t="s">
        <v>43</v>
      </c>
      <c r="F4168" t="s">
        <v>44</v>
      </c>
      <c r="G4168" t="s">
        <v>45</v>
      </c>
      <c r="H4168" t="s">
        <v>2340</v>
      </c>
      <c r="AH4168" t="s">
        <v>42</v>
      </c>
      <c r="AI4168" t="str">
        <f>"JB010-DORADO"</f>
        <v>JB010-DORADO</v>
      </c>
      <c r="AJ4168" t="str">
        <f>"JB010-DORADO"</f>
        <v>JB010-DORADO</v>
      </c>
      <c r="AK4168" t="s">
        <v>46</v>
      </c>
      <c r="AL4168" s="1">
        <v>45001.665208333332</v>
      </c>
      <c r="AM4168" t="s">
        <v>44</v>
      </c>
    </row>
    <row r="4169" spans="1:39" x14ac:dyDescent="0.2">
      <c r="A4169" t="s">
        <v>3918</v>
      </c>
      <c r="B4169" t="s">
        <v>40</v>
      </c>
      <c r="C4169" t="s">
        <v>129</v>
      </c>
      <c r="D4169" t="s">
        <v>42</v>
      </c>
      <c r="E4169" t="s">
        <v>43</v>
      </c>
      <c r="F4169" t="s">
        <v>44</v>
      </c>
      <c r="G4169" t="s">
        <v>45</v>
      </c>
      <c r="H4169" t="s">
        <v>2037</v>
      </c>
      <c r="AH4169" t="s">
        <v>42</v>
      </c>
      <c r="AI4169" t="str">
        <f>"JB010-NEGRO"</f>
        <v>JB010-NEGRO</v>
      </c>
      <c r="AJ4169" t="str">
        <f>"JB010-NEGRO"</f>
        <v>JB010-NEGRO</v>
      </c>
      <c r="AK4169" t="s">
        <v>46</v>
      </c>
      <c r="AL4169" s="1">
        <v>45001.664768518516</v>
      </c>
      <c r="AM4169" t="s">
        <v>44</v>
      </c>
    </row>
    <row r="4170" spans="1:39" x14ac:dyDescent="0.2">
      <c r="A4170" t="s">
        <v>3918</v>
      </c>
      <c r="B4170" t="s">
        <v>40</v>
      </c>
      <c r="C4170" t="s">
        <v>129</v>
      </c>
      <c r="D4170" t="s">
        <v>42</v>
      </c>
      <c r="E4170" t="s">
        <v>43</v>
      </c>
      <c r="F4170" t="s">
        <v>44</v>
      </c>
      <c r="G4170" t="s">
        <v>45</v>
      </c>
      <c r="H4170" t="s">
        <v>1123</v>
      </c>
      <c r="AH4170" t="s">
        <v>42</v>
      </c>
      <c r="AI4170" t="str">
        <f>"JB010-ROJO"</f>
        <v>JB010-ROJO</v>
      </c>
      <c r="AJ4170" t="str">
        <f>"JB010-ROJO"</f>
        <v>JB010-ROJO</v>
      </c>
      <c r="AK4170" t="s">
        <v>46</v>
      </c>
      <c r="AL4170" s="1">
        <v>45001.665023148147</v>
      </c>
      <c r="AM4170" t="s">
        <v>44</v>
      </c>
    </row>
    <row r="4171" spans="1:39" x14ac:dyDescent="0.2">
      <c r="A4171" t="s">
        <v>3919</v>
      </c>
      <c r="B4171" t="s">
        <v>40</v>
      </c>
      <c r="C4171" t="s">
        <v>129</v>
      </c>
      <c r="D4171" t="s">
        <v>42</v>
      </c>
      <c r="E4171" t="s">
        <v>43</v>
      </c>
      <c r="F4171" t="s">
        <v>44</v>
      </c>
      <c r="G4171" t="s">
        <v>45</v>
      </c>
      <c r="AH4171" t="s">
        <v>42</v>
      </c>
      <c r="AI4171" t="str">
        <f>"66298929636548"</f>
        <v>66298929636548</v>
      </c>
      <c r="AJ4171" t="str">
        <f>"006441-KRH-900"</f>
        <v>006441-KRH-900</v>
      </c>
      <c r="AK4171" t="s">
        <v>46</v>
      </c>
      <c r="AL4171" s="1">
        <v>44816.561296296299</v>
      </c>
      <c r="AM4171" t="s">
        <v>44</v>
      </c>
    </row>
    <row r="4172" spans="1:39" x14ac:dyDescent="0.2">
      <c r="A4172" t="s">
        <v>3920</v>
      </c>
      <c r="B4172" t="s">
        <v>40</v>
      </c>
      <c r="C4172" t="s">
        <v>129</v>
      </c>
      <c r="D4172" t="s">
        <v>42</v>
      </c>
      <c r="E4172" t="s">
        <v>43</v>
      </c>
      <c r="F4172" t="s">
        <v>44</v>
      </c>
      <c r="G4172" t="s">
        <v>45</v>
      </c>
      <c r="AH4172" t="s">
        <v>42</v>
      </c>
      <c r="AI4172" t="str">
        <f>"66298929677666"</f>
        <v>66298929677666</v>
      </c>
      <c r="AJ4172" t="str">
        <f>"44604-KPE-900GH"</f>
        <v>44604-KPE-900GH</v>
      </c>
      <c r="AK4172" t="s">
        <v>46</v>
      </c>
      <c r="AL4172" s="1">
        <v>44816.561296296299</v>
      </c>
      <c r="AM4172" t="s">
        <v>44</v>
      </c>
    </row>
    <row r="4173" spans="1:39" x14ac:dyDescent="0.2">
      <c r="A4173" t="s">
        <v>3921</v>
      </c>
      <c r="B4173" t="s">
        <v>40</v>
      </c>
      <c r="C4173" t="s">
        <v>129</v>
      </c>
      <c r="D4173" t="s">
        <v>42</v>
      </c>
      <c r="E4173" t="s">
        <v>43</v>
      </c>
      <c r="F4173" t="s">
        <v>44</v>
      </c>
      <c r="G4173" t="s">
        <v>45</v>
      </c>
      <c r="AH4173" t="s">
        <v>42</v>
      </c>
      <c r="AI4173" t="str">
        <f>"66298929720636"</f>
        <v>66298929720636</v>
      </c>
      <c r="AJ4173" t="str">
        <f>"RAYO-13CMS"</f>
        <v>RAYO-13CMS</v>
      </c>
      <c r="AK4173" t="s">
        <v>46</v>
      </c>
      <c r="AL4173" s="1">
        <v>44816.561307870368</v>
      </c>
      <c r="AM4173" t="s">
        <v>44</v>
      </c>
    </row>
    <row r="4174" spans="1:39" x14ac:dyDescent="0.2">
      <c r="A4174" t="s">
        <v>3922</v>
      </c>
      <c r="B4174" t="s">
        <v>40</v>
      </c>
      <c r="C4174" t="s">
        <v>129</v>
      </c>
      <c r="D4174" t="s">
        <v>42</v>
      </c>
      <c r="E4174" t="s">
        <v>43</v>
      </c>
      <c r="F4174" t="s">
        <v>44</v>
      </c>
      <c r="G4174" t="s">
        <v>45</v>
      </c>
      <c r="AH4174" t="s">
        <v>42</v>
      </c>
      <c r="AI4174" t="str">
        <f>"66298929765796"</f>
        <v>66298929765796</v>
      </c>
      <c r="AJ4174" t="str">
        <f>"80948"</f>
        <v>80948</v>
      </c>
      <c r="AK4174" t="s">
        <v>46</v>
      </c>
      <c r="AL4174" s="1">
        <v>44816.561307870368</v>
      </c>
      <c r="AM4174" t="s">
        <v>44</v>
      </c>
    </row>
    <row r="4175" spans="1:39" x14ac:dyDescent="0.2">
      <c r="A4175" t="s">
        <v>3923</v>
      </c>
      <c r="B4175" t="s">
        <v>40</v>
      </c>
      <c r="C4175" t="s">
        <v>129</v>
      </c>
      <c r="D4175" t="s">
        <v>42</v>
      </c>
      <c r="E4175" t="s">
        <v>43</v>
      </c>
      <c r="F4175" t="s">
        <v>44</v>
      </c>
      <c r="G4175" t="s">
        <v>45</v>
      </c>
      <c r="AH4175" t="s">
        <v>42</v>
      </c>
      <c r="AI4175" t="str">
        <f>"66298929806890"</f>
        <v>66298929806890</v>
      </c>
      <c r="AJ4175" t="str">
        <f>"80949"</f>
        <v>80949</v>
      </c>
      <c r="AK4175" t="s">
        <v>46</v>
      </c>
      <c r="AL4175" s="1">
        <v>44816.561319444445</v>
      </c>
      <c r="AM4175" t="s">
        <v>44</v>
      </c>
    </row>
    <row r="4176" spans="1:39" x14ac:dyDescent="0.2">
      <c r="A4176" t="s">
        <v>3924</v>
      </c>
      <c r="B4176" t="s">
        <v>40</v>
      </c>
      <c r="C4176" t="s">
        <v>129</v>
      </c>
      <c r="D4176" t="s">
        <v>42</v>
      </c>
      <c r="E4176" t="s">
        <v>43</v>
      </c>
      <c r="F4176" t="s">
        <v>44</v>
      </c>
      <c r="G4176" t="s">
        <v>45</v>
      </c>
      <c r="AH4176" t="s">
        <v>42</v>
      </c>
      <c r="AI4176" t="str">
        <f>"66298929851605"</f>
        <v>66298929851605</v>
      </c>
      <c r="AJ4176" t="str">
        <f>"82619"</f>
        <v>82619</v>
      </c>
      <c r="AK4176" t="s">
        <v>46</v>
      </c>
      <c r="AL4176" s="1">
        <v>44816.561319444445</v>
      </c>
      <c r="AM4176" t="s">
        <v>44</v>
      </c>
    </row>
    <row r="4177" spans="1:39" x14ac:dyDescent="0.2">
      <c r="A4177" t="s">
        <v>3925</v>
      </c>
      <c r="B4177" t="s">
        <v>40</v>
      </c>
      <c r="C4177" t="s">
        <v>129</v>
      </c>
      <c r="D4177" t="s">
        <v>42</v>
      </c>
      <c r="E4177" t="s">
        <v>43</v>
      </c>
      <c r="F4177" t="s">
        <v>44</v>
      </c>
      <c r="G4177" t="s">
        <v>45</v>
      </c>
      <c r="AH4177" t="s">
        <v>42</v>
      </c>
      <c r="AI4177" t="str">
        <f>"66298929890855"</f>
        <v>66298929890855</v>
      </c>
      <c r="AJ4177" t="str">
        <f>"82620"</f>
        <v>82620</v>
      </c>
      <c r="AK4177" t="s">
        <v>46</v>
      </c>
      <c r="AL4177" s="1">
        <v>44816.561319444445</v>
      </c>
      <c r="AM4177" t="s">
        <v>44</v>
      </c>
    </row>
    <row r="4178" spans="1:39" x14ac:dyDescent="0.2">
      <c r="A4178" t="s">
        <v>3926</v>
      </c>
      <c r="B4178" t="s">
        <v>40</v>
      </c>
      <c r="C4178" t="s">
        <v>129</v>
      </c>
      <c r="D4178" t="s">
        <v>42</v>
      </c>
      <c r="E4178" t="s">
        <v>43</v>
      </c>
      <c r="F4178" t="s">
        <v>44</v>
      </c>
      <c r="G4178" t="s">
        <v>45</v>
      </c>
      <c r="AH4178" t="s">
        <v>42</v>
      </c>
      <c r="AI4178" t="str">
        <f>"66298929933354"</f>
        <v>66298929933354</v>
      </c>
      <c r="AJ4178" t="str">
        <f>"4Y0-25304-00GY"</f>
        <v>4Y0-25304-00GY</v>
      </c>
      <c r="AK4178" t="s">
        <v>46</v>
      </c>
      <c r="AL4178" s="1">
        <v>44816.561331018522</v>
      </c>
      <c r="AM4178" t="s">
        <v>44</v>
      </c>
    </row>
    <row r="4179" spans="1:39" x14ac:dyDescent="0.2">
      <c r="A4179" t="s">
        <v>3927</v>
      </c>
      <c r="B4179" t="s">
        <v>40</v>
      </c>
      <c r="C4179" t="s">
        <v>129</v>
      </c>
      <c r="D4179" t="s">
        <v>42</v>
      </c>
      <c r="E4179" t="s">
        <v>43</v>
      </c>
      <c r="F4179" t="s">
        <v>44</v>
      </c>
      <c r="G4179" t="s">
        <v>45</v>
      </c>
      <c r="AH4179" t="s">
        <v>42</v>
      </c>
      <c r="AI4179" t="str">
        <f>"66298929976886"</f>
        <v>66298929976886</v>
      </c>
      <c r="AJ4179" t="str">
        <f>"80951"</f>
        <v>80951</v>
      </c>
      <c r="AK4179" t="s">
        <v>46</v>
      </c>
      <c r="AL4179" s="1">
        <v>44816.561331018522</v>
      </c>
      <c r="AM4179" t="s">
        <v>44</v>
      </c>
    </row>
    <row r="4180" spans="1:39" x14ac:dyDescent="0.2">
      <c r="A4180" t="s">
        <v>3928</v>
      </c>
      <c r="B4180" t="s">
        <v>40</v>
      </c>
      <c r="C4180" t="s">
        <v>129</v>
      </c>
      <c r="D4180" t="s">
        <v>42</v>
      </c>
      <c r="E4180" t="s">
        <v>43</v>
      </c>
      <c r="F4180" t="s">
        <v>44</v>
      </c>
      <c r="G4180" t="s">
        <v>45</v>
      </c>
      <c r="AH4180" t="s">
        <v>42</v>
      </c>
      <c r="AI4180" t="str">
        <f>"66298930024576"</f>
        <v>66298930024576</v>
      </c>
      <c r="AJ4180" t="str">
        <f>"80332"</f>
        <v>80332</v>
      </c>
      <c r="AK4180" t="s">
        <v>46</v>
      </c>
      <c r="AL4180" s="1">
        <v>44816.561342592591</v>
      </c>
      <c r="AM4180" t="s">
        <v>44</v>
      </c>
    </row>
    <row r="4181" spans="1:39" x14ac:dyDescent="0.2">
      <c r="A4181" t="s">
        <v>3929</v>
      </c>
      <c r="B4181" t="s">
        <v>40</v>
      </c>
      <c r="C4181" t="s">
        <v>129</v>
      </c>
      <c r="D4181" t="s">
        <v>42</v>
      </c>
      <c r="E4181" t="s">
        <v>43</v>
      </c>
      <c r="F4181" t="s">
        <v>44</v>
      </c>
      <c r="G4181" t="s">
        <v>45</v>
      </c>
      <c r="AH4181" t="s">
        <v>42</v>
      </c>
      <c r="AI4181" t="str">
        <f>"66298930070956"</f>
        <v>66298930070956</v>
      </c>
      <c r="AJ4181" t="str">
        <f>"84806"</f>
        <v>84806</v>
      </c>
      <c r="AK4181" t="s">
        <v>46</v>
      </c>
      <c r="AL4181" s="1">
        <v>44816.561342592591</v>
      </c>
      <c r="AM4181" t="s">
        <v>44</v>
      </c>
    </row>
    <row r="4182" spans="1:39" x14ac:dyDescent="0.2">
      <c r="A4182" t="s">
        <v>3930</v>
      </c>
      <c r="B4182" t="s">
        <v>40</v>
      </c>
      <c r="C4182" t="s">
        <v>129</v>
      </c>
      <c r="D4182" t="s">
        <v>42</v>
      </c>
      <c r="E4182" t="s">
        <v>43</v>
      </c>
      <c r="F4182" t="s">
        <v>44</v>
      </c>
      <c r="G4182" t="s">
        <v>45</v>
      </c>
      <c r="AH4182" t="s">
        <v>42</v>
      </c>
      <c r="AI4182" t="str">
        <f>"66298930122359"</f>
        <v>66298930122359</v>
      </c>
      <c r="AJ4182" t="str">
        <f>"AE010"</f>
        <v>AE010</v>
      </c>
      <c r="AK4182" t="s">
        <v>46</v>
      </c>
      <c r="AL4182" s="1">
        <v>44816.561354166668</v>
      </c>
      <c r="AM4182" t="s">
        <v>44</v>
      </c>
    </row>
    <row r="4183" spans="1:39" x14ac:dyDescent="0.2">
      <c r="A4183" t="s">
        <v>3931</v>
      </c>
      <c r="B4183" t="s">
        <v>40</v>
      </c>
      <c r="C4183" t="s">
        <v>3932</v>
      </c>
      <c r="D4183" t="s">
        <v>42</v>
      </c>
      <c r="E4183" t="s">
        <v>43</v>
      </c>
      <c r="F4183" t="s">
        <v>44</v>
      </c>
      <c r="G4183" t="s">
        <v>45</v>
      </c>
      <c r="AH4183" t="s">
        <v>42</v>
      </c>
      <c r="AI4183" t="str">
        <f>"66298930167045"</f>
        <v>66298930167045</v>
      </c>
      <c r="AJ4183" t="str">
        <f>"32800-16A00"</f>
        <v>32800-16A00</v>
      </c>
      <c r="AK4183" t="s">
        <v>46</v>
      </c>
      <c r="AL4183" s="1">
        <v>44816.561354166668</v>
      </c>
      <c r="AM4183" t="s">
        <v>44</v>
      </c>
    </row>
    <row r="4184" spans="1:39" x14ac:dyDescent="0.2">
      <c r="A4184" t="s">
        <v>3933</v>
      </c>
      <c r="B4184" t="s">
        <v>40</v>
      </c>
      <c r="C4184" t="s">
        <v>3932</v>
      </c>
      <c r="D4184" t="s">
        <v>42</v>
      </c>
      <c r="E4184" t="s">
        <v>43</v>
      </c>
      <c r="F4184" t="s">
        <v>44</v>
      </c>
      <c r="G4184" t="s">
        <v>45</v>
      </c>
      <c r="AH4184" t="s">
        <v>42</v>
      </c>
      <c r="AI4184" t="str">
        <f>"66298930246239"</f>
        <v>66298930246239</v>
      </c>
      <c r="AJ4184" t="str">
        <f>"80404"</f>
        <v>80404</v>
      </c>
      <c r="AK4184" t="s">
        <v>46</v>
      </c>
      <c r="AL4184" s="1">
        <v>44816.561365740738</v>
      </c>
      <c r="AM4184" t="s">
        <v>44</v>
      </c>
    </row>
    <row r="4185" spans="1:39" x14ac:dyDescent="0.2">
      <c r="A4185" t="s">
        <v>3934</v>
      </c>
      <c r="B4185" t="s">
        <v>40</v>
      </c>
      <c r="C4185" t="s">
        <v>3932</v>
      </c>
      <c r="D4185" t="s">
        <v>42</v>
      </c>
      <c r="E4185" t="s">
        <v>43</v>
      </c>
      <c r="F4185" t="s">
        <v>44</v>
      </c>
      <c r="G4185" t="s">
        <v>45</v>
      </c>
      <c r="AH4185" t="s">
        <v>42</v>
      </c>
      <c r="AI4185" t="str">
        <f>"66298930207511"</f>
        <v>66298930207511</v>
      </c>
      <c r="AJ4185" t="str">
        <f>"V019"</f>
        <v>V019</v>
      </c>
      <c r="AK4185" t="s">
        <v>46</v>
      </c>
      <c r="AL4185" s="1">
        <v>44816.561365740738</v>
      </c>
      <c r="AM4185" t="s">
        <v>44</v>
      </c>
    </row>
    <row r="4186" spans="1:39" x14ac:dyDescent="0.2">
      <c r="A4186" t="s">
        <v>3934</v>
      </c>
      <c r="B4186" t="s">
        <v>40</v>
      </c>
      <c r="C4186" t="s">
        <v>3932</v>
      </c>
      <c r="D4186" t="s">
        <v>42</v>
      </c>
      <c r="E4186" t="s">
        <v>43</v>
      </c>
      <c r="F4186" t="s">
        <v>44</v>
      </c>
      <c r="G4186" t="s">
        <v>45</v>
      </c>
      <c r="AH4186" t="s">
        <v>43</v>
      </c>
      <c r="AI4186" t="str">
        <f>"RECT-4-CN"</f>
        <v>RECT-4-CN</v>
      </c>
      <c r="AJ4186" t="str">
        <f>"RECT-4-CN"</f>
        <v>RECT-4-CN</v>
      </c>
      <c r="AK4186" t="s">
        <v>46</v>
      </c>
      <c r="AL4186" s="1">
        <v>44996.674143518518</v>
      </c>
      <c r="AM4186" t="s">
        <v>44</v>
      </c>
    </row>
    <row r="4187" spans="1:39" x14ac:dyDescent="0.2">
      <c r="A4187" t="s">
        <v>3935</v>
      </c>
      <c r="B4187" t="s">
        <v>40</v>
      </c>
      <c r="C4187" t="s">
        <v>3932</v>
      </c>
      <c r="D4187" t="s">
        <v>42</v>
      </c>
      <c r="E4187" t="s">
        <v>43</v>
      </c>
      <c r="F4187" t="s">
        <v>44</v>
      </c>
      <c r="G4187" t="s">
        <v>45</v>
      </c>
      <c r="AH4187" t="s">
        <v>42</v>
      </c>
      <c r="AI4187" t="str">
        <f>"RECT-5/CABLES"</f>
        <v>RECT-5/CABLES</v>
      </c>
      <c r="AJ4187" t="str">
        <f>"RECT-5/CABLES"</f>
        <v>RECT-5/CABLES</v>
      </c>
      <c r="AK4187" t="s">
        <v>46</v>
      </c>
      <c r="AL4187" s="1">
        <v>45071.640474537038</v>
      </c>
      <c r="AM4187" t="s">
        <v>44</v>
      </c>
    </row>
    <row r="4188" spans="1:39" x14ac:dyDescent="0.2">
      <c r="A4188" t="s">
        <v>3936</v>
      </c>
      <c r="B4188" t="s">
        <v>40</v>
      </c>
      <c r="C4188" t="s">
        <v>3932</v>
      </c>
      <c r="D4188" t="s">
        <v>42</v>
      </c>
      <c r="E4188" t="s">
        <v>43</v>
      </c>
      <c r="F4188" t="s">
        <v>44</v>
      </c>
      <c r="G4188" t="s">
        <v>45</v>
      </c>
      <c r="AH4188" t="s">
        <v>42</v>
      </c>
      <c r="AI4188" t="str">
        <f>"66298930374024"</f>
        <v>66298930374024</v>
      </c>
      <c r="AJ4188" t="str">
        <f>"B068"</f>
        <v>B068</v>
      </c>
      <c r="AK4188" t="s">
        <v>46</v>
      </c>
      <c r="AL4188" s="1">
        <v>44816.561377314814</v>
      </c>
      <c r="AM4188" t="s">
        <v>44</v>
      </c>
    </row>
    <row r="4189" spans="1:39" x14ac:dyDescent="0.2">
      <c r="A4189" t="s">
        <v>3937</v>
      </c>
      <c r="B4189" t="s">
        <v>40</v>
      </c>
      <c r="C4189" t="s">
        <v>3932</v>
      </c>
      <c r="D4189" t="s">
        <v>42</v>
      </c>
      <c r="E4189" t="s">
        <v>43</v>
      </c>
      <c r="F4189" t="s">
        <v>44</v>
      </c>
      <c r="G4189" t="s">
        <v>45</v>
      </c>
      <c r="AH4189" t="s">
        <v>42</v>
      </c>
      <c r="AI4189" t="str">
        <f>"V016"</f>
        <v>V016</v>
      </c>
      <c r="AJ4189" t="str">
        <f>"V016"</f>
        <v>V016</v>
      </c>
      <c r="AK4189" t="s">
        <v>46</v>
      </c>
      <c r="AL4189" s="1">
        <v>44846.632731481484</v>
      </c>
      <c r="AM4189" t="s">
        <v>44</v>
      </c>
    </row>
    <row r="4190" spans="1:39" x14ac:dyDescent="0.2">
      <c r="A4190" t="s">
        <v>3938</v>
      </c>
      <c r="B4190" t="s">
        <v>40</v>
      </c>
      <c r="C4190" t="s">
        <v>3932</v>
      </c>
      <c r="D4190" t="s">
        <v>42</v>
      </c>
      <c r="E4190" t="s">
        <v>43</v>
      </c>
      <c r="F4190" t="s">
        <v>44</v>
      </c>
      <c r="G4190" t="s">
        <v>45</v>
      </c>
      <c r="AH4190" t="s">
        <v>42</v>
      </c>
      <c r="AI4190" t="str">
        <f>"66298930418933"</f>
        <v>66298930418933</v>
      </c>
      <c r="AJ4190" t="str">
        <f>"80402"</f>
        <v>80402</v>
      </c>
      <c r="AK4190" t="s">
        <v>46</v>
      </c>
      <c r="AL4190" s="1">
        <v>44816.561388888891</v>
      </c>
      <c r="AM4190" t="s">
        <v>44</v>
      </c>
    </row>
    <row r="4191" spans="1:39" x14ac:dyDescent="0.2">
      <c r="A4191" t="s">
        <v>3939</v>
      </c>
      <c r="B4191" t="s">
        <v>40</v>
      </c>
      <c r="C4191" t="s">
        <v>3932</v>
      </c>
      <c r="D4191" t="s">
        <v>42</v>
      </c>
      <c r="E4191" t="s">
        <v>43</v>
      </c>
      <c r="F4191" t="s">
        <v>44</v>
      </c>
      <c r="G4191" t="s">
        <v>45</v>
      </c>
      <c r="AH4191" t="s">
        <v>42</v>
      </c>
      <c r="AI4191" t="str">
        <f>"66298930289477"</f>
        <v>66298930289477</v>
      </c>
      <c r="AJ4191" t="str">
        <f>"80391"</f>
        <v>80391</v>
      </c>
      <c r="AK4191" t="s">
        <v>46</v>
      </c>
      <c r="AL4191" s="1">
        <v>44816.561365740738</v>
      </c>
      <c r="AM4191" t="s">
        <v>44</v>
      </c>
    </row>
    <row r="4192" spans="1:39" x14ac:dyDescent="0.2">
      <c r="A4192" t="s">
        <v>3939</v>
      </c>
      <c r="B4192" t="s">
        <v>40</v>
      </c>
      <c r="C4192" t="s">
        <v>3932</v>
      </c>
      <c r="D4192" t="s">
        <v>42</v>
      </c>
      <c r="E4192" t="s">
        <v>43</v>
      </c>
      <c r="F4192" t="s">
        <v>44</v>
      </c>
      <c r="G4192" t="s">
        <v>45</v>
      </c>
      <c r="AH4192" t="s">
        <v>42</v>
      </c>
      <c r="AI4192" t="str">
        <f>"66298930333128"</f>
        <v>66298930333128</v>
      </c>
      <c r="AJ4192" t="str">
        <f>"V015"</f>
        <v>V015</v>
      </c>
      <c r="AK4192" t="s">
        <v>46</v>
      </c>
      <c r="AL4192" s="1">
        <v>44816.561377314814</v>
      </c>
      <c r="AM4192" t="s">
        <v>44</v>
      </c>
    </row>
    <row r="4193" spans="1:39" x14ac:dyDescent="0.2">
      <c r="A4193" t="s">
        <v>3940</v>
      </c>
      <c r="B4193" t="s">
        <v>40</v>
      </c>
      <c r="C4193" t="s">
        <v>3932</v>
      </c>
      <c r="D4193" t="s">
        <v>42</v>
      </c>
      <c r="E4193" t="s">
        <v>43</v>
      </c>
      <c r="F4193" t="s">
        <v>44</v>
      </c>
      <c r="G4193" t="s">
        <v>45</v>
      </c>
      <c r="AH4193" t="s">
        <v>42</v>
      </c>
      <c r="AI4193" t="str">
        <f>"66298930462776"</f>
        <v>66298930462776</v>
      </c>
      <c r="AJ4193" t="str">
        <f>"84964-RECTIFI"</f>
        <v>84964-RECTIFI</v>
      </c>
      <c r="AK4193" t="s">
        <v>46</v>
      </c>
      <c r="AL4193" s="1">
        <v>44816.561388888891</v>
      </c>
      <c r="AM4193" t="s">
        <v>44</v>
      </c>
    </row>
    <row r="4194" spans="1:39" x14ac:dyDescent="0.2">
      <c r="A4194" t="s">
        <v>3940</v>
      </c>
      <c r="B4194" t="s">
        <v>40</v>
      </c>
      <c r="C4194" t="s">
        <v>3932</v>
      </c>
      <c r="D4194" t="s">
        <v>42</v>
      </c>
      <c r="E4194" t="s">
        <v>43</v>
      </c>
      <c r="F4194" t="s">
        <v>44</v>
      </c>
      <c r="G4194" t="s">
        <v>45</v>
      </c>
      <c r="AH4194" t="s">
        <v>42</v>
      </c>
      <c r="AI4194" t="str">
        <f>"66298930470621"</f>
        <v>66298930470621</v>
      </c>
      <c r="AJ4194" t="str">
        <f>"RECT-6/CABLES"</f>
        <v>RECT-6/CABLES</v>
      </c>
      <c r="AK4194" t="s">
        <v>46</v>
      </c>
      <c r="AL4194" s="1">
        <v>44816.561388888891</v>
      </c>
      <c r="AM4194" t="s">
        <v>44</v>
      </c>
    </row>
    <row r="4195" spans="1:39" x14ac:dyDescent="0.2">
      <c r="A4195" t="s">
        <v>3940</v>
      </c>
      <c r="B4195" t="s">
        <v>40</v>
      </c>
      <c r="C4195" t="s">
        <v>3932</v>
      </c>
      <c r="D4195" t="s">
        <v>42</v>
      </c>
      <c r="E4195" t="s">
        <v>43</v>
      </c>
      <c r="F4195" t="s">
        <v>44</v>
      </c>
      <c r="G4195" t="s">
        <v>45</v>
      </c>
      <c r="AH4195" t="s">
        <v>42</v>
      </c>
      <c r="AI4195" t="str">
        <f>"66298930478111"</f>
        <v>66298930478111</v>
      </c>
      <c r="AJ4195" t="str">
        <f>"V004"</f>
        <v>V004</v>
      </c>
      <c r="AK4195" t="s">
        <v>46</v>
      </c>
      <c r="AL4195" s="1">
        <v>44816.561388888891</v>
      </c>
      <c r="AM4195" t="s">
        <v>44</v>
      </c>
    </row>
    <row r="4196" spans="1:39" x14ac:dyDescent="0.2">
      <c r="A4196" t="s">
        <v>3941</v>
      </c>
      <c r="B4196" t="s">
        <v>40</v>
      </c>
      <c r="C4196" t="s">
        <v>3932</v>
      </c>
      <c r="D4196" t="s">
        <v>42</v>
      </c>
      <c r="E4196" t="s">
        <v>43</v>
      </c>
      <c r="F4196" t="s">
        <v>44</v>
      </c>
      <c r="G4196" t="s">
        <v>45</v>
      </c>
      <c r="AH4196" t="s">
        <v>42</v>
      </c>
      <c r="AI4196" t="str">
        <f>"66298930550952"</f>
        <v>66298930550952</v>
      </c>
      <c r="AJ4196" t="str">
        <f>"V030"</f>
        <v>V030</v>
      </c>
      <c r="AK4196" t="s">
        <v>46</v>
      </c>
      <c r="AL4196" s="1">
        <v>44816.561400462961</v>
      </c>
      <c r="AM4196" t="s">
        <v>44</v>
      </c>
    </row>
    <row r="4197" spans="1:39" x14ac:dyDescent="0.2">
      <c r="A4197" t="s">
        <v>3942</v>
      </c>
      <c r="B4197" t="s">
        <v>40</v>
      </c>
      <c r="C4197" t="s">
        <v>3932</v>
      </c>
      <c r="D4197" t="s">
        <v>42</v>
      </c>
      <c r="E4197" t="s">
        <v>43</v>
      </c>
      <c r="F4197" t="s">
        <v>44</v>
      </c>
      <c r="G4197" t="s">
        <v>45</v>
      </c>
      <c r="AH4197" t="s">
        <v>42</v>
      </c>
      <c r="AI4197" t="str">
        <f>"66298930595302"</f>
        <v>66298930595302</v>
      </c>
      <c r="AJ4197" t="str">
        <f>"RECT-7/CABLES"</f>
        <v>RECT-7/CABLES</v>
      </c>
      <c r="AK4197" t="s">
        <v>46</v>
      </c>
      <c r="AL4197" s="1">
        <v>44816.561400462961</v>
      </c>
      <c r="AM4197" t="s">
        <v>44</v>
      </c>
    </row>
    <row r="4198" spans="1:39" x14ac:dyDescent="0.2">
      <c r="A4198" t="s">
        <v>3943</v>
      </c>
      <c r="B4198" t="s">
        <v>40</v>
      </c>
      <c r="C4198" t="s">
        <v>3932</v>
      </c>
      <c r="D4198" t="s">
        <v>42</v>
      </c>
      <c r="E4198" t="s">
        <v>43</v>
      </c>
      <c r="F4198" t="s">
        <v>44</v>
      </c>
      <c r="G4198" t="s">
        <v>45</v>
      </c>
      <c r="AH4198" t="s">
        <v>42</v>
      </c>
      <c r="AI4198" t="str">
        <f>"66298930636426"</f>
        <v>66298930636426</v>
      </c>
      <c r="AJ4198" t="str">
        <f>"V017"</f>
        <v>V017</v>
      </c>
      <c r="AK4198" t="s">
        <v>46</v>
      </c>
      <c r="AL4198" s="1">
        <v>44816.561412037037</v>
      </c>
      <c r="AM4198" t="s">
        <v>44</v>
      </c>
    </row>
    <row r="4199" spans="1:39" x14ac:dyDescent="0.2">
      <c r="A4199" t="s">
        <v>3944</v>
      </c>
      <c r="B4199" t="s">
        <v>40</v>
      </c>
      <c r="C4199" t="s">
        <v>3932</v>
      </c>
      <c r="D4199" t="s">
        <v>42</v>
      </c>
      <c r="E4199" t="s">
        <v>43</v>
      </c>
      <c r="F4199" t="s">
        <v>44</v>
      </c>
      <c r="G4199" t="s">
        <v>45</v>
      </c>
      <c r="AH4199" t="s">
        <v>42</v>
      </c>
      <c r="AI4199" t="str">
        <f>"66298930674445"</f>
        <v>66298930674445</v>
      </c>
      <c r="AJ4199" t="str">
        <f>"U017"</f>
        <v>U017</v>
      </c>
      <c r="AK4199" t="s">
        <v>46</v>
      </c>
      <c r="AL4199" s="1">
        <v>44816.561412037037</v>
      </c>
      <c r="AM4199" t="s">
        <v>44</v>
      </c>
    </row>
    <row r="4200" spans="1:39" x14ac:dyDescent="0.2">
      <c r="A4200" t="s">
        <v>3945</v>
      </c>
      <c r="B4200" t="s">
        <v>40</v>
      </c>
      <c r="C4200" t="s">
        <v>3932</v>
      </c>
      <c r="D4200" t="s">
        <v>42</v>
      </c>
      <c r="E4200" t="s">
        <v>43</v>
      </c>
      <c r="F4200" t="s">
        <v>44</v>
      </c>
      <c r="G4200" t="s">
        <v>45</v>
      </c>
      <c r="AH4200" t="s">
        <v>42</v>
      </c>
      <c r="AI4200" t="str">
        <f>"66298930758831"</f>
        <v>66298930758831</v>
      </c>
      <c r="AJ4200" t="str">
        <f>"V011"</f>
        <v>V011</v>
      </c>
      <c r="AK4200" t="s">
        <v>46</v>
      </c>
      <c r="AL4200" s="1">
        <v>44816.561423611114</v>
      </c>
      <c r="AM4200" t="s">
        <v>44</v>
      </c>
    </row>
    <row r="4201" spans="1:39" x14ac:dyDescent="0.2">
      <c r="A4201" t="s">
        <v>3946</v>
      </c>
      <c r="B4201" t="s">
        <v>40</v>
      </c>
      <c r="C4201" t="s">
        <v>3932</v>
      </c>
      <c r="D4201" t="s">
        <v>42</v>
      </c>
      <c r="E4201" t="s">
        <v>43</v>
      </c>
      <c r="F4201" t="s">
        <v>44</v>
      </c>
      <c r="G4201" t="s">
        <v>45</v>
      </c>
      <c r="AH4201" t="s">
        <v>42</v>
      </c>
      <c r="AI4201" t="str">
        <f>"66298930716536"</f>
        <v>66298930716536</v>
      </c>
      <c r="AJ4201" t="str">
        <f>"V032"</f>
        <v>V032</v>
      </c>
      <c r="AK4201" t="s">
        <v>46</v>
      </c>
      <c r="AL4201" s="1">
        <v>44816.561423611114</v>
      </c>
      <c r="AM4201" t="s">
        <v>44</v>
      </c>
    </row>
    <row r="4202" spans="1:39" x14ac:dyDescent="0.2">
      <c r="A4202" t="s">
        <v>3947</v>
      </c>
      <c r="B4202" t="s">
        <v>40</v>
      </c>
      <c r="C4202" t="s">
        <v>3932</v>
      </c>
      <c r="D4202" t="s">
        <v>42</v>
      </c>
      <c r="E4202" t="s">
        <v>43</v>
      </c>
      <c r="F4202" t="s">
        <v>44</v>
      </c>
      <c r="G4202" t="s">
        <v>45</v>
      </c>
      <c r="AH4202" t="s">
        <v>42</v>
      </c>
      <c r="AI4202" t="str">
        <f>"11175"</f>
        <v>11175</v>
      </c>
      <c r="AJ4202" t="str">
        <f>"11175"</f>
        <v>11175</v>
      </c>
      <c r="AK4202" t="s">
        <v>46</v>
      </c>
      <c r="AL4202" s="1">
        <v>45092.731793981482</v>
      </c>
      <c r="AM4202" t="s">
        <v>44</v>
      </c>
    </row>
    <row r="4203" spans="1:39" x14ac:dyDescent="0.2">
      <c r="A4203" t="s">
        <v>3948</v>
      </c>
      <c r="B4203" t="s">
        <v>40</v>
      </c>
      <c r="C4203" t="s">
        <v>3932</v>
      </c>
      <c r="D4203" t="s">
        <v>42</v>
      </c>
      <c r="E4203" t="s">
        <v>43</v>
      </c>
      <c r="F4203" t="s">
        <v>44</v>
      </c>
      <c r="G4203" t="s">
        <v>45</v>
      </c>
      <c r="AH4203" t="s">
        <v>42</v>
      </c>
      <c r="AI4203" t="str">
        <f>"66298930802174"</f>
        <v>66298930802174</v>
      </c>
      <c r="AJ4203" t="str">
        <f>"V022"</f>
        <v>V022</v>
      </c>
      <c r="AK4203" t="s">
        <v>46</v>
      </c>
      <c r="AL4203" s="1">
        <v>44816.561435185184</v>
      </c>
      <c r="AM4203" t="s">
        <v>44</v>
      </c>
    </row>
    <row r="4204" spans="1:39" x14ac:dyDescent="0.2">
      <c r="A4204" t="s">
        <v>3949</v>
      </c>
      <c r="B4204" t="s">
        <v>40</v>
      </c>
      <c r="C4204" t="s">
        <v>3932</v>
      </c>
      <c r="D4204" t="s">
        <v>42</v>
      </c>
      <c r="E4204" t="s">
        <v>43</v>
      </c>
      <c r="F4204" t="s">
        <v>44</v>
      </c>
      <c r="G4204" t="s">
        <v>45</v>
      </c>
      <c r="AH4204" t="s">
        <v>42</v>
      </c>
      <c r="AI4204" t="str">
        <f>"66298930844259"</f>
        <v>66298930844259</v>
      </c>
      <c r="AJ4204" t="str">
        <f>"V012"</f>
        <v>V012</v>
      </c>
      <c r="AK4204" t="s">
        <v>46</v>
      </c>
      <c r="AL4204" s="1">
        <v>44816.561435185184</v>
      </c>
      <c r="AM4204" t="s">
        <v>44</v>
      </c>
    </row>
    <row r="4205" spans="1:39" x14ac:dyDescent="0.2">
      <c r="A4205" t="s">
        <v>3950</v>
      </c>
      <c r="B4205" t="s">
        <v>40</v>
      </c>
      <c r="C4205" t="s">
        <v>3932</v>
      </c>
      <c r="D4205" t="s">
        <v>42</v>
      </c>
      <c r="E4205" t="s">
        <v>43</v>
      </c>
      <c r="F4205" t="s">
        <v>44</v>
      </c>
      <c r="G4205" t="s">
        <v>45</v>
      </c>
      <c r="AH4205" t="s">
        <v>42</v>
      </c>
      <c r="AI4205" t="str">
        <f>"665"</f>
        <v>665</v>
      </c>
      <c r="AJ4205" t="str">
        <f>"665"</f>
        <v>665</v>
      </c>
      <c r="AK4205" t="s">
        <v>46</v>
      </c>
      <c r="AL4205" s="1">
        <v>45093.888483796298</v>
      </c>
      <c r="AM4205" t="s">
        <v>44</v>
      </c>
    </row>
    <row r="4206" spans="1:39" x14ac:dyDescent="0.2">
      <c r="A4206" t="s">
        <v>3951</v>
      </c>
      <c r="B4206" t="s">
        <v>40</v>
      </c>
      <c r="C4206" t="s">
        <v>3932</v>
      </c>
      <c r="D4206" t="s">
        <v>42</v>
      </c>
      <c r="E4206" t="s">
        <v>43</v>
      </c>
      <c r="F4206" t="s">
        <v>44</v>
      </c>
      <c r="G4206" t="s">
        <v>45</v>
      </c>
      <c r="AH4206" t="s">
        <v>42</v>
      </c>
      <c r="AI4206" t="str">
        <f>"66298930905712"</f>
        <v>66298930905712</v>
      </c>
      <c r="AJ4206" t="str">
        <f>"81090"</f>
        <v>81090</v>
      </c>
      <c r="AK4206" t="s">
        <v>46</v>
      </c>
      <c r="AL4206" s="1">
        <v>44816.56144675926</v>
      </c>
      <c r="AM4206" t="s">
        <v>44</v>
      </c>
    </row>
    <row r="4207" spans="1:39" x14ac:dyDescent="0.2">
      <c r="A4207" t="s">
        <v>3951</v>
      </c>
      <c r="B4207" t="s">
        <v>40</v>
      </c>
      <c r="C4207" t="s">
        <v>3932</v>
      </c>
      <c r="D4207" t="s">
        <v>42</v>
      </c>
      <c r="E4207" t="s">
        <v>43</v>
      </c>
      <c r="F4207" t="s">
        <v>44</v>
      </c>
      <c r="G4207" t="s">
        <v>45</v>
      </c>
      <c r="AH4207" t="s">
        <v>42</v>
      </c>
      <c r="AI4207" t="str">
        <f>"66298930920746"</f>
        <v>66298930920746</v>
      </c>
      <c r="AJ4207" t="str">
        <f>"V020"</f>
        <v>V020</v>
      </c>
      <c r="AK4207" t="s">
        <v>46</v>
      </c>
      <c r="AL4207" s="1">
        <v>44816.56144675926</v>
      </c>
      <c r="AM4207" t="s">
        <v>44</v>
      </c>
    </row>
    <row r="4208" spans="1:39" x14ac:dyDescent="0.2">
      <c r="A4208" t="s">
        <v>3952</v>
      </c>
      <c r="B4208" t="s">
        <v>40</v>
      </c>
      <c r="C4208" t="s">
        <v>3932</v>
      </c>
      <c r="D4208" t="s">
        <v>42</v>
      </c>
      <c r="E4208" t="s">
        <v>43</v>
      </c>
      <c r="F4208" t="s">
        <v>44</v>
      </c>
      <c r="G4208" t="s">
        <v>45</v>
      </c>
      <c r="AH4208" t="s">
        <v>42</v>
      </c>
      <c r="AI4208" t="str">
        <f>"66298930989958"</f>
        <v>66298930989958</v>
      </c>
      <c r="AJ4208" t="str">
        <f>"V006"</f>
        <v>V006</v>
      </c>
      <c r="AK4208" t="s">
        <v>46</v>
      </c>
      <c r="AL4208" s="1">
        <v>44816.56144675926</v>
      </c>
      <c r="AM4208" t="s">
        <v>44</v>
      </c>
    </row>
    <row r="4209" spans="1:39" x14ac:dyDescent="0.2">
      <c r="A4209" t="s">
        <v>3953</v>
      </c>
      <c r="B4209" t="s">
        <v>40</v>
      </c>
      <c r="C4209" t="s">
        <v>3932</v>
      </c>
      <c r="D4209" t="s">
        <v>42</v>
      </c>
      <c r="E4209" t="s">
        <v>43</v>
      </c>
      <c r="F4209" t="s">
        <v>44</v>
      </c>
      <c r="G4209" t="s">
        <v>45</v>
      </c>
      <c r="AH4209" t="s">
        <v>42</v>
      </c>
      <c r="AI4209" t="str">
        <f>"66298931052889"</f>
        <v>66298931052889</v>
      </c>
      <c r="AJ4209" t="str">
        <f>"82340"</f>
        <v>82340</v>
      </c>
      <c r="AK4209" t="s">
        <v>46</v>
      </c>
      <c r="AL4209" s="1">
        <v>44816.56145833333</v>
      </c>
      <c r="AM4209" t="s">
        <v>44</v>
      </c>
    </row>
    <row r="4210" spans="1:39" x14ac:dyDescent="0.2">
      <c r="A4210" t="s">
        <v>3954</v>
      </c>
      <c r="B4210" t="s">
        <v>40</v>
      </c>
      <c r="C4210" t="s">
        <v>3932</v>
      </c>
      <c r="D4210" t="s">
        <v>42</v>
      </c>
      <c r="E4210" t="s">
        <v>43</v>
      </c>
      <c r="F4210" t="s">
        <v>44</v>
      </c>
      <c r="G4210" t="s">
        <v>45</v>
      </c>
      <c r="AH4210" t="s">
        <v>42</v>
      </c>
      <c r="AI4210" t="str">
        <f>"66298931096115"</f>
        <v>66298931096115</v>
      </c>
      <c r="AJ4210" t="str">
        <f>"V010"</f>
        <v>V010</v>
      </c>
      <c r="AK4210" t="s">
        <v>46</v>
      </c>
      <c r="AL4210" s="1">
        <v>44816.56145833333</v>
      </c>
      <c r="AM4210" t="s">
        <v>44</v>
      </c>
    </row>
    <row r="4211" spans="1:39" x14ac:dyDescent="0.2">
      <c r="A4211" t="s">
        <v>3955</v>
      </c>
      <c r="B4211" t="s">
        <v>40</v>
      </c>
      <c r="C4211" t="s">
        <v>3932</v>
      </c>
      <c r="D4211" t="s">
        <v>42</v>
      </c>
      <c r="E4211" t="s">
        <v>43</v>
      </c>
      <c r="F4211" t="s">
        <v>44</v>
      </c>
      <c r="G4211" t="s">
        <v>45</v>
      </c>
      <c r="AH4211" t="s">
        <v>42</v>
      </c>
      <c r="AI4211" t="str">
        <f>"66298931136218"</f>
        <v>66298931136218</v>
      </c>
      <c r="AJ4211" t="str">
        <f>"RECT-GS"</f>
        <v>RECT-GS</v>
      </c>
      <c r="AK4211" t="s">
        <v>46</v>
      </c>
      <c r="AL4211" s="1">
        <v>44816.561469907407</v>
      </c>
      <c r="AM4211" t="s">
        <v>44</v>
      </c>
    </row>
    <row r="4212" spans="1:39" x14ac:dyDescent="0.2">
      <c r="A4212" t="s">
        <v>3956</v>
      </c>
      <c r="B4212" t="s">
        <v>40</v>
      </c>
      <c r="C4212" t="s">
        <v>3932</v>
      </c>
      <c r="D4212" t="s">
        <v>42</v>
      </c>
      <c r="E4212" t="s">
        <v>43</v>
      </c>
      <c r="F4212" t="s">
        <v>44</v>
      </c>
      <c r="G4212" t="s">
        <v>45</v>
      </c>
      <c r="AH4212" t="s">
        <v>42</v>
      </c>
      <c r="AI4212" t="str">
        <f>"32800H51001H000"</f>
        <v>32800H51001H000</v>
      </c>
      <c r="AJ4212" t="str">
        <f>"32800H51001H000"</f>
        <v>32800H51001H000</v>
      </c>
      <c r="AK4212" t="s">
        <v>46</v>
      </c>
      <c r="AL4212" s="1">
        <v>44875.609247685185</v>
      </c>
      <c r="AM4212" t="s">
        <v>44</v>
      </c>
    </row>
    <row r="4213" spans="1:39" x14ac:dyDescent="0.2">
      <c r="A4213" t="s">
        <v>3957</v>
      </c>
      <c r="B4213" t="s">
        <v>40</v>
      </c>
      <c r="C4213" t="s">
        <v>3932</v>
      </c>
      <c r="D4213" t="s">
        <v>42</v>
      </c>
      <c r="E4213" t="s">
        <v>43</v>
      </c>
      <c r="F4213" t="s">
        <v>44</v>
      </c>
      <c r="G4213" t="s">
        <v>45</v>
      </c>
      <c r="AH4213" t="s">
        <v>42</v>
      </c>
      <c r="AI4213" t="str">
        <f>"66298931175721"</f>
        <v>66298931175721</v>
      </c>
      <c r="AJ4213" t="str">
        <f>"02137"</f>
        <v>02137</v>
      </c>
      <c r="AK4213" t="s">
        <v>46</v>
      </c>
      <c r="AL4213" s="1">
        <v>44816.561469907407</v>
      </c>
      <c r="AM4213" t="s">
        <v>44</v>
      </c>
    </row>
    <row r="4214" spans="1:39" x14ac:dyDescent="0.2">
      <c r="A4214" t="s">
        <v>3958</v>
      </c>
      <c r="B4214" t="s">
        <v>40</v>
      </c>
      <c r="C4214" t="s">
        <v>3932</v>
      </c>
      <c r="D4214" t="s">
        <v>42</v>
      </c>
      <c r="E4214" t="s">
        <v>43</v>
      </c>
      <c r="F4214" t="s">
        <v>44</v>
      </c>
      <c r="G4214" t="s">
        <v>45</v>
      </c>
      <c r="AH4214" t="s">
        <v>42</v>
      </c>
      <c r="AI4214" t="str">
        <f>"66298931243454"</f>
        <v>66298931243454</v>
      </c>
      <c r="AJ4214" t="str">
        <f>"32800H05523H000"</f>
        <v>32800H05523H000</v>
      </c>
      <c r="AK4214" t="s">
        <v>46</v>
      </c>
      <c r="AL4214" s="1">
        <v>44816.561481481483</v>
      </c>
      <c r="AM4214" t="s">
        <v>44</v>
      </c>
    </row>
    <row r="4215" spans="1:39" x14ac:dyDescent="0.2">
      <c r="A4215" t="s">
        <v>3959</v>
      </c>
      <c r="B4215" t="s">
        <v>40</v>
      </c>
      <c r="C4215" t="s">
        <v>3932</v>
      </c>
      <c r="D4215" t="s">
        <v>42</v>
      </c>
      <c r="E4215" t="s">
        <v>43</v>
      </c>
      <c r="F4215" t="s">
        <v>44</v>
      </c>
      <c r="G4215" t="s">
        <v>45</v>
      </c>
      <c r="AH4215" t="s">
        <v>42</v>
      </c>
      <c r="AI4215" t="str">
        <f>"66298931286265"</f>
        <v>66298931286265</v>
      </c>
      <c r="AJ4215" t="str">
        <f>"V005"</f>
        <v>V005</v>
      </c>
      <c r="AK4215" t="s">
        <v>46</v>
      </c>
      <c r="AL4215" s="1">
        <v>44816.561481481483</v>
      </c>
      <c r="AM4215" t="s">
        <v>44</v>
      </c>
    </row>
    <row r="4216" spans="1:39" x14ac:dyDescent="0.2">
      <c r="A4216" t="s">
        <v>3960</v>
      </c>
      <c r="B4216" t="s">
        <v>40</v>
      </c>
      <c r="C4216" t="s">
        <v>3932</v>
      </c>
      <c r="D4216" t="s">
        <v>42</v>
      </c>
      <c r="E4216" t="s">
        <v>43</v>
      </c>
      <c r="F4216" t="s">
        <v>44</v>
      </c>
      <c r="G4216" t="s">
        <v>45</v>
      </c>
      <c r="AH4216" t="s">
        <v>42</v>
      </c>
      <c r="AI4216" t="str">
        <f>"66298931324870"</f>
        <v>66298931324870</v>
      </c>
      <c r="AJ4216" t="str">
        <f>"83639"</f>
        <v>83639</v>
      </c>
      <c r="AK4216" t="s">
        <v>46</v>
      </c>
      <c r="AL4216" s="1">
        <v>44816.561493055553</v>
      </c>
      <c r="AM4216" t="s">
        <v>44</v>
      </c>
    </row>
    <row r="4217" spans="1:39" x14ac:dyDescent="0.2">
      <c r="A4217" t="s">
        <v>3961</v>
      </c>
      <c r="B4217" t="s">
        <v>40</v>
      </c>
      <c r="C4217" t="s">
        <v>3932</v>
      </c>
      <c r="D4217" t="s">
        <v>42</v>
      </c>
      <c r="E4217" t="s">
        <v>43</v>
      </c>
      <c r="F4217" t="s">
        <v>44</v>
      </c>
      <c r="G4217" t="s">
        <v>45</v>
      </c>
      <c r="AH4217" t="s">
        <v>42</v>
      </c>
      <c r="AI4217" t="str">
        <f>"66298931365419"</f>
        <v>66298931365419</v>
      </c>
      <c r="AJ4217" t="str">
        <f>"32800H51001H0"</f>
        <v>32800H51001H0</v>
      </c>
      <c r="AK4217" t="s">
        <v>46</v>
      </c>
      <c r="AL4217" s="1">
        <v>44816.561493055553</v>
      </c>
      <c r="AM4217" t="s">
        <v>44</v>
      </c>
    </row>
    <row r="4218" spans="1:39" x14ac:dyDescent="0.2">
      <c r="A4218" t="s">
        <v>3962</v>
      </c>
      <c r="B4218" t="s">
        <v>40</v>
      </c>
      <c r="C4218" t="s">
        <v>3932</v>
      </c>
      <c r="D4218" t="s">
        <v>42</v>
      </c>
      <c r="E4218" t="s">
        <v>43</v>
      </c>
      <c r="F4218" t="s">
        <v>44</v>
      </c>
      <c r="G4218" t="s">
        <v>45</v>
      </c>
      <c r="AH4218" t="s">
        <v>42</v>
      </c>
      <c r="AI4218" t="str">
        <f>"66298931410393"</f>
        <v>66298931410393</v>
      </c>
      <c r="AJ4218" t="str">
        <f>"V008"</f>
        <v>V008</v>
      </c>
      <c r="AK4218" t="s">
        <v>46</v>
      </c>
      <c r="AL4218" s="1">
        <v>44816.56150462963</v>
      </c>
      <c r="AM4218" t="s">
        <v>44</v>
      </c>
    </row>
    <row r="4219" spans="1:39" x14ac:dyDescent="0.2">
      <c r="A4219" t="s">
        <v>3963</v>
      </c>
      <c r="B4219" t="s">
        <v>40</v>
      </c>
      <c r="C4219" t="s">
        <v>3932</v>
      </c>
      <c r="D4219" t="s">
        <v>42</v>
      </c>
      <c r="E4219" t="s">
        <v>43</v>
      </c>
      <c r="F4219" t="s">
        <v>44</v>
      </c>
      <c r="G4219" t="s">
        <v>45</v>
      </c>
      <c r="AH4219" t="s">
        <v>42</v>
      </c>
      <c r="AI4219" t="str">
        <f>"V007"</f>
        <v>V007</v>
      </c>
      <c r="AJ4219" t="str">
        <f>"V007"</f>
        <v>V007</v>
      </c>
      <c r="AK4219" t="s">
        <v>46</v>
      </c>
      <c r="AL4219" s="1">
        <v>44861.826018518521</v>
      </c>
      <c r="AM4219" t="s">
        <v>44</v>
      </c>
    </row>
    <row r="4220" spans="1:39" x14ac:dyDescent="0.2">
      <c r="A4220" t="s">
        <v>3964</v>
      </c>
      <c r="B4220" t="s">
        <v>40</v>
      </c>
      <c r="C4220" t="s">
        <v>3932</v>
      </c>
      <c r="D4220" t="s">
        <v>42</v>
      </c>
      <c r="E4220" t="s">
        <v>43</v>
      </c>
      <c r="F4220" t="s">
        <v>44</v>
      </c>
      <c r="G4220" t="s">
        <v>45</v>
      </c>
      <c r="AH4220" t="s">
        <v>42</v>
      </c>
      <c r="AI4220" t="str">
        <f>"R12849"</f>
        <v>R12849</v>
      </c>
      <c r="AJ4220" t="str">
        <f>"R12849"</f>
        <v>R12849</v>
      </c>
      <c r="AK4220" t="s">
        <v>46</v>
      </c>
      <c r="AL4220" s="1">
        <v>44851.601805555554</v>
      </c>
      <c r="AM4220" t="s">
        <v>44</v>
      </c>
    </row>
    <row r="4221" spans="1:39" x14ac:dyDescent="0.2">
      <c r="A4221" t="s">
        <v>3965</v>
      </c>
      <c r="B4221" t="s">
        <v>40</v>
      </c>
      <c r="C4221" t="s">
        <v>3932</v>
      </c>
      <c r="D4221" t="s">
        <v>42</v>
      </c>
      <c r="E4221" t="s">
        <v>43</v>
      </c>
      <c r="F4221" t="s">
        <v>44</v>
      </c>
      <c r="G4221" t="s">
        <v>45</v>
      </c>
      <c r="AH4221" t="s">
        <v>42</v>
      </c>
      <c r="AI4221" t="str">
        <f>"66298931495291"</f>
        <v>66298931495291</v>
      </c>
      <c r="AJ4221" t="str">
        <f>"400300"</f>
        <v>400300</v>
      </c>
      <c r="AK4221" t="s">
        <v>46</v>
      </c>
      <c r="AL4221" s="1">
        <v>44816.56150462963</v>
      </c>
      <c r="AM4221" t="s">
        <v>44</v>
      </c>
    </row>
    <row r="4222" spans="1:39" x14ac:dyDescent="0.2">
      <c r="A4222" t="s">
        <v>3966</v>
      </c>
      <c r="B4222" t="s">
        <v>40</v>
      </c>
      <c r="C4222" t="s">
        <v>3932</v>
      </c>
      <c r="D4222" t="s">
        <v>42</v>
      </c>
      <c r="E4222" t="s">
        <v>43</v>
      </c>
      <c r="F4222" t="s">
        <v>44</v>
      </c>
      <c r="G4222" t="s">
        <v>45</v>
      </c>
      <c r="AH4222" t="s">
        <v>42</v>
      </c>
      <c r="AI4222" t="str">
        <f>"66298931451981"</f>
        <v>66298931451981</v>
      </c>
      <c r="AJ4222" t="str">
        <f>"82326"</f>
        <v>82326</v>
      </c>
      <c r="AK4222" t="s">
        <v>46</v>
      </c>
      <c r="AL4222" s="1">
        <v>44816.56150462963</v>
      </c>
      <c r="AM4222" t="s">
        <v>44</v>
      </c>
    </row>
    <row r="4223" spans="1:39" x14ac:dyDescent="0.2">
      <c r="A4223" t="s">
        <v>3967</v>
      </c>
      <c r="B4223" t="s">
        <v>40</v>
      </c>
      <c r="C4223" t="s">
        <v>3932</v>
      </c>
      <c r="D4223" t="s">
        <v>42</v>
      </c>
      <c r="E4223" t="s">
        <v>43</v>
      </c>
      <c r="F4223" t="s">
        <v>44</v>
      </c>
      <c r="G4223" t="s">
        <v>45</v>
      </c>
      <c r="AH4223" t="s">
        <v>42</v>
      </c>
      <c r="AI4223" t="str">
        <f>"66298931536707"</f>
        <v>66298931536707</v>
      </c>
      <c r="AJ4223" t="str">
        <f>"V003"</f>
        <v>V003</v>
      </c>
      <c r="AK4223" t="s">
        <v>46</v>
      </c>
      <c r="AL4223" s="1">
        <v>44816.561516203707</v>
      </c>
      <c r="AM4223" t="s">
        <v>44</v>
      </c>
    </row>
    <row r="4224" spans="1:39" x14ac:dyDescent="0.2">
      <c r="A4224" t="s">
        <v>3968</v>
      </c>
      <c r="B4224" t="s">
        <v>40</v>
      </c>
      <c r="C4224" t="s">
        <v>3932</v>
      </c>
      <c r="D4224" t="s">
        <v>42</v>
      </c>
      <c r="E4224" t="s">
        <v>43</v>
      </c>
      <c r="F4224" t="s">
        <v>44</v>
      </c>
      <c r="G4224" t="s">
        <v>45</v>
      </c>
      <c r="AH4224" t="s">
        <v>42</v>
      </c>
      <c r="AI4224" t="str">
        <f>"66298931577340"</f>
        <v>66298931577340</v>
      </c>
      <c r="AJ4224" t="str">
        <f>"85019"</f>
        <v>85019</v>
      </c>
      <c r="AK4224" t="s">
        <v>46</v>
      </c>
      <c r="AL4224" s="1">
        <v>44816.561516203707</v>
      </c>
      <c r="AM4224" t="s">
        <v>44</v>
      </c>
    </row>
    <row r="4225" spans="1:39" x14ac:dyDescent="0.2">
      <c r="A4225" t="s">
        <v>3969</v>
      </c>
      <c r="B4225" t="s">
        <v>40</v>
      </c>
      <c r="C4225" t="s">
        <v>3932</v>
      </c>
      <c r="D4225" t="s">
        <v>42</v>
      </c>
      <c r="E4225" t="s">
        <v>43</v>
      </c>
      <c r="F4225" t="s">
        <v>44</v>
      </c>
      <c r="G4225" t="s">
        <v>45</v>
      </c>
      <c r="AH4225" t="s">
        <v>42</v>
      </c>
      <c r="AI4225" t="str">
        <f>"66298931621847"</f>
        <v>66298931621847</v>
      </c>
      <c r="AJ4225" t="str">
        <f>"R1060070HB"</f>
        <v>R1060070HB</v>
      </c>
      <c r="AK4225" t="s">
        <v>46</v>
      </c>
      <c r="AL4225" s="1">
        <v>44816.561527777776</v>
      </c>
      <c r="AM4225" t="s">
        <v>44</v>
      </c>
    </row>
    <row r="4226" spans="1:39" x14ac:dyDescent="0.2">
      <c r="A4226" t="s">
        <v>3970</v>
      </c>
      <c r="B4226" t="s">
        <v>40</v>
      </c>
      <c r="C4226" t="s">
        <v>3932</v>
      </c>
      <c r="D4226" t="s">
        <v>42</v>
      </c>
      <c r="E4226" t="s">
        <v>43</v>
      </c>
      <c r="F4226" t="s">
        <v>44</v>
      </c>
      <c r="G4226" t="s">
        <v>45</v>
      </c>
      <c r="AH4226" t="s">
        <v>42</v>
      </c>
      <c r="AI4226" t="str">
        <f>"66298931665504"</f>
        <v>66298931665504</v>
      </c>
      <c r="AJ4226" t="str">
        <f>"82420"</f>
        <v>82420</v>
      </c>
      <c r="AK4226" t="s">
        <v>46</v>
      </c>
      <c r="AL4226" s="1">
        <v>44816.561527777776</v>
      </c>
      <c r="AM4226" t="s">
        <v>44</v>
      </c>
    </row>
    <row r="4227" spans="1:39" x14ac:dyDescent="0.2">
      <c r="A4227" t="s">
        <v>3971</v>
      </c>
      <c r="B4227" t="s">
        <v>40</v>
      </c>
      <c r="C4227" t="s">
        <v>3932</v>
      </c>
      <c r="D4227" t="s">
        <v>42</v>
      </c>
      <c r="E4227" t="s">
        <v>43</v>
      </c>
      <c r="F4227" t="s">
        <v>44</v>
      </c>
      <c r="G4227" t="s">
        <v>45</v>
      </c>
      <c r="AH4227" t="s">
        <v>42</v>
      </c>
      <c r="AI4227" t="str">
        <f>"66298931712857"</f>
        <v>66298931712857</v>
      </c>
      <c r="AJ4227" t="str">
        <f>"32800H51031H000"</f>
        <v>32800H51031H000</v>
      </c>
      <c r="AK4227" t="s">
        <v>46</v>
      </c>
      <c r="AL4227" s="1">
        <v>44816.561539351853</v>
      </c>
      <c r="AM4227" t="s">
        <v>44</v>
      </c>
    </row>
    <row r="4228" spans="1:39" x14ac:dyDescent="0.2">
      <c r="A4228" t="s">
        <v>3972</v>
      </c>
      <c r="B4228" t="s">
        <v>40</v>
      </c>
      <c r="C4228" t="s">
        <v>3932</v>
      </c>
      <c r="D4228" t="s">
        <v>42</v>
      </c>
      <c r="E4228" t="s">
        <v>43</v>
      </c>
      <c r="F4228" t="s">
        <v>44</v>
      </c>
      <c r="G4228" t="s">
        <v>45</v>
      </c>
      <c r="AH4228" t="s">
        <v>42</v>
      </c>
      <c r="AI4228" t="str">
        <f>"66298931756457"</f>
        <v>66298931756457</v>
      </c>
      <c r="AJ4228" t="str">
        <f>"V029"</f>
        <v>V029</v>
      </c>
      <c r="AK4228" t="s">
        <v>46</v>
      </c>
      <c r="AL4228" s="1">
        <v>44816.561539351853</v>
      </c>
      <c r="AM4228" t="s">
        <v>44</v>
      </c>
    </row>
    <row r="4229" spans="1:39" x14ac:dyDescent="0.2">
      <c r="A4229" t="s">
        <v>3973</v>
      </c>
      <c r="B4229" t="s">
        <v>40</v>
      </c>
      <c r="C4229" t="s">
        <v>3932</v>
      </c>
      <c r="D4229" t="s">
        <v>42</v>
      </c>
      <c r="E4229" t="s">
        <v>43</v>
      </c>
      <c r="F4229" t="s">
        <v>44</v>
      </c>
      <c r="G4229" t="s">
        <v>45</v>
      </c>
      <c r="AH4229" t="s">
        <v>42</v>
      </c>
      <c r="AI4229" t="str">
        <f>"66298931799914"</f>
        <v>66298931799914</v>
      </c>
      <c r="AJ4229" t="str">
        <f>"589005"</f>
        <v>589005</v>
      </c>
      <c r="AK4229" t="s">
        <v>46</v>
      </c>
      <c r="AL4229" s="1">
        <v>44816.561550925922</v>
      </c>
      <c r="AM4229" t="s">
        <v>44</v>
      </c>
    </row>
    <row r="4230" spans="1:39" x14ac:dyDescent="0.2">
      <c r="A4230" t="s">
        <v>3974</v>
      </c>
      <c r="B4230" t="s">
        <v>40</v>
      </c>
      <c r="C4230" t="s">
        <v>3932</v>
      </c>
      <c r="D4230" t="s">
        <v>42</v>
      </c>
      <c r="E4230" t="s">
        <v>43</v>
      </c>
      <c r="F4230" t="s">
        <v>44</v>
      </c>
      <c r="G4230" t="s">
        <v>45</v>
      </c>
      <c r="AH4230" t="s">
        <v>42</v>
      </c>
      <c r="AI4230" t="str">
        <f>"66298931842460"</f>
        <v>66298931842460</v>
      </c>
      <c r="AJ4230" t="str">
        <f>"82419"</f>
        <v>82419</v>
      </c>
      <c r="AK4230" t="s">
        <v>46</v>
      </c>
      <c r="AL4230" s="1">
        <v>44816.561550925922</v>
      </c>
      <c r="AM4230" t="s">
        <v>44</v>
      </c>
    </row>
    <row r="4231" spans="1:39" x14ac:dyDescent="0.2">
      <c r="A4231" t="s">
        <v>3975</v>
      </c>
      <c r="B4231" t="s">
        <v>40</v>
      </c>
      <c r="C4231" t="s">
        <v>3932</v>
      </c>
      <c r="D4231" t="s">
        <v>42</v>
      </c>
      <c r="E4231" t="s">
        <v>43</v>
      </c>
      <c r="F4231" t="s">
        <v>44</v>
      </c>
      <c r="G4231" t="s">
        <v>45</v>
      </c>
      <c r="AH4231" t="s">
        <v>42</v>
      </c>
      <c r="AI4231" t="str">
        <f>"66298931880859"</f>
        <v>66298931880859</v>
      </c>
      <c r="AJ4231" t="str">
        <f>"85184"</f>
        <v>85184</v>
      </c>
      <c r="AK4231" t="s">
        <v>46</v>
      </c>
      <c r="AL4231" s="1">
        <v>44816.561550925922</v>
      </c>
      <c r="AM4231" t="s">
        <v>44</v>
      </c>
    </row>
    <row r="4232" spans="1:39" x14ac:dyDescent="0.2">
      <c r="A4232" t="s">
        <v>3976</v>
      </c>
      <c r="B4232" t="s">
        <v>40</v>
      </c>
      <c r="C4232" t="s">
        <v>3932</v>
      </c>
      <c r="D4232" t="s">
        <v>42</v>
      </c>
      <c r="E4232" t="s">
        <v>43</v>
      </c>
      <c r="F4232" t="s">
        <v>44</v>
      </c>
      <c r="G4232" t="s">
        <v>45</v>
      </c>
      <c r="AH4232" t="s">
        <v>42</v>
      </c>
      <c r="AI4232" t="str">
        <f>"66298931924141"</f>
        <v>66298931924141</v>
      </c>
      <c r="AJ4232" t="str">
        <f>"V009"</f>
        <v>V009</v>
      </c>
      <c r="AK4232" t="s">
        <v>46</v>
      </c>
      <c r="AL4232" s="1">
        <v>44816.561562499999</v>
      </c>
      <c r="AM4232" t="s">
        <v>44</v>
      </c>
    </row>
    <row r="4233" spans="1:39" x14ac:dyDescent="0.2">
      <c r="A4233" t="s">
        <v>3977</v>
      </c>
      <c r="B4233" t="s">
        <v>40</v>
      </c>
      <c r="C4233" t="s">
        <v>3932</v>
      </c>
      <c r="D4233" t="s">
        <v>42</v>
      </c>
      <c r="E4233" t="s">
        <v>43</v>
      </c>
      <c r="F4233" t="s">
        <v>44</v>
      </c>
      <c r="G4233" t="s">
        <v>45</v>
      </c>
      <c r="AH4233" t="s">
        <v>42</v>
      </c>
      <c r="AI4233" t="str">
        <f>"66298931964424"</f>
        <v>66298931964424</v>
      </c>
      <c r="AJ4233" t="str">
        <f>"V026"</f>
        <v>V026</v>
      </c>
      <c r="AK4233" t="s">
        <v>46</v>
      </c>
      <c r="AL4233" s="1">
        <v>44816.561562499999</v>
      </c>
      <c r="AM4233" t="s">
        <v>44</v>
      </c>
    </row>
    <row r="4234" spans="1:39" x14ac:dyDescent="0.2">
      <c r="A4234" t="s">
        <v>3978</v>
      </c>
      <c r="B4234" t="s">
        <v>40</v>
      </c>
      <c r="C4234" t="s">
        <v>3932</v>
      </c>
      <c r="D4234" t="s">
        <v>42</v>
      </c>
      <c r="E4234" t="s">
        <v>43</v>
      </c>
      <c r="F4234" t="s">
        <v>44</v>
      </c>
      <c r="G4234" t="s">
        <v>45</v>
      </c>
      <c r="AH4234" t="s">
        <v>42</v>
      </c>
      <c r="AI4234" t="str">
        <f>"66298932010483"</f>
        <v>66298932010483</v>
      </c>
      <c r="AJ4234" t="str">
        <f>"84917"</f>
        <v>84917</v>
      </c>
      <c r="AK4234" t="s">
        <v>46</v>
      </c>
      <c r="AL4234" s="1">
        <v>44816.561574074076</v>
      </c>
      <c r="AM4234" t="s">
        <v>44</v>
      </c>
    </row>
    <row r="4235" spans="1:39" x14ac:dyDescent="0.2">
      <c r="A4235" t="s">
        <v>3978</v>
      </c>
      <c r="B4235" t="s">
        <v>40</v>
      </c>
      <c r="C4235" t="s">
        <v>3932</v>
      </c>
      <c r="D4235" t="s">
        <v>42</v>
      </c>
      <c r="E4235" t="s">
        <v>43</v>
      </c>
      <c r="F4235" t="s">
        <v>44</v>
      </c>
      <c r="G4235" t="s">
        <v>45</v>
      </c>
      <c r="AH4235" t="s">
        <v>42</v>
      </c>
      <c r="AI4235" t="str">
        <f>"66298932016899"</f>
        <v>66298932016899</v>
      </c>
      <c r="AJ4235" t="str">
        <f>"V018"</f>
        <v>V018</v>
      </c>
      <c r="AK4235" t="s">
        <v>46</v>
      </c>
      <c r="AL4235" s="1">
        <v>44816.561574074076</v>
      </c>
      <c r="AM4235" t="s">
        <v>44</v>
      </c>
    </row>
    <row r="4236" spans="1:39" x14ac:dyDescent="0.2">
      <c r="A4236" t="s">
        <v>3979</v>
      </c>
      <c r="B4236" t="s">
        <v>40</v>
      </c>
      <c r="C4236" t="s">
        <v>3932</v>
      </c>
      <c r="D4236" t="s">
        <v>42</v>
      </c>
      <c r="E4236" t="s">
        <v>43</v>
      </c>
      <c r="F4236" t="s">
        <v>44</v>
      </c>
      <c r="G4236" t="s">
        <v>45</v>
      </c>
      <c r="AH4236" t="s">
        <v>42</v>
      </c>
      <c r="AI4236" t="str">
        <f>"12033"</f>
        <v>12033</v>
      </c>
      <c r="AJ4236" t="str">
        <f>"12033"</f>
        <v>12033</v>
      </c>
      <c r="AK4236" t="s">
        <v>46</v>
      </c>
      <c r="AL4236" s="1">
        <v>44952.577303240738</v>
      </c>
      <c r="AM4236" t="s">
        <v>44</v>
      </c>
    </row>
    <row r="4237" spans="1:39" x14ac:dyDescent="0.2">
      <c r="A4237" t="s">
        <v>3980</v>
      </c>
      <c r="B4237" t="s">
        <v>40</v>
      </c>
      <c r="C4237" t="s">
        <v>3932</v>
      </c>
      <c r="D4237" t="s">
        <v>42</v>
      </c>
      <c r="E4237" t="s">
        <v>43</v>
      </c>
      <c r="F4237" t="s">
        <v>44</v>
      </c>
      <c r="G4237" t="s">
        <v>45</v>
      </c>
      <c r="AH4237" t="s">
        <v>42</v>
      </c>
      <c r="AI4237" t="str">
        <f>"66298932078634"</f>
        <v>66298932078634</v>
      </c>
      <c r="AJ4237" t="str">
        <f>"V023"</f>
        <v>V023</v>
      </c>
      <c r="AK4237" t="s">
        <v>46</v>
      </c>
      <c r="AL4237" s="1">
        <v>44816.561574074076</v>
      </c>
      <c r="AM4237" t="s">
        <v>44</v>
      </c>
    </row>
    <row r="4238" spans="1:39" x14ac:dyDescent="0.2">
      <c r="A4238" t="s">
        <v>3980</v>
      </c>
      <c r="B4238" t="s">
        <v>40</v>
      </c>
      <c r="C4238" t="s">
        <v>3932</v>
      </c>
      <c r="D4238" t="s">
        <v>42</v>
      </c>
      <c r="E4238" t="s">
        <v>43</v>
      </c>
      <c r="F4238" t="s">
        <v>44</v>
      </c>
      <c r="G4238" t="s">
        <v>45</v>
      </c>
      <c r="AH4238" t="s">
        <v>42</v>
      </c>
      <c r="AI4238" t="str">
        <f>"66298932083579"</f>
        <v>66298932083579</v>
      </c>
      <c r="AJ4238" t="str">
        <f>"V001"</f>
        <v>V001</v>
      </c>
      <c r="AK4238" t="s">
        <v>46</v>
      </c>
      <c r="AL4238" s="1">
        <v>44816.561574074076</v>
      </c>
      <c r="AM4238" t="s">
        <v>44</v>
      </c>
    </row>
    <row r="4239" spans="1:39" x14ac:dyDescent="0.2">
      <c r="A4239" t="s">
        <v>3981</v>
      </c>
      <c r="B4239" t="s">
        <v>40</v>
      </c>
      <c r="C4239" t="s">
        <v>3932</v>
      </c>
      <c r="D4239" t="s">
        <v>42</v>
      </c>
      <c r="E4239" t="s">
        <v>43</v>
      </c>
      <c r="F4239" t="s">
        <v>44</v>
      </c>
      <c r="G4239" t="s">
        <v>45</v>
      </c>
      <c r="AH4239" t="s">
        <v>42</v>
      </c>
      <c r="AI4239" t="str">
        <f>"66298932136719"</f>
        <v>66298932136719</v>
      </c>
      <c r="AJ4239" t="str">
        <f>"VH004"</f>
        <v>VH004</v>
      </c>
      <c r="AK4239" t="s">
        <v>46</v>
      </c>
      <c r="AL4239" s="1">
        <v>44816.561585648145</v>
      </c>
      <c r="AM4239" t="s">
        <v>44</v>
      </c>
    </row>
    <row r="4240" spans="1:39" x14ac:dyDescent="0.2">
      <c r="A4240" t="s">
        <v>3982</v>
      </c>
      <c r="B4240" t="s">
        <v>40</v>
      </c>
      <c r="C4240" t="s">
        <v>50</v>
      </c>
      <c r="D4240" t="s">
        <v>42</v>
      </c>
      <c r="E4240" t="s">
        <v>43</v>
      </c>
      <c r="F4240" t="s">
        <v>44</v>
      </c>
      <c r="G4240" t="s">
        <v>45</v>
      </c>
      <c r="AH4240" t="s">
        <v>42</v>
      </c>
      <c r="AI4240" t="str">
        <f>"E010"</f>
        <v>E010</v>
      </c>
      <c r="AJ4240" t="str">
        <f>"E010"</f>
        <v>E010</v>
      </c>
      <c r="AK4240" t="s">
        <v>46</v>
      </c>
      <c r="AL4240" s="1">
        <v>45093.633229166669</v>
      </c>
      <c r="AM4240" t="s">
        <v>44</v>
      </c>
    </row>
    <row r="4241" spans="1:39" x14ac:dyDescent="0.2">
      <c r="A4241" t="s">
        <v>3983</v>
      </c>
      <c r="B4241" t="s">
        <v>40</v>
      </c>
      <c r="C4241" t="s">
        <v>50</v>
      </c>
      <c r="D4241" t="s">
        <v>42</v>
      </c>
      <c r="E4241" t="s">
        <v>43</v>
      </c>
      <c r="F4241" t="s">
        <v>44</v>
      </c>
      <c r="G4241" t="s">
        <v>45</v>
      </c>
      <c r="AH4241" t="s">
        <v>42</v>
      </c>
      <c r="AI4241" t="str">
        <f>"REFLEC-C-ROJO"</f>
        <v>REFLEC-C-ROJO</v>
      </c>
      <c r="AJ4241" t="str">
        <f>"REFLEC-C-ROJO"</f>
        <v>REFLEC-C-ROJO</v>
      </c>
      <c r="AK4241" t="s">
        <v>46</v>
      </c>
      <c r="AL4241" s="1">
        <v>44999.766770833332</v>
      </c>
      <c r="AM4241" t="s">
        <v>44</v>
      </c>
    </row>
    <row r="4242" spans="1:39" x14ac:dyDescent="0.2">
      <c r="A4242" t="s">
        <v>3984</v>
      </c>
      <c r="B4242" t="s">
        <v>40</v>
      </c>
      <c r="C4242" t="s">
        <v>50</v>
      </c>
      <c r="D4242" t="s">
        <v>42</v>
      </c>
      <c r="E4242" t="s">
        <v>43</v>
      </c>
      <c r="F4242" t="s">
        <v>44</v>
      </c>
      <c r="G4242" t="s">
        <v>45</v>
      </c>
      <c r="AH4242" t="s">
        <v>42</v>
      </c>
      <c r="AI4242" t="str">
        <f>"66298932177892"</f>
        <v>66298932177892</v>
      </c>
      <c r="AJ4242" t="str">
        <f>"PB009"</f>
        <v>PB009</v>
      </c>
      <c r="AK4242" t="s">
        <v>46</v>
      </c>
      <c r="AL4242" s="1">
        <v>44816.561585648145</v>
      </c>
      <c r="AM4242" t="s">
        <v>44</v>
      </c>
    </row>
    <row r="4243" spans="1:39" x14ac:dyDescent="0.2">
      <c r="A4243" t="s">
        <v>3984</v>
      </c>
      <c r="B4243" t="s">
        <v>40</v>
      </c>
      <c r="C4243" t="s">
        <v>50</v>
      </c>
      <c r="D4243" t="s">
        <v>42</v>
      </c>
      <c r="E4243" t="s">
        <v>43</v>
      </c>
      <c r="F4243" t="s">
        <v>44</v>
      </c>
      <c r="G4243" t="s">
        <v>45</v>
      </c>
      <c r="AH4243" t="s">
        <v>42</v>
      </c>
      <c r="AI4243" t="str">
        <f>"B097"</f>
        <v>B097</v>
      </c>
      <c r="AJ4243" t="str">
        <f>"B097"</f>
        <v>B097</v>
      </c>
      <c r="AK4243" t="s">
        <v>46</v>
      </c>
      <c r="AL4243" s="1">
        <v>45093.888958333337</v>
      </c>
      <c r="AM4243" t="s">
        <v>44</v>
      </c>
    </row>
    <row r="4244" spans="1:39" x14ac:dyDescent="0.2">
      <c r="A4244" t="s">
        <v>3985</v>
      </c>
      <c r="B4244" t="s">
        <v>40</v>
      </c>
      <c r="C4244" t="s">
        <v>41</v>
      </c>
      <c r="D4244" t="s">
        <v>42</v>
      </c>
      <c r="E4244" t="s">
        <v>43</v>
      </c>
      <c r="F4244" t="s">
        <v>44</v>
      </c>
      <c r="G4244" t="s">
        <v>45</v>
      </c>
      <c r="AH4244" t="s">
        <v>42</v>
      </c>
      <c r="AI4244" t="str">
        <f>"66298932219701"</f>
        <v>66298932219701</v>
      </c>
      <c r="AJ4244" t="str">
        <f>"15AFE4"</f>
        <v>15AFE4</v>
      </c>
      <c r="AK4244" t="s">
        <v>46</v>
      </c>
      <c r="AL4244" s="1">
        <v>44816.561597222222</v>
      </c>
      <c r="AM4244" t="s">
        <v>44</v>
      </c>
    </row>
    <row r="4245" spans="1:39" x14ac:dyDescent="0.2">
      <c r="A4245" t="s">
        <v>3986</v>
      </c>
      <c r="B4245" t="s">
        <v>40</v>
      </c>
      <c r="C4245" t="s">
        <v>41</v>
      </c>
      <c r="D4245" t="s">
        <v>42</v>
      </c>
      <c r="E4245" t="s">
        <v>43</v>
      </c>
      <c r="F4245" t="s">
        <v>44</v>
      </c>
      <c r="G4245" t="s">
        <v>45</v>
      </c>
      <c r="AH4245" t="s">
        <v>42</v>
      </c>
      <c r="AI4245" t="str">
        <f>"66298932261089"</f>
        <v>66298932261089</v>
      </c>
      <c r="AJ4245" t="str">
        <f>"800219"</f>
        <v>800219</v>
      </c>
      <c r="AK4245" t="s">
        <v>46</v>
      </c>
      <c r="AL4245" s="1">
        <v>44816.561597222222</v>
      </c>
      <c r="AM4245" t="s">
        <v>44</v>
      </c>
    </row>
    <row r="4246" spans="1:39" x14ac:dyDescent="0.2">
      <c r="A4246" t="s">
        <v>3987</v>
      </c>
      <c r="B4246" t="s">
        <v>40</v>
      </c>
      <c r="C4246" t="s">
        <v>41</v>
      </c>
      <c r="D4246" t="s">
        <v>42</v>
      </c>
      <c r="E4246" t="s">
        <v>43</v>
      </c>
      <c r="F4246" t="s">
        <v>44</v>
      </c>
      <c r="G4246" t="s">
        <v>45</v>
      </c>
      <c r="AH4246" t="s">
        <v>42</v>
      </c>
      <c r="AI4246" t="str">
        <f>"66298932299040"</f>
        <v>66298932299040</v>
      </c>
      <c r="AJ4246" t="str">
        <f>"6924"</f>
        <v>6924</v>
      </c>
      <c r="AK4246" t="s">
        <v>46</v>
      </c>
      <c r="AL4246" s="1">
        <v>44816.561597222222</v>
      </c>
      <c r="AM4246" t="s">
        <v>44</v>
      </c>
    </row>
    <row r="4247" spans="1:39" x14ac:dyDescent="0.2">
      <c r="A4247" t="s">
        <v>3988</v>
      </c>
      <c r="B4247" t="s">
        <v>40</v>
      </c>
      <c r="C4247" t="s">
        <v>41</v>
      </c>
      <c r="D4247" t="s">
        <v>42</v>
      </c>
      <c r="E4247" t="s">
        <v>43</v>
      </c>
      <c r="F4247" t="s">
        <v>44</v>
      </c>
      <c r="G4247" t="s">
        <v>45</v>
      </c>
      <c r="AH4247" t="s">
        <v>42</v>
      </c>
      <c r="AI4247" t="str">
        <f>"66298932346625"</f>
        <v>66298932346625</v>
      </c>
      <c r="AJ4247" t="str">
        <f>"105914"</f>
        <v>105914</v>
      </c>
      <c r="AK4247" t="s">
        <v>46</v>
      </c>
      <c r="AL4247" s="1">
        <v>44816.561608796299</v>
      </c>
      <c r="AM4247" t="s">
        <v>44</v>
      </c>
    </row>
    <row r="4248" spans="1:39" x14ac:dyDescent="0.2">
      <c r="A4248" t="s">
        <v>3989</v>
      </c>
      <c r="B4248" t="s">
        <v>40</v>
      </c>
      <c r="C4248" t="s">
        <v>41</v>
      </c>
      <c r="D4248" t="s">
        <v>42</v>
      </c>
      <c r="E4248" t="s">
        <v>43</v>
      </c>
      <c r="F4248" t="s">
        <v>44</v>
      </c>
      <c r="G4248" t="s">
        <v>45</v>
      </c>
      <c r="AH4248" t="s">
        <v>42</v>
      </c>
      <c r="AI4248" t="str">
        <f>"66298932388900"</f>
        <v>66298932388900</v>
      </c>
      <c r="AJ4248" t="str">
        <f>"714W51"</f>
        <v>714W51</v>
      </c>
      <c r="AK4248" t="s">
        <v>46</v>
      </c>
      <c r="AL4248" s="1">
        <v>44816.561608796299</v>
      </c>
      <c r="AM4248" t="s">
        <v>44</v>
      </c>
    </row>
    <row r="4249" spans="1:39" x14ac:dyDescent="0.2">
      <c r="A4249" t="s">
        <v>3990</v>
      </c>
      <c r="B4249" t="s">
        <v>40</v>
      </c>
      <c r="C4249" t="s">
        <v>41</v>
      </c>
      <c r="D4249" t="s">
        <v>42</v>
      </c>
      <c r="E4249" t="s">
        <v>43</v>
      </c>
      <c r="F4249" t="s">
        <v>44</v>
      </c>
      <c r="G4249" t="s">
        <v>45</v>
      </c>
      <c r="AH4249" t="s">
        <v>42</v>
      </c>
      <c r="AI4249" t="str">
        <f>"66298932426035"</f>
        <v>66298932426035</v>
      </c>
      <c r="AJ4249" t="str">
        <f>"702025"</f>
        <v>702025</v>
      </c>
      <c r="AK4249" t="s">
        <v>46</v>
      </c>
      <c r="AL4249" s="1">
        <v>44816.561620370368</v>
      </c>
      <c r="AM4249" t="s">
        <v>44</v>
      </c>
    </row>
    <row r="4250" spans="1:39" x14ac:dyDescent="0.2">
      <c r="A4250" t="s">
        <v>3991</v>
      </c>
      <c r="B4250" t="s">
        <v>40</v>
      </c>
      <c r="C4250" t="s">
        <v>41</v>
      </c>
      <c r="D4250" t="s">
        <v>42</v>
      </c>
      <c r="E4250" t="s">
        <v>43</v>
      </c>
      <c r="F4250" t="s">
        <v>44</v>
      </c>
      <c r="G4250" t="s">
        <v>45</v>
      </c>
      <c r="AH4250" t="s">
        <v>42</v>
      </c>
      <c r="AI4250" t="str">
        <f>"66298932465334"</f>
        <v>66298932465334</v>
      </c>
      <c r="AJ4250" t="str">
        <f>"701975"</f>
        <v>701975</v>
      </c>
      <c r="AK4250" t="s">
        <v>46</v>
      </c>
      <c r="AL4250" s="1">
        <v>44816.561620370368</v>
      </c>
      <c r="AM4250" t="s">
        <v>44</v>
      </c>
    </row>
    <row r="4251" spans="1:39" x14ac:dyDescent="0.2">
      <c r="A4251" t="s">
        <v>3992</v>
      </c>
      <c r="B4251" t="s">
        <v>40</v>
      </c>
      <c r="C4251" t="s">
        <v>41</v>
      </c>
      <c r="D4251" t="s">
        <v>42</v>
      </c>
      <c r="E4251" t="s">
        <v>43</v>
      </c>
      <c r="F4251" t="s">
        <v>44</v>
      </c>
      <c r="G4251" t="s">
        <v>45</v>
      </c>
      <c r="AH4251" t="s">
        <v>42</v>
      </c>
      <c r="AI4251" t="str">
        <f>"66298932507022"</f>
        <v>66298932507022</v>
      </c>
      <c r="AJ4251" t="str">
        <f>"702027"</f>
        <v>702027</v>
      </c>
      <c r="AK4251" t="s">
        <v>46</v>
      </c>
      <c r="AL4251" s="1">
        <v>44816.561631944445</v>
      </c>
      <c r="AM4251" t="s">
        <v>44</v>
      </c>
    </row>
    <row r="4252" spans="1:39" x14ac:dyDescent="0.2">
      <c r="A4252" t="s">
        <v>3993</v>
      </c>
      <c r="B4252" t="s">
        <v>40</v>
      </c>
      <c r="C4252" t="s">
        <v>129</v>
      </c>
      <c r="D4252" t="s">
        <v>42</v>
      </c>
      <c r="E4252" t="s">
        <v>43</v>
      </c>
      <c r="F4252" t="s">
        <v>44</v>
      </c>
      <c r="G4252" t="s">
        <v>45</v>
      </c>
      <c r="AH4252" t="s">
        <v>42</v>
      </c>
      <c r="AI4252" t="str">
        <f>"66298932548104"</f>
        <v>66298932548104</v>
      </c>
      <c r="AJ4252" t="str">
        <f>"QQ001"</f>
        <v>QQ001</v>
      </c>
      <c r="AK4252" t="s">
        <v>46</v>
      </c>
      <c r="AL4252" s="1">
        <v>44816.561631944445</v>
      </c>
      <c r="AM4252" t="s">
        <v>44</v>
      </c>
    </row>
    <row r="4253" spans="1:39" x14ac:dyDescent="0.2">
      <c r="A4253" t="s">
        <v>3994</v>
      </c>
      <c r="B4253" t="s">
        <v>40</v>
      </c>
      <c r="C4253" t="s">
        <v>2104</v>
      </c>
      <c r="D4253" t="s">
        <v>42</v>
      </c>
      <c r="E4253" t="s">
        <v>43</v>
      </c>
      <c r="F4253" t="s">
        <v>44</v>
      </c>
      <c r="G4253" t="s">
        <v>45</v>
      </c>
      <c r="AH4253" t="s">
        <v>42</v>
      </c>
      <c r="AI4253" t="str">
        <f>"66298932594806"</f>
        <v>66298932594806</v>
      </c>
      <c r="AJ4253" t="str">
        <f>"81271"</f>
        <v>81271</v>
      </c>
      <c r="AK4253" t="s">
        <v>46</v>
      </c>
      <c r="AL4253" s="1">
        <v>44816.561631944445</v>
      </c>
      <c r="AM4253" t="s">
        <v>44</v>
      </c>
    </row>
    <row r="4254" spans="1:39" x14ac:dyDescent="0.2">
      <c r="A4254" t="s">
        <v>3994</v>
      </c>
      <c r="B4254" t="s">
        <v>40</v>
      </c>
      <c r="C4254" t="s">
        <v>2104</v>
      </c>
      <c r="D4254" t="s">
        <v>42</v>
      </c>
      <c r="E4254" t="s">
        <v>43</v>
      </c>
      <c r="F4254" t="s">
        <v>44</v>
      </c>
      <c r="G4254" t="s">
        <v>45</v>
      </c>
      <c r="AH4254" t="s">
        <v>42</v>
      </c>
      <c r="AI4254" t="str">
        <f>"66298932602858"</f>
        <v>66298932602858</v>
      </c>
      <c r="AJ4254" t="str">
        <f>"S006"</f>
        <v>S006</v>
      </c>
      <c r="AK4254" t="s">
        <v>46</v>
      </c>
      <c r="AL4254" s="1">
        <v>44816.561643518522</v>
      </c>
      <c r="AM4254" t="s">
        <v>44</v>
      </c>
    </row>
    <row r="4255" spans="1:39" x14ac:dyDescent="0.2">
      <c r="A4255" t="s">
        <v>3994</v>
      </c>
      <c r="B4255" t="s">
        <v>40</v>
      </c>
      <c r="C4255" t="s">
        <v>2104</v>
      </c>
      <c r="D4255" t="s">
        <v>42</v>
      </c>
      <c r="E4255" t="s">
        <v>43</v>
      </c>
      <c r="F4255" t="s">
        <v>44</v>
      </c>
      <c r="G4255" t="s">
        <v>45</v>
      </c>
      <c r="AH4255" t="s">
        <v>42</v>
      </c>
      <c r="AI4255" t="str">
        <f>"66298932609324"</f>
        <v>66298932609324</v>
      </c>
      <c r="AJ4255" t="str">
        <f>"H1093"</f>
        <v>H1093</v>
      </c>
      <c r="AK4255" t="s">
        <v>46</v>
      </c>
      <c r="AL4255" s="1">
        <v>44816.561643518522</v>
      </c>
      <c r="AM4255" t="s">
        <v>44</v>
      </c>
    </row>
    <row r="4256" spans="1:39" x14ac:dyDescent="0.2">
      <c r="A4256" t="s">
        <v>3995</v>
      </c>
      <c r="B4256" t="s">
        <v>40</v>
      </c>
      <c r="C4256" t="s">
        <v>129</v>
      </c>
      <c r="D4256" t="s">
        <v>42</v>
      </c>
      <c r="E4256" t="s">
        <v>43</v>
      </c>
      <c r="F4256" t="s">
        <v>44</v>
      </c>
      <c r="G4256" t="s">
        <v>45</v>
      </c>
      <c r="AH4256" t="s">
        <v>42</v>
      </c>
      <c r="AI4256" t="str">
        <f>"66298932677231"</f>
        <v>66298932677231</v>
      </c>
      <c r="AJ4256" t="str">
        <f>"1080"</f>
        <v>1080</v>
      </c>
      <c r="AK4256" t="s">
        <v>46</v>
      </c>
      <c r="AL4256" s="1">
        <v>44816.561643518522</v>
      </c>
      <c r="AM4256" t="s">
        <v>44</v>
      </c>
    </row>
    <row r="4257" spans="1:39" x14ac:dyDescent="0.2">
      <c r="A4257" t="s">
        <v>3996</v>
      </c>
      <c r="B4257" t="s">
        <v>40</v>
      </c>
      <c r="C4257" t="s">
        <v>129</v>
      </c>
      <c r="D4257" t="s">
        <v>42</v>
      </c>
      <c r="E4257" t="s">
        <v>43</v>
      </c>
      <c r="F4257" t="s">
        <v>44</v>
      </c>
      <c r="G4257" t="s">
        <v>45</v>
      </c>
      <c r="AH4257" t="s">
        <v>42</v>
      </c>
      <c r="AI4257" t="str">
        <f>"66298932728389"</f>
        <v>66298932728389</v>
      </c>
      <c r="AJ4257" t="str">
        <f>"83133"</f>
        <v>83133</v>
      </c>
      <c r="AK4257" t="s">
        <v>46</v>
      </c>
      <c r="AL4257" s="1">
        <v>44816.561655092592</v>
      </c>
      <c r="AM4257" t="s">
        <v>44</v>
      </c>
    </row>
    <row r="4258" spans="1:39" x14ac:dyDescent="0.2">
      <c r="A4258" t="s">
        <v>3997</v>
      </c>
      <c r="B4258" t="s">
        <v>40</v>
      </c>
      <c r="C4258" t="s">
        <v>129</v>
      </c>
      <c r="D4258" t="s">
        <v>42</v>
      </c>
      <c r="E4258" t="s">
        <v>43</v>
      </c>
      <c r="F4258" t="s">
        <v>44</v>
      </c>
      <c r="G4258" t="s">
        <v>45</v>
      </c>
      <c r="AH4258" t="s">
        <v>42</v>
      </c>
      <c r="AI4258" t="str">
        <f>"66298932767649"</f>
        <v>66298932767649</v>
      </c>
      <c r="AJ4258" t="str">
        <f>"5YY-H1950-10GY"</f>
        <v>5YY-H1950-10GY</v>
      </c>
      <c r="AK4258" t="s">
        <v>46</v>
      </c>
      <c r="AL4258" s="1">
        <v>44816.561655092592</v>
      </c>
      <c r="AM4258" t="s">
        <v>44</v>
      </c>
    </row>
    <row r="4259" spans="1:39" x14ac:dyDescent="0.2">
      <c r="A4259" t="s">
        <v>3998</v>
      </c>
      <c r="B4259" t="s">
        <v>40</v>
      </c>
      <c r="C4259" t="s">
        <v>129</v>
      </c>
      <c r="D4259" t="s">
        <v>42</v>
      </c>
      <c r="E4259" t="s">
        <v>43</v>
      </c>
      <c r="F4259" t="s">
        <v>44</v>
      </c>
      <c r="G4259" t="s">
        <v>45</v>
      </c>
      <c r="AH4259" t="s">
        <v>42</v>
      </c>
      <c r="AI4259" t="str">
        <f>"66298932813273"</f>
        <v>66298932813273</v>
      </c>
      <c r="AJ4259" t="str">
        <f>"DK-2010-16HB"</f>
        <v>DK-2010-16HB</v>
      </c>
      <c r="AK4259" t="s">
        <v>46</v>
      </c>
      <c r="AL4259" s="1">
        <v>44816.561666666668</v>
      </c>
      <c r="AM4259" t="s">
        <v>44</v>
      </c>
    </row>
    <row r="4260" spans="1:39" x14ac:dyDescent="0.2">
      <c r="A4260" t="s">
        <v>3999</v>
      </c>
      <c r="B4260" t="s">
        <v>40</v>
      </c>
      <c r="C4260" t="s">
        <v>41</v>
      </c>
      <c r="D4260" t="s">
        <v>42</v>
      </c>
      <c r="E4260" t="s">
        <v>43</v>
      </c>
      <c r="F4260" t="s">
        <v>44</v>
      </c>
      <c r="G4260" t="s">
        <v>45</v>
      </c>
      <c r="AH4260" t="s">
        <v>42</v>
      </c>
      <c r="AI4260" t="str">
        <f>"11699"</f>
        <v>11699</v>
      </c>
      <c r="AJ4260" t="str">
        <f>"11699"</f>
        <v>11699</v>
      </c>
      <c r="AK4260" t="s">
        <v>46</v>
      </c>
      <c r="AL4260" s="1">
        <v>45054.768854166665</v>
      </c>
      <c r="AM4260" t="s">
        <v>44</v>
      </c>
    </row>
    <row r="4261" spans="1:39" x14ac:dyDescent="0.2">
      <c r="A4261" t="s">
        <v>4000</v>
      </c>
      <c r="B4261" t="s">
        <v>40</v>
      </c>
      <c r="C4261" t="s">
        <v>41</v>
      </c>
      <c r="D4261" t="s">
        <v>42</v>
      </c>
      <c r="E4261" t="s">
        <v>43</v>
      </c>
      <c r="F4261" t="s">
        <v>44</v>
      </c>
      <c r="G4261" t="s">
        <v>45</v>
      </c>
      <c r="AH4261" t="s">
        <v>42</v>
      </c>
      <c r="AI4261" t="str">
        <f>"11610"</f>
        <v>11610</v>
      </c>
      <c r="AJ4261" t="str">
        <f>"11610"</f>
        <v>11610</v>
      </c>
      <c r="AK4261" t="s">
        <v>46</v>
      </c>
      <c r="AL4261" s="1">
        <v>45054.757407407407</v>
      </c>
      <c r="AM4261" t="s">
        <v>44</v>
      </c>
    </row>
    <row r="4262" spans="1:39" x14ac:dyDescent="0.2">
      <c r="A4262" t="s">
        <v>4001</v>
      </c>
      <c r="B4262" t="s">
        <v>40</v>
      </c>
      <c r="C4262" t="s">
        <v>129</v>
      </c>
      <c r="D4262" t="s">
        <v>42</v>
      </c>
      <c r="E4262" t="s">
        <v>43</v>
      </c>
      <c r="F4262" t="s">
        <v>44</v>
      </c>
      <c r="G4262" t="s">
        <v>45</v>
      </c>
      <c r="AH4262" t="s">
        <v>42</v>
      </c>
      <c r="AI4262" t="str">
        <f>"66298932856440"</f>
        <v>66298932856440</v>
      </c>
      <c r="AJ4262" t="str">
        <f>"800665"</f>
        <v>800665</v>
      </c>
      <c r="AK4262" t="s">
        <v>46</v>
      </c>
      <c r="AL4262" s="1">
        <v>44816.561666666668</v>
      </c>
      <c r="AM4262" t="s">
        <v>44</v>
      </c>
    </row>
    <row r="4263" spans="1:39" x14ac:dyDescent="0.2">
      <c r="A4263" t="s">
        <v>4002</v>
      </c>
      <c r="B4263" t="s">
        <v>40</v>
      </c>
      <c r="C4263" t="s">
        <v>4003</v>
      </c>
      <c r="D4263" t="s">
        <v>42</v>
      </c>
      <c r="E4263" t="s">
        <v>43</v>
      </c>
      <c r="F4263" t="s">
        <v>44</v>
      </c>
      <c r="G4263" t="s">
        <v>45</v>
      </c>
      <c r="AH4263" t="s">
        <v>42</v>
      </c>
      <c r="AI4263" t="str">
        <f>"66298932898266"</f>
        <v>66298932898266</v>
      </c>
      <c r="AJ4263" t="str">
        <f>"ZZA019"</f>
        <v>ZZA019</v>
      </c>
      <c r="AK4263" t="s">
        <v>46</v>
      </c>
      <c r="AL4263" s="1">
        <v>44816.561666666668</v>
      </c>
      <c r="AM4263" t="s">
        <v>44</v>
      </c>
    </row>
    <row r="4264" spans="1:39" x14ac:dyDescent="0.2">
      <c r="A4264" t="s">
        <v>4004</v>
      </c>
      <c r="B4264" t="s">
        <v>40</v>
      </c>
      <c r="C4264" t="s">
        <v>4003</v>
      </c>
      <c r="D4264" t="s">
        <v>42</v>
      </c>
      <c r="E4264" t="s">
        <v>43</v>
      </c>
      <c r="F4264" t="s">
        <v>44</v>
      </c>
      <c r="G4264" t="s">
        <v>45</v>
      </c>
      <c r="AH4264" t="s">
        <v>42</v>
      </c>
      <c r="AI4264" t="str">
        <f>"66298932938128"</f>
        <v>66298932938128</v>
      </c>
      <c r="AJ4264" t="str">
        <f>"ZZA017"</f>
        <v>ZZA017</v>
      </c>
      <c r="AK4264" t="s">
        <v>46</v>
      </c>
      <c r="AL4264" s="1">
        <v>44816.561678240738</v>
      </c>
      <c r="AM4264" t="s">
        <v>44</v>
      </c>
    </row>
    <row r="4265" spans="1:39" x14ac:dyDescent="0.2">
      <c r="A4265" t="s">
        <v>4005</v>
      </c>
      <c r="B4265" t="s">
        <v>40</v>
      </c>
      <c r="C4265" t="s">
        <v>4003</v>
      </c>
      <c r="D4265" t="s">
        <v>42</v>
      </c>
      <c r="E4265" t="s">
        <v>43</v>
      </c>
      <c r="F4265" t="s">
        <v>44</v>
      </c>
      <c r="G4265" t="s">
        <v>45</v>
      </c>
      <c r="AH4265" t="s">
        <v>42</v>
      </c>
      <c r="AI4265" t="str">
        <f>"66298932980376"</f>
        <v>66298932980376</v>
      </c>
      <c r="AJ4265" t="str">
        <f>"ZZA018"</f>
        <v>ZZA018</v>
      </c>
      <c r="AK4265" t="s">
        <v>46</v>
      </c>
      <c r="AL4265" s="1">
        <v>44816.561678240738</v>
      </c>
      <c r="AM4265" t="s">
        <v>44</v>
      </c>
    </row>
    <row r="4266" spans="1:39" x14ac:dyDescent="0.2">
      <c r="A4266" t="s">
        <v>4006</v>
      </c>
      <c r="B4266" t="s">
        <v>40</v>
      </c>
      <c r="C4266" t="s">
        <v>4003</v>
      </c>
      <c r="D4266" t="s">
        <v>42</v>
      </c>
      <c r="E4266" t="s">
        <v>43</v>
      </c>
      <c r="F4266" t="s">
        <v>44</v>
      </c>
      <c r="G4266" t="s">
        <v>45</v>
      </c>
      <c r="AH4266" t="s">
        <v>42</v>
      </c>
      <c r="AI4266" t="str">
        <f>"66298933023843"</f>
        <v>66298933023843</v>
      </c>
      <c r="AJ4266" t="str">
        <f>"ZZA021"</f>
        <v>ZZA021</v>
      </c>
      <c r="AK4266" t="s">
        <v>46</v>
      </c>
      <c r="AL4266" s="1">
        <v>44816.561689814815</v>
      </c>
      <c r="AM4266" t="s">
        <v>44</v>
      </c>
    </row>
    <row r="4267" spans="1:39" x14ac:dyDescent="0.2">
      <c r="A4267" t="s">
        <v>4007</v>
      </c>
      <c r="B4267" t="s">
        <v>40</v>
      </c>
      <c r="C4267" t="s">
        <v>4003</v>
      </c>
      <c r="D4267" t="s">
        <v>42</v>
      </c>
      <c r="E4267" t="s">
        <v>43</v>
      </c>
      <c r="F4267" t="s">
        <v>44</v>
      </c>
      <c r="G4267" t="s">
        <v>45</v>
      </c>
      <c r="AH4267" t="s">
        <v>42</v>
      </c>
      <c r="AI4267" t="str">
        <f>"66298933064594"</f>
        <v>66298933064594</v>
      </c>
      <c r="AJ4267" t="str">
        <f>"ZZA016"</f>
        <v>ZZA016</v>
      </c>
      <c r="AK4267" t="s">
        <v>46</v>
      </c>
      <c r="AL4267" s="1">
        <v>44816.561689814815</v>
      </c>
      <c r="AM4267" t="s">
        <v>44</v>
      </c>
    </row>
    <row r="4268" spans="1:39" x14ac:dyDescent="0.2">
      <c r="A4268" t="s">
        <v>4008</v>
      </c>
      <c r="B4268" t="s">
        <v>40</v>
      </c>
      <c r="C4268" t="s">
        <v>4003</v>
      </c>
      <c r="D4268" t="s">
        <v>42</v>
      </c>
      <c r="E4268" t="s">
        <v>43</v>
      </c>
      <c r="F4268" t="s">
        <v>44</v>
      </c>
      <c r="G4268" t="s">
        <v>45</v>
      </c>
      <c r="AH4268" t="s">
        <v>42</v>
      </c>
      <c r="AI4268" t="str">
        <f>"66298933107391"</f>
        <v>66298933107391</v>
      </c>
      <c r="AJ4268" t="str">
        <f>"SB005"</f>
        <v>SB005</v>
      </c>
      <c r="AK4268" t="s">
        <v>46</v>
      </c>
      <c r="AL4268" s="1">
        <v>44816.561701388891</v>
      </c>
      <c r="AM4268" t="s">
        <v>44</v>
      </c>
    </row>
    <row r="4269" spans="1:39" x14ac:dyDescent="0.2">
      <c r="A4269" t="s">
        <v>4009</v>
      </c>
      <c r="B4269" t="s">
        <v>40</v>
      </c>
      <c r="C4269" t="s">
        <v>4010</v>
      </c>
      <c r="D4269" t="s">
        <v>42</v>
      </c>
      <c r="E4269" t="s">
        <v>43</v>
      </c>
      <c r="F4269" t="s">
        <v>44</v>
      </c>
      <c r="G4269" t="s">
        <v>45</v>
      </c>
      <c r="AH4269" t="s">
        <v>42</v>
      </c>
      <c r="AI4269" t="str">
        <f>"B074"</f>
        <v>B074</v>
      </c>
      <c r="AJ4269" t="str">
        <f>"B074"</f>
        <v>B074</v>
      </c>
      <c r="AK4269" t="s">
        <v>46</v>
      </c>
      <c r="AL4269" s="1">
        <v>45093.891701388886</v>
      </c>
      <c r="AM4269" t="s">
        <v>44</v>
      </c>
    </row>
    <row r="4270" spans="1:39" x14ac:dyDescent="0.2">
      <c r="A4270" t="s">
        <v>4011</v>
      </c>
      <c r="B4270" t="s">
        <v>40</v>
      </c>
      <c r="C4270" t="s">
        <v>4010</v>
      </c>
      <c r="D4270" t="s">
        <v>42</v>
      </c>
      <c r="E4270" t="s">
        <v>43</v>
      </c>
      <c r="F4270" t="s">
        <v>44</v>
      </c>
      <c r="G4270" t="s">
        <v>45</v>
      </c>
      <c r="AH4270" t="s">
        <v>42</v>
      </c>
      <c r="AI4270" t="str">
        <f>"66298933152756"</f>
        <v>66298933152756</v>
      </c>
      <c r="AJ4270" t="str">
        <f>"80321"</f>
        <v>80321</v>
      </c>
      <c r="AK4270" t="s">
        <v>46</v>
      </c>
      <c r="AL4270" s="1">
        <v>44816.561701388891</v>
      </c>
      <c r="AM4270" t="s">
        <v>44</v>
      </c>
    </row>
    <row r="4271" spans="1:39" x14ac:dyDescent="0.2">
      <c r="A4271" t="s">
        <v>4012</v>
      </c>
      <c r="B4271" t="s">
        <v>40</v>
      </c>
      <c r="C4271" t="s">
        <v>4010</v>
      </c>
      <c r="D4271" t="s">
        <v>42</v>
      </c>
      <c r="E4271" t="s">
        <v>43</v>
      </c>
      <c r="F4271" t="s">
        <v>44</v>
      </c>
      <c r="G4271" t="s">
        <v>45</v>
      </c>
      <c r="AH4271" t="s">
        <v>42</v>
      </c>
      <c r="AI4271" t="str">
        <f>"66298933194484"</f>
        <v>66298933194484</v>
      </c>
      <c r="AJ4271" t="str">
        <f>"XA017"</f>
        <v>XA017</v>
      </c>
      <c r="AK4271" t="s">
        <v>46</v>
      </c>
      <c r="AL4271" s="1">
        <v>44816.561701388891</v>
      </c>
      <c r="AM4271" t="s">
        <v>44</v>
      </c>
    </row>
    <row r="4272" spans="1:39" x14ac:dyDescent="0.2">
      <c r="A4272" t="s">
        <v>4013</v>
      </c>
      <c r="B4272" t="s">
        <v>40</v>
      </c>
      <c r="C4272" t="s">
        <v>4010</v>
      </c>
      <c r="D4272" t="s">
        <v>42</v>
      </c>
      <c r="E4272" t="s">
        <v>43</v>
      </c>
      <c r="F4272" t="s">
        <v>44</v>
      </c>
      <c r="G4272" t="s">
        <v>45</v>
      </c>
      <c r="AH4272" t="s">
        <v>42</v>
      </c>
      <c r="AI4272" t="str">
        <f>"66298933237857"</f>
        <v>66298933237857</v>
      </c>
      <c r="AJ4272" t="str">
        <f>"KB-0204N"</f>
        <v>KB-0204N</v>
      </c>
      <c r="AK4272" t="s">
        <v>46</v>
      </c>
      <c r="AL4272" s="1">
        <v>44816.561712962961</v>
      </c>
      <c r="AM4272" t="s">
        <v>44</v>
      </c>
    </row>
    <row r="4273" spans="1:39" x14ac:dyDescent="0.2">
      <c r="A4273" t="s">
        <v>4014</v>
      </c>
      <c r="B4273" t="s">
        <v>40</v>
      </c>
      <c r="C4273" t="s">
        <v>4010</v>
      </c>
      <c r="D4273" t="s">
        <v>42</v>
      </c>
      <c r="E4273" t="s">
        <v>43</v>
      </c>
      <c r="F4273" t="s">
        <v>44</v>
      </c>
      <c r="G4273" t="s">
        <v>45</v>
      </c>
      <c r="AH4273" t="s">
        <v>42</v>
      </c>
      <c r="AI4273" t="str">
        <f>"66298933282115"</f>
        <v>66298933282115</v>
      </c>
      <c r="AJ4273" t="str">
        <f>"80323"</f>
        <v>80323</v>
      </c>
      <c r="AK4273" t="s">
        <v>46</v>
      </c>
      <c r="AL4273" s="1">
        <v>44816.561712962961</v>
      </c>
      <c r="AM4273" t="s">
        <v>44</v>
      </c>
    </row>
    <row r="4274" spans="1:39" x14ac:dyDescent="0.2">
      <c r="A4274" t="s">
        <v>4015</v>
      </c>
      <c r="B4274" t="s">
        <v>40</v>
      </c>
      <c r="C4274" t="s">
        <v>4010</v>
      </c>
      <c r="D4274" t="s">
        <v>42</v>
      </c>
      <c r="E4274" t="s">
        <v>43</v>
      </c>
      <c r="F4274" t="s">
        <v>44</v>
      </c>
      <c r="G4274" t="s">
        <v>45</v>
      </c>
      <c r="AH4274" t="s">
        <v>42</v>
      </c>
      <c r="AI4274" t="str">
        <f>"66298933326418"</f>
        <v>66298933326418</v>
      </c>
      <c r="AJ4274" t="str">
        <f>"KY-0563JP"</f>
        <v>KY-0563JP</v>
      </c>
      <c r="AK4274" t="s">
        <v>46</v>
      </c>
      <c r="AL4274" s="1">
        <v>44816.561724537038</v>
      </c>
      <c r="AM4274" t="s">
        <v>44</v>
      </c>
    </row>
    <row r="4275" spans="1:39" x14ac:dyDescent="0.2">
      <c r="A4275" t="s">
        <v>4016</v>
      </c>
      <c r="B4275" t="s">
        <v>48</v>
      </c>
      <c r="C4275" t="s">
        <v>1067</v>
      </c>
      <c r="D4275" t="s">
        <v>42</v>
      </c>
      <c r="E4275" t="s">
        <v>42</v>
      </c>
      <c r="F4275" t="s">
        <v>44</v>
      </c>
      <c r="G4275" t="s">
        <v>45</v>
      </c>
      <c r="AH4275" t="s">
        <v>42</v>
      </c>
      <c r="AI4275" t="str">
        <f>"REP-ESTATOR"</f>
        <v>REP-ESTATOR</v>
      </c>
      <c r="AJ4275" t="str">
        <f>"REP-ESTATOR"</f>
        <v>REP-ESTATOR</v>
      </c>
      <c r="AK4275" t="s">
        <v>46</v>
      </c>
      <c r="AL4275" s="1">
        <v>45149.932673611111</v>
      </c>
      <c r="AM4275" t="s">
        <v>44</v>
      </c>
    </row>
    <row r="4276" spans="1:39" x14ac:dyDescent="0.2">
      <c r="A4276" t="s">
        <v>4017</v>
      </c>
      <c r="B4276" t="s">
        <v>40</v>
      </c>
      <c r="C4276" t="s">
        <v>1464</v>
      </c>
      <c r="D4276" t="s">
        <v>42</v>
      </c>
      <c r="E4276" t="s">
        <v>43</v>
      </c>
      <c r="F4276" t="s">
        <v>44</v>
      </c>
      <c r="G4276" t="s">
        <v>45</v>
      </c>
      <c r="AH4276" t="s">
        <v>42</v>
      </c>
      <c r="AI4276" t="str">
        <f>"66298933365262"</f>
        <v>66298933365262</v>
      </c>
      <c r="AJ4276" t="str">
        <f>"35400-K70-601GH"</f>
        <v>35400-K70-601GH</v>
      </c>
      <c r="AK4276" t="s">
        <v>46</v>
      </c>
      <c r="AL4276" s="1">
        <v>44816.561724537038</v>
      </c>
      <c r="AM4276" t="s">
        <v>44</v>
      </c>
    </row>
    <row r="4277" spans="1:39" x14ac:dyDescent="0.2">
      <c r="A4277" t="s">
        <v>4018</v>
      </c>
      <c r="B4277" t="s">
        <v>40</v>
      </c>
      <c r="C4277" t="s">
        <v>1464</v>
      </c>
      <c r="D4277" t="s">
        <v>42</v>
      </c>
      <c r="E4277" t="s">
        <v>43</v>
      </c>
      <c r="F4277" t="s">
        <v>44</v>
      </c>
      <c r="G4277" t="s">
        <v>45</v>
      </c>
      <c r="AH4277" t="s">
        <v>42</v>
      </c>
      <c r="AI4277" t="str">
        <f>"66298933407092"</f>
        <v>66298933407092</v>
      </c>
      <c r="AJ4277" t="str">
        <f>"VH002"</f>
        <v>VH002</v>
      </c>
      <c r="AK4277" t="s">
        <v>46</v>
      </c>
      <c r="AL4277" s="1">
        <v>44816.561736111114</v>
      </c>
      <c r="AM4277" t="s">
        <v>44</v>
      </c>
    </row>
    <row r="4278" spans="1:39" x14ac:dyDescent="0.2">
      <c r="A4278" t="s">
        <v>4019</v>
      </c>
      <c r="B4278" t="s">
        <v>40</v>
      </c>
      <c r="C4278" t="s">
        <v>4020</v>
      </c>
      <c r="D4278" t="s">
        <v>42</v>
      </c>
      <c r="E4278" t="s">
        <v>43</v>
      </c>
      <c r="F4278" t="s">
        <v>44</v>
      </c>
      <c r="G4278" t="s">
        <v>45</v>
      </c>
      <c r="AH4278" t="s">
        <v>42</v>
      </c>
      <c r="AI4278" t="str">
        <f>"66298933452950"</f>
        <v>66298933452950</v>
      </c>
      <c r="AJ4278" t="str">
        <f>"G311"</f>
        <v>G311</v>
      </c>
      <c r="AK4278" t="s">
        <v>46</v>
      </c>
      <c r="AL4278" s="1">
        <v>44816.561736111114</v>
      </c>
      <c r="AM4278" t="s">
        <v>44</v>
      </c>
    </row>
    <row r="4279" spans="1:39" x14ac:dyDescent="0.2">
      <c r="A4279" t="s">
        <v>4021</v>
      </c>
      <c r="B4279" t="s">
        <v>40</v>
      </c>
      <c r="C4279" t="s">
        <v>4020</v>
      </c>
      <c r="D4279" t="s">
        <v>42</v>
      </c>
      <c r="E4279" t="s">
        <v>43</v>
      </c>
      <c r="F4279" t="s">
        <v>44</v>
      </c>
      <c r="G4279" t="s">
        <v>45</v>
      </c>
      <c r="AH4279" t="s">
        <v>42</v>
      </c>
      <c r="AI4279" t="str">
        <f>"66298933495915"</f>
        <v>66298933495915</v>
      </c>
      <c r="AJ4279" t="str">
        <f>"BY11013-E5-10"</f>
        <v>BY11013-E5-10</v>
      </c>
      <c r="AK4279" t="s">
        <v>46</v>
      </c>
      <c r="AL4279" s="1">
        <v>44816.561736111114</v>
      </c>
      <c r="AM4279" t="s">
        <v>44</v>
      </c>
    </row>
    <row r="4280" spans="1:39" x14ac:dyDescent="0.2">
      <c r="A4280" t="s">
        <v>4022</v>
      </c>
      <c r="B4280" t="s">
        <v>40</v>
      </c>
      <c r="C4280" t="s">
        <v>4020</v>
      </c>
      <c r="D4280" t="s">
        <v>42</v>
      </c>
      <c r="E4280" t="s">
        <v>43</v>
      </c>
      <c r="F4280" t="s">
        <v>44</v>
      </c>
      <c r="G4280" t="s">
        <v>45</v>
      </c>
      <c r="AH4280" t="s">
        <v>42</v>
      </c>
      <c r="AI4280" t="str">
        <f>"66298933537538"</f>
        <v>66298933537538</v>
      </c>
      <c r="AJ4280" t="str">
        <f>"21C-E6333-00"</f>
        <v>21C-E6333-00</v>
      </c>
      <c r="AK4280" t="s">
        <v>46</v>
      </c>
      <c r="AL4280" s="1">
        <v>44816.561747685184</v>
      </c>
      <c r="AM4280" t="s">
        <v>44</v>
      </c>
    </row>
    <row r="4281" spans="1:39" x14ac:dyDescent="0.2">
      <c r="A4281" t="s">
        <v>4023</v>
      </c>
      <c r="B4281" t="s">
        <v>40</v>
      </c>
      <c r="C4281" t="s">
        <v>4020</v>
      </c>
      <c r="D4281" t="s">
        <v>42</v>
      </c>
      <c r="E4281" t="s">
        <v>43</v>
      </c>
      <c r="F4281" t="s">
        <v>44</v>
      </c>
      <c r="G4281" t="s">
        <v>45</v>
      </c>
      <c r="AH4281" t="s">
        <v>42</v>
      </c>
      <c r="AI4281" t="str">
        <f>"66298933578597"</f>
        <v>66298933578597</v>
      </c>
      <c r="AJ4281" t="str">
        <f>"G302"</f>
        <v>G302</v>
      </c>
      <c r="AK4281" t="s">
        <v>46</v>
      </c>
      <c r="AL4281" s="1">
        <v>44816.561747685184</v>
      </c>
      <c r="AM4281" t="s">
        <v>44</v>
      </c>
    </row>
    <row r="4282" spans="1:39" x14ac:dyDescent="0.2">
      <c r="A4282" t="s">
        <v>4024</v>
      </c>
      <c r="B4282" t="s">
        <v>40</v>
      </c>
      <c r="C4282" t="s">
        <v>4020</v>
      </c>
      <c r="D4282" t="s">
        <v>42</v>
      </c>
      <c r="E4282" t="s">
        <v>43</v>
      </c>
      <c r="F4282" t="s">
        <v>44</v>
      </c>
      <c r="G4282" t="s">
        <v>45</v>
      </c>
      <c r="AH4282" t="s">
        <v>42</v>
      </c>
      <c r="AI4282" t="str">
        <f>"66298933624900"</f>
        <v>66298933624900</v>
      </c>
      <c r="AJ4282" t="str">
        <f>"G303"</f>
        <v>G303</v>
      </c>
      <c r="AK4282" t="s">
        <v>46</v>
      </c>
      <c r="AL4282" s="1">
        <v>44816.561759259261</v>
      </c>
      <c r="AM4282" t="s">
        <v>44</v>
      </c>
    </row>
    <row r="4283" spans="1:39" x14ac:dyDescent="0.2">
      <c r="A4283" t="s">
        <v>4025</v>
      </c>
      <c r="B4283" t="s">
        <v>40</v>
      </c>
      <c r="C4283" t="s">
        <v>4020</v>
      </c>
      <c r="D4283" t="s">
        <v>42</v>
      </c>
      <c r="E4283" t="s">
        <v>43</v>
      </c>
      <c r="F4283" t="s">
        <v>44</v>
      </c>
      <c r="G4283" t="s">
        <v>45</v>
      </c>
      <c r="AH4283" t="s">
        <v>42</v>
      </c>
      <c r="AI4283" t="str">
        <f>"66298933664540"</f>
        <v>66298933664540</v>
      </c>
      <c r="AJ4283" t="str">
        <f>"82842"</f>
        <v>82842</v>
      </c>
      <c r="AK4283" t="s">
        <v>46</v>
      </c>
      <c r="AL4283" s="1">
        <v>44816.561759259261</v>
      </c>
      <c r="AM4283" t="s">
        <v>44</v>
      </c>
    </row>
    <row r="4284" spans="1:39" x14ac:dyDescent="0.2">
      <c r="A4284" t="s">
        <v>4026</v>
      </c>
      <c r="B4284" t="s">
        <v>40</v>
      </c>
      <c r="C4284" t="s">
        <v>4020</v>
      </c>
      <c r="D4284" t="s">
        <v>42</v>
      </c>
      <c r="E4284" t="s">
        <v>43</v>
      </c>
      <c r="F4284" t="s">
        <v>44</v>
      </c>
      <c r="G4284" t="s">
        <v>45</v>
      </c>
      <c r="AH4284" t="s">
        <v>42</v>
      </c>
      <c r="AI4284" t="str">
        <f>"66298933703780"</f>
        <v>66298933703780</v>
      </c>
      <c r="AJ4284" t="str">
        <f>"G309"</f>
        <v>G309</v>
      </c>
      <c r="AK4284" t="s">
        <v>46</v>
      </c>
      <c r="AL4284" s="1">
        <v>44816.56177083333</v>
      </c>
      <c r="AM4284" t="s">
        <v>44</v>
      </c>
    </row>
    <row r="4285" spans="1:39" x14ac:dyDescent="0.2">
      <c r="A4285" t="s">
        <v>4027</v>
      </c>
      <c r="B4285" t="s">
        <v>40</v>
      </c>
      <c r="C4285" t="s">
        <v>4020</v>
      </c>
      <c r="D4285" t="s">
        <v>42</v>
      </c>
      <c r="E4285" t="s">
        <v>43</v>
      </c>
      <c r="F4285" t="s">
        <v>44</v>
      </c>
      <c r="G4285" t="s">
        <v>45</v>
      </c>
      <c r="AH4285" t="s">
        <v>42</v>
      </c>
      <c r="AI4285" t="str">
        <f>"RES-LATERAL"</f>
        <v>RES-LATERAL</v>
      </c>
      <c r="AJ4285" t="str">
        <f>"RES-LATERAL"</f>
        <v>RES-LATERAL</v>
      </c>
      <c r="AK4285" t="s">
        <v>46</v>
      </c>
      <c r="AL4285" s="1">
        <v>45000.601400462961</v>
      </c>
      <c r="AM4285" t="s">
        <v>44</v>
      </c>
    </row>
    <row r="4286" spans="1:39" x14ac:dyDescent="0.2">
      <c r="A4286" t="s">
        <v>4028</v>
      </c>
      <c r="B4286" t="s">
        <v>40</v>
      </c>
      <c r="C4286" t="s">
        <v>4020</v>
      </c>
      <c r="D4286" t="s">
        <v>42</v>
      </c>
      <c r="E4286" t="s">
        <v>43</v>
      </c>
      <c r="F4286" t="s">
        <v>44</v>
      </c>
      <c r="G4286" t="s">
        <v>45</v>
      </c>
      <c r="AH4286" t="s">
        <v>42</v>
      </c>
      <c r="AI4286" t="str">
        <f>"66298933748622"</f>
        <v>66298933748622</v>
      </c>
      <c r="AJ4286" t="str">
        <f>"G301"</f>
        <v>G301</v>
      </c>
      <c r="AK4286" t="s">
        <v>46</v>
      </c>
      <c r="AL4286" s="1">
        <v>44816.56177083333</v>
      </c>
      <c r="AM4286" t="s">
        <v>44</v>
      </c>
    </row>
    <row r="4287" spans="1:39" x14ac:dyDescent="0.2">
      <c r="A4287" t="s">
        <v>4029</v>
      </c>
      <c r="B4287" t="s">
        <v>40</v>
      </c>
      <c r="C4287" t="s">
        <v>4020</v>
      </c>
      <c r="D4287" t="s">
        <v>42</v>
      </c>
      <c r="E4287" t="s">
        <v>43</v>
      </c>
      <c r="F4287" t="s">
        <v>44</v>
      </c>
      <c r="G4287" t="s">
        <v>45</v>
      </c>
      <c r="AH4287" t="s">
        <v>42</v>
      </c>
      <c r="AI4287" t="str">
        <f>"66298933788546"</f>
        <v>66298933788546</v>
      </c>
      <c r="AJ4287" t="str">
        <f>"90506-35816GY"</f>
        <v>90506-35816GY</v>
      </c>
      <c r="AK4287" t="s">
        <v>46</v>
      </c>
      <c r="AL4287" s="1">
        <v>44816.56177083333</v>
      </c>
      <c r="AM4287" t="s">
        <v>44</v>
      </c>
    </row>
    <row r="4288" spans="1:39" x14ac:dyDescent="0.2">
      <c r="A4288" t="s">
        <v>4030</v>
      </c>
      <c r="B4288" t="s">
        <v>40</v>
      </c>
      <c r="C4288" t="s">
        <v>4020</v>
      </c>
      <c r="D4288" t="s">
        <v>42</v>
      </c>
      <c r="E4288" t="s">
        <v>43</v>
      </c>
      <c r="F4288" t="s">
        <v>44</v>
      </c>
      <c r="G4288" t="s">
        <v>45</v>
      </c>
      <c r="AH4288" t="s">
        <v>42</v>
      </c>
      <c r="AI4288" t="str">
        <f>"RES-CENTRAL"</f>
        <v>RES-CENTRAL</v>
      </c>
      <c r="AJ4288" t="str">
        <f>"RES-CENTRAL"</f>
        <v>RES-CENTRAL</v>
      </c>
      <c r="AK4288" t="s">
        <v>46</v>
      </c>
      <c r="AL4288" s="1">
        <v>45000.601840277777</v>
      </c>
      <c r="AM4288" t="s">
        <v>44</v>
      </c>
    </row>
    <row r="4289" spans="1:39" x14ac:dyDescent="0.2">
      <c r="A4289" t="s">
        <v>4031</v>
      </c>
      <c r="B4289" t="s">
        <v>40</v>
      </c>
      <c r="C4289" t="s">
        <v>4020</v>
      </c>
      <c r="D4289" t="s">
        <v>42</v>
      </c>
      <c r="E4289" t="s">
        <v>43</v>
      </c>
      <c r="F4289" t="s">
        <v>44</v>
      </c>
      <c r="G4289" t="s">
        <v>45</v>
      </c>
      <c r="AH4289" t="s">
        <v>42</v>
      </c>
      <c r="AI4289" t="str">
        <f>"66298933826173"</f>
        <v>66298933826173</v>
      </c>
      <c r="AJ4289" t="str">
        <f>"G304"</f>
        <v>G304</v>
      </c>
      <c r="AK4289" t="s">
        <v>46</v>
      </c>
      <c r="AL4289" s="1">
        <v>44816.561782407407</v>
      </c>
      <c r="AM4289" t="s">
        <v>44</v>
      </c>
    </row>
    <row r="4290" spans="1:39" x14ac:dyDescent="0.2">
      <c r="A4290" t="s">
        <v>4032</v>
      </c>
      <c r="B4290" t="s">
        <v>40</v>
      </c>
      <c r="C4290" t="s">
        <v>4020</v>
      </c>
      <c r="D4290" t="s">
        <v>42</v>
      </c>
      <c r="E4290" t="s">
        <v>43</v>
      </c>
      <c r="F4290" t="s">
        <v>44</v>
      </c>
      <c r="G4290" t="s">
        <v>45</v>
      </c>
      <c r="AH4290" t="s">
        <v>42</v>
      </c>
      <c r="AI4290" t="str">
        <f>"66298933868267"</f>
        <v>66298933868267</v>
      </c>
      <c r="AJ4290" t="str">
        <f>"90506-23807GY"</f>
        <v>90506-23807GY</v>
      </c>
      <c r="AK4290" t="s">
        <v>46</v>
      </c>
      <c r="AL4290" s="1">
        <v>44816.561782407407</v>
      </c>
      <c r="AM4290" t="s">
        <v>44</v>
      </c>
    </row>
    <row r="4291" spans="1:39" x14ac:dyDescent="0.2">
      <c r="A4291" t="s">
        <v>4033</v>
      </c>
      <c r="B4291" t="s">
        <v>40</v>
      </c>
      <c r="C4291" t="s">
        <v>4020</v>
      </c>
      <c r="D4291" t="s">
        <v>42</v>
      </c>
      <c r="E4291" t="s">
        <v>43</v>
      </c>
      <c r="F4291" t="s">
        <v>44</v>
      </c>
      <c r="G4291" t="s">
        <v>45</v>
      </c>
      <c r="AH4291" t="s">
        <v>42</v>
      </c>
      <c r="AI4291" t="str">
        <f>"66298933910273"</f>
        <v>66298933910273</v>
      </c>
      <c r="AJ4291" t="str">
        <f>"90506-16034"</f>
        <v>90506-16034</v>
      </c>
      <c r="AK4291" t="s">
        <v>46</v>
      </c>
      <c r="AL4291" s="1">
        <v>44816.561793981484</v>
      </c>
      <c r="AM4291" t="s">
        <v>44</v>
      </c>
    </row>
    <row r="4292" spans="1:39" x14ac:dyDescent="0.2">
      <c r="A4292" t="s">
        <v>4034</v>
      </c>
      <c r="B4292" t="s">
        <v>40</v>
      </c>
      <c r="C4292" t="s">
        <v>4020</v>
      </c>
      <c r="D4292" t="s">
        <v>42</v>
      </c>
      <c r="E4292" t="s">
        <v>43</v>
      </c>
      <c r="F4292" t="s">
        <v>44</v>
      </c>
      <c r="G4292" t="s">
        <v>45</v>
      </c>
      <c r="AH4292" t="s">
        <v>42</v>
      </c>
      <c r="AI4292" t="str">
        <f>"66298933952653"</f>
        <v>66298933952653</v>
      </c>
      <c r="AJ4292" t="str">
        <f>"43151-110-000"</f>
        <v>43151-110-000</v>
      </c>
      <c r="AK4292" t="s">
        <v>46</v>
      </c>
      <c r="AL4292" s="1">
        <v>44816.561793981484</v>
      </c>
      <c r="AM4292" t="s">
        <v>44</v>
      </c>
    </row>
    <row r="4293" spans="1:39" x14ac:dyDescent="0.2">
      <c r="A4293" t="s">
        <v>4035</v>
      </c>
      <c r="B4293" t="s">
        <v>40</v>
      </c>
      <c r="C4293" t="s">
        <v>4020</v>
      </c>
      <c r="D4293" t="s">
        <v>42</v>
      </c>
      <c r="E4293" t="s">
        <v>43</v>
      </c>
      <c r="F4293" t="s">
        <v>44</v>
      </c>
      <c r="G4293" t="s">
        <v>45</v>
      </c>
      <c r="AH4293" t="s">
        <v>42</v>
      </c>
      <c r="AI4293" t="str">
        <f>"66298933997383"</f>
        <v>66298933997383</v>
      </c>
      <c r="AJ4293" t="str">
        <f>"90506-YBR125"</f>
        <v>90506-YBR125</v>
      </c>
      <c r="AK4293" t="s">
        <v>46</v>
      </c>
      <c r="AL4293" s="1">
        <v>44816.561793981484</v>
      </c>
      <c r="AM4293" t="s">
        <v>44</v>
      </c>
    </row>
    <row r="4294" spans="1:39" x14ac:dyDescent="0.2">
      <c r="A4294" t="s">
        <v>4036</v>
      </c>
      <c r="B4294" t="s">
        <v>40</v>
      </c>
      <c r="C4294" t="s">
        <v>4020</v>
      </c>
      <c r="D4294" t="s">
        <v>42</v>
      </c>
      <c r="E4294" t="s">
        <v>43</v>
      </c>
      <c r="F4294" t="s">
        <v>44</v>
      </c>
      <c r="G4294" t="s">
        <v>45</v>
      </c>
      <c r="AH4294" t="s">
        <v>42</v>
      </c>
      <c r="AI4294" t="str">
        <f>"66298934040925"</f>
        <v>66298934040925</v>
      </c>
      <c r="AJ4294" t="str">
        <f>"G312"</f>
        <v>G312</v>
      </c>
      <c r="AK4294" t="s">
        <v>46</v>
      </c>
      <c r="AL4294" s="1">
        <v>44816.561805555553</v>
      </c>
      <c r="AM4294" t="s">
        <v>44</v>
      </c>
    </row>
    <row r="4295" spans="1:39" x14ac:dyDescent="0.2">
      <c r="A4295" t="s">
        <v>4037</v>
      </c>
      <c r="B4295" t="s">
        <v>40</v>
      </c>
      <c r="C4295" t="s">
        <v>4020</v>
      </c>
      <c r="D4295" t="s">
        <v>42</v>
      </c>
      <c r="E4295" t="s">
        <v>43</v>
      </c>
      <c r="F4295" t="s">
        <v>44</v>
      </c>
      <c r="G4295" t="s">
        <v>45</v>
      </c>
      <c r="AH4295" t="s">
        <v>42</v>
      </c>
      <c r="AI4295" t="str">
        <f>"66298934080750"</f>
        <v>66298934080750</v>
      </c>
      <c r="AJ4295" t="str">
        <f>"DH-1910-06"</f>
        <v>DH-1910-06</v>
      </c>
      <c r="AK4295" t="s">
        <v>46</v>
      </c>
      <c r="AL4295" s="1">
        <v>44816.561805555553</v>
      </c>
      <c r="AM4295" t="s">
        <v>44</v>
      </c>
    </row>
    <row r="4296" spans="1:39" x14ac:dyDescent="0.2">
      <c r="A4296" t="s">
        <v>4038</v>
      </c>
      <c r="B4296" t="s">
        <v>40</v>
      </c>
      <c r="C4296" t="s">
        <v>4020</v>
      </c>
      <c r="D4296" t="s">
        <v>42</v>
      </c>
      <c r="E4296" t="s">
        <v>43</v>
      </c>
      <c r="F4296" t="s">
        <v>44</v>
      </c>
      <c r="G4296" t="s">
        <v>45</v>
      </c>
      <c r="AH4296" t="s">
        <v>42</v>
      </c>
      <c r="AI4296" t="str">
        <f>"RES-PEFRENO"</f>
        <v>RES-PEFRENO</v>
      </c>
      <c r="AJ4296" t="str">
        <f>"RES-PEFRENO"</f>
        <v>RES-PEFRENO</v>
      </c>
      <c r="AK4296" t="s">
        <v>46</v>
      </c>
      <c r="AL4296" s="1">
        <v>45000.603587962964</v>
      </c>
      <c r="AM4296" t="s">
        <v>44</v>
      </c>
    </row>
    <row r="4297" spans="1:39" x14ac:dyDescent="0.2">
      <c r="A4297" t="s">
        <v>4039</v>
      </c>
      <c r="B4297" t="s">
        <v>40</v>
      </c>
      <c r="C4297" t="s">
        <v>4020</v>
      </c>
      <c r="D4297" t="s">
        <v>42</v>
      </c>
      <c r="E4297" t="s">
        <v>43</v>
      </c>
      <c r="F4297" t="s">
        <v>44</v>
      </c>
      <c r="G4297" t="s">
        <v>45</v>
      </c>
      <c r="AH4297" t="s">
        <v>42</v>
      </c>
      <c r="AI4297" t="str">
        <f>"66298934124178"</f>
        <v>66298934124178</v>
      </c>
      <c r="AJ4297" t="str">
        <f>"G314"</f>
        <v>G314</v>
      </c>
      <c r="AK4297" t="s">
        <v>46</v>
      </c>
      <c r="AL4297" s="1">
        <v>44816.56181712963</v>
      </c>
      <c r="AM4297" t="s">
        <v>44</v>
      </c>
    </row>
    <row r="4298" spans="1:39" x14ac:dyDescent="0.2">
      <c r="A4298" t="s">
        <v>4040</v>
      </c>
      <c r="B4298" t="s">
        <v>40</v>
      </c>
      <c r="C4298" t="s">
        <v>4020</v>
      </c>
      <c r="D4298" t="s">
        <v>42</v>
      </c>
      <c r="E4298" t="s">
        <v>43</v>
      </c>
      <c r="F4298" t="s">
        <v>44</v>
      </c>
      <c r="G4298" t="s">
        <v>45</v>
      </c>
      <c r="AH4298" t="s">
        <v>42</v>
      </c>
      <c r="AI4298" t="str">
        <f>"66298934166758"</f>
        <v>66298934166758</v>
      </c>
      <c r="AJ4298" t="str">
        <f>"G313"</f>
        <v>G313</v>
      </c>
      <c r="AK4298" t="s">
        <v>46</v>
      </c>
      <c r="AL4298" s="1">
        <v>44816.56181712963</v>
      </c>
      <c r="AM4298" t="s">
        <v>44</v>
      </c>
    </row>
    <row r="4299" spans="1:39" x14ac:dyDescent="0.2">
      <c r="A4299" t="s">
        <v>4041</v>
      </c>
      <c r="B4299" t="s">
        <v>40</v>
      </c>
      <c r="C4299" t="s">
        <v>4020</v>
      </c>
      <c r="D4299" t="s">
        <v>42</v>
      </c>
      <c r="E4299" t="s">
        <v>43</v>
      </c>
      <c r="F4299" t="s">
        <v>44</v>
      </c>
      <c r="G4299" t="s">
        <v>45</v>
      </c>
      <c r="AH4299" t="s">
        <v>42</v>
      </c>
      <c r="AI4299" t="str">
        <f>"66298934223891"</f>
        <v>66298934223891</v>
      </c>
      <c r="AJ4299" t="str">
        <f>"11518"</f>
        <v>11518</v>
      </c>
      <c r="AK4299" t="s">
        <v>46</v>
      </c>
      <c r="AL4299" s="1">
        <v>44816.561828703707</v>
      </c>
      <c r="AM4299" t="s">
        <v>44</v>
      </c>
    </row>
    <row r="4300" spans="1:39" x14ac:dyDescent="0.2">
      <c r="A4300" t="s">
        <v>4042</v>
      </c>
      <c r="B4300" t="s">
        <v>40</v>
      </c>
      <c r="C4300" t="s">
        <v>4020</v>
      </c>
      <c r="D4300" t="s">
        <v>42</v>
      </c>
      <c r="E4300" t="s">
        <v>43</v>
      </c>
      <c r="F4300" t="s">
        <v>44</v>
      </c>
      <c r="G4300" t="s">
        <v>45</v>
      </c>
      <c r="AH4300" t="s">
        <v>42</v>
      </c>
      <c r="AI4300" t="str">
        <f>"66298934267074"</f>
        <v>66298934267074</v>
      </c>
      <c r="AJ4300" t="str">
        <f>"11519"</f>
        <v>11519</v>
      </c>
      <c r="AK4300" t="s">
        <v>46</v>
      </c>
      <c r="AL4300" s="1">
        <v>44816.561828703707</v>
      </c>
      <c r="AM4300" t="s">
        <v>44</v>
      </c>
    </row>
    <row r="4301" spans="1:39" x14ac:dyDescent="0.2">
      <c r="A4301" t="s">
        <v>4043</v>
      </c>
      <c r="B4301" t="s">
        <v>40</v>
      </c>
      <c r="C4301" t="s">
        <v>4020</v>
      </c>
      <c r="D4301" t="s">
        <v>42</v>
      </c>
      <c r="E4301" t="s">
        <v>43</v>
      </c>
      <c r="F4301" t="s">
        <v>44</v>
      </c>
      <c r="G4301" t="s">
        <v>45</v>
      </c>
      <c r="AH4301" t="s">
        <v>42</v>
      </c>
      <c r="AI4301" t="str">
        <f>"66298934311527"</f>
        <v>66298934311527</v>
      </c>
      <c r="AJ4301" t="str">
        <f>"90501-10245"</f>
        <v>90501-10245</v>
      </c>
      <c r="AK4301" t="s">
        <v>46</v>
      </c>
      <c r="AL4301" s="1">
        <v>44816.561840277776</v>
      </c>
      <c r="AM4301" t="s">
        <v>44</v>
      </c>
    </row>
    <row r="4302" spans="1:39" x14ac:dyDescent="0.2">
      <c r="A4302" t="s">
        <v>4044</v>
      </c>
      <c r="B4302" t="s">
        <v>40</v>
      </c>
      <c r="C4302" t="s">
        <v>4020</v>
      </c>
      <c r="D4302" t="s">
        <v>42</v>
      </c>
      <c r="E4302" t="s">
        <v>43</v>
      </c>
      <c r="F4302" t="s">
        <v>44</v>
      </c>
      <c r="G4302" t="s">
        <v>45</v>
      </c>
      <c r="AH4302" t="s">
        <v>42</v>
      </c>
      <c r="AI4302" t="str">
        <f>"66298934353393"</f>
        <v>66298934353393</v>
      </c>
      <c r="AJ4302" t="str">
        <f>"83015"</f>
        <v>83015</v>
      </c>
      <c r="AK4302" t="s">
        <v>46</v>
      </c>
      <c r="AL4302" s="1">
        <v>44816.561840277776</v>
      </c>
      <c r="AM4302" t="s">
        <v>44</v>
      </c>
    </row>
    <row r="4303" spans="1:39" x14ac:dyDescent="0.2">
      <c r="A4303" t="s">
        <v>4045</v>
      </c>
      <c r="B4303" t="s">
        <v>40</v>
      </c>
      <c r="C4303" t="s">
        <v>4020</v>
      </c>
      <c r="D4303" t="s">
        <v>42</v>
      </c>
      <c r="E4303" t="s">
        <v>43</v>
      </c>
      <c r="F4303" t="s">
        <v>44</v>
      </c>
      <c r="G4303" t="s">
        <v>45</v>
      </c>
      <c r="AH4303" t="s">
        <v>42</v>
      </c>
      <c r="AI4303" t="str">
        <f>"66298934399034"</f>
        <v>66298934399034</v>
      </c>
      <c r="AJ4303" t="str">
        <f>"36-JL00-11"</f>
        <v>36-JL00-11</v>
      </c>
      <c r="AK4303" t="s">
        <v>46</v>
      </c>
      <c r="AL4303" s="1">
        <v>44816.561840277776</v>
      </c>
      <c r="AM4303" t="s">
        <v>44</v>
      </c>
    </row>
    <row r="4304" spans="1:39" x14ac:dyDescent="0.2">
      <c r="A4304" t="s">
        <v>4046</v>
      </c>
      <c r="B4304" t="s">
        <v>40</v>
      </c>
      <c r="C4304" t="s">
        <v>4047</v>
      </c>
      <c r="D4304" t="s">
        <v>42</v>
      </c>
      <c r="E4304" t="s">
        <v>43</v>
      </c>
      <c r="F4304" t="s">
        <v>44</v>
      </c>
      <c r="G4304" t="s">
        <v>45</v>
      </c>
      <c r="AH4304" t="s">
        <v>42</v>
      </c>
      <c r="AI4304" t="str">
        <f>"66298936682557"</f>
        <v>66298936682557</v>
      </c>
      <c r="AJ4304" t="str">
        <f>"93109-08058JP"</f>
        <v>93109-08058JP</v>
      </c>
      <c r="AK4304" t="s">
        <v>46</v>
      </c>
      <c r="AL4304" s="1">
        <v>44816.562106481484</v>
      </c>
      <c r="AM4304" t="s">
        <v>44</v>
      </c>
    </row>
    <row r="4305" spans="1:39" x14ac:dyDescent="0.2">
      <c r="A4305" t="s">
        <v>4048</v>
      </c>
      <c r="B4305" t="s">
        <v>40</v>
      </c>
      <c r="C4305" t="s">
        <v>4047</v>
      </c>
      <c r="D4305" t="s">
        <v>42</v>
      </c>
      <c r="E4305" t="s">
        <v>43</v>
      </c>
      <c r="F4305" t="s">
        <v>44</v>
      </c>
      <c r="G4305" t="s">
        <v>45</v>
      </c>
      <c r="AH4305" t="s">
        <v>42</v>
      </c>
      <c r="AI4305" t="str">
        <f>"66298936723811"</f>
        <v>66298936723811</v>
      </c>
      <c r="AJ4305" t="str">
        <f>"91204-MB0-013JP"</f>
        <v>91204-MB0-013JP</v>
      </c>
      <c r="AK4305" t="s">
        <v>46</v>
      </c>
      <c r="AL4305" s="1">
        <v>44816.562118055554</v>
      </c>
      <c r="AM4305" t="s">
        <v>44</v>
      </c>
    </row>
    <row r="4306" spans="1:39" x14ac:dyDescent="0.2">
      <c r="A4306" t="s">
        <v>4049</v>
      </c>
      <c r="B4306" t="s">
        <v>40</v>
      </c>
      <c r="C4306" t="s">
        <v>4047</v>
      </c>
      <c r="D4306" t="s">
        <v>42</v>
      </c>
      <c r="E4306" t="s">
        <v>43</v>
      </c>
      <c r="F4306" t="s">
        <v>44</v>
      </c>
      <c r="G4306" t="s">
        <v>45</v>
      </c>
      <c r="AH4306" t="s">
        <v>42</v>
      </c>
      <c r="AI4306" t="str">
        <f>"66298936847598"</f>
        <v>66298936847598</v>
      </c>
      <c r="AJ4306" t="str">
        <f>"09282-10012"</f>
        <v>09282-10012</v>
      </c>
      <c r="AK4306" t="s">
        <v>46</v>
      </c>
      <c r="AL4306" s="1">
        <v>44816.56212962963</v>
      </c>
      <c r="AM4306" t="s">
        <v>44</v>
      </c>
    </row>
    <row r="4307" spans="1:39" x14ac:dyDescent="0.2">
      <c r="A4307" t="s">
        <v>4050</v>
      </c>
      <c r="B4307" t="s">
        <v>40</v>
      </c>
      <c r="C4307" t="s">
        <v>4047</v>
      </c>
      <c r="D4307" t="s">
        <v>42</v>
      </c>
      <c r="E4307" t="s">
        <v>43</v>
      </c>
      <c r="F4307" t="s">
        <v>44</v>
      </c>
      <c r="G4307" t="s">
        <v>45</v>
      </c>
      <c r="AH4307" t="s">
        <v>42</v>
      </c>
      <c r="AI4307" t="str">
        <f>"66298936805151"</f>
        <v>66298936805151</v>
      </c>
      <c r="AJ4307" t="str">
        <f>"40R055"</f>
        <v>40R055</v>
      </c>
      <c r="AK4307" t="s">
        <v>46</v>
      </c>
      <c r="AL4307" s="1">
        <v>44816.56212962963</v>
      </c>
      <c r="AM4307" t="s">
        <v>44</v>
      </c>
    </row>
    <row r="4308" spans="1:39" x14ac:dyDescent="0.2">
      <c r="A4308" t="s">
        <v>4051</v>
      </c>
      <c r="B4308" t="s">
        <v>40</v>
      </c>
      <c r="C4308" t="s">
        <v>4047</v>
      </c>
      <c r="D4308" t="s">
        <v>42</v>
      </c>
      <c r="E4308" t="s">
        <v>43</v>
      </c>
      <c r="F4308" t="s">
        <v>44</v>
      </c>
      <c r="G4308" t="s">
        <v>45</v>
      </c>
      <c r="AH4308" t="s">
        <v>42</v>
      </c>
      <c r="AI4308" t="str">
        <f>"93103-10147JP"</f>
        <v>93103-10147JP</v>
      </c>
      <c r="AJ4308" t="str">
        <f>"93103-10147JP"</f>
        <v>93103-10147JP</v>
      </c>
      <c r="AK4308" t="s">
        <v>46</v>
      </c>
      <c r="AL4308" s="1">
        <v>45150.654513888891</v>
      </c>
      <c r="AM4308" t="s">
        <v>44</v>
      </c>
    </row>
    <row r="4309" spans="1:39" x14ac:dyDescent="0.2">
      <c r="A4309" t="s">
        <v>4052</v>
      </c>
      <c r="B4309" t="s">
        <v>40</v>
      </c>
      <c r="C4309" t="s">
        <v>4047</v>
      </c>
      <c r="D4309" t="s">
        <v>42</v>
      </c>
      <c r="E4309" t="s">
        <v>43</v>
      </c>
      <c r="F4309" t="s">
        <v>44</v>
      </c>
      <c r="G4309" t="s">
        <v>45</v>
      </c>
      <c r="AH4309" t="s">
        <v>42</v>
      </c>
      <c r="AI4309" t="str">
        <f>"66298934844875"</f>
        <v>66298934844875</v>
      </c>
      <c r="AJ4309" t="str">
        <f>"11-25-7"</f>
        <v>11-25-7</v>
      </c>
      <c r="AK4309" t="s">
        <v>46</v>
      </c>
      <c r="AL4309" s="1">
        <v>44816.561898148146</v>
      </c>
      <c r="AM4309" t="s">
        <v>44</v>
      </c>
    </row>
    <row r="4310" spans="1:39" x14ac:dyDescent="0.2">
      <c r="A4310" t="s">
        <v>4053</v>
      </c>
      <c r="B4310" t="s">
        <v>40</v>
      </c>
      <c r="C4310" t="s">
        <v>4047</v>
      </c>
      <c r="D4310" t="s">
        <v>42</v>
      </c>
      <c r="E4310" t="s">
        <v>43</v>
      </c>
      <c r="F4310" t="s">
        <v>44</v>
      </c>
      <c r="G4310" t="s">
        <v>45</v>
      </c>
      <c r="AH4310" t="s">
        <v>42</v>
      </c>
      <c r="AI4310" t="str">
        <f>"66298934887940"</f>
        <v>66298934887940</v>
      </c>
      <c r="AJ4310" t="str">
        <f>"91211-KRN-671GH"</f>
        <v>91211-KRN-671GH</v>
      </c>
      <c r="AK4310" t="s">
        <v>46</v>
      </c>
      <c r="AL4310" s="1">
        <v>44816.561898148146</v>
      </c>
      <c r="AM4310" t="s">
        <v>44</v>
      </c>
    </row>
    <row r="4311" spans="1:39" x14ac:dyDescent="0.2">
      <c r="A4311" t="s">
        <v>4054</v>
      </c>
      <c r="B4311" t="s">
        <v>40</v>
      </c>
      <c r="C4311" t="s">
        <v>4047</v>
      </c>
      <c r="D4311" t="s">
        <v>42</v>
      </c>
      <c r="E4311" t="s">
        <v>43</v>
      </c>
      <c r="F4311" t="s">
        <v>44</v>
      </c>
      <c r="G4311" t="s">
        <v>45</v>
      </c>
      <c r="AH4311" t="s">
        <v>42</v>
      </c>
      <c r="AI4311" t="str">
        <f>"66298935625499"</f>
        <v>66298935625499</v>
      </c>
      <c r="AJ4311" t="str">
        <f>"91205-KF0-003JP"</f>
        <v>91205-KF0-003JP</v>
      </c>
      <c r="AK4311" t="s">
        <v>46</v>
      </c>
      <c r="AL4311" s="1">
        <v>44816.561990740738</v>
      </c>
      <c r="AM4311" t="s">
        <v>44</v>
      </c>
    </row>
    <row r="4312" spans="1:39" x14ac:dyDescent="0.2">
      <c r="A4312" t="s">
        <v>4055</v>
      </c>
      <c r="B4312" t="s">
        <v>40</v>
      </c>
      <c r="C4312" t="s">
        <v>4047</v>
      </c>
      <c r="D4312" t="s">
        <v>42</v>
      </c>
      <c r="E4312" t="s">
        <v>43</v>
      </c>
      <c r="F4312" t="s">
        <v>44</v>
      </c>
      <c r="G4312" t="s">
        <v>45</v>
      </c>
      <c r="AH4312" t="s">
        <v>42</v>
      </c>
      <c r="AI4312" t="str">
        <f>"66298935663697"</f>
        <v>66298935663697</v>
      </c>
      <c r="AJ4312" t="str">
        <f>"39-1041-19"</f>
        <v>39-1041-19</v>
      </c>
      <c r="AK4312" t="s">
        <v>46</v>
      </c>
      <c r="AL4312" s="1">
        <v>44816.561990740738</v>
      </c>
      <c r="AM4312" t="s">
        <v>44</v>
      </c>
    </row>
    <row r="4313" spans="1:39" x14ac:dyDescent="0.2">
      <c r="A4313" t="s">
        <v>4056</v>
      </c>
      <c r="B4313" t="s">
        <v>40</v>
      </c>
      <c r="C4313" t="s">
        <v>4047</v>
      </c>
      <c r="D4313" t="s">
        <v>42</v>
      </c>
      <c r="E4313" t="s">
        <v>43</v>
      </c>
      <c r="F4313" t="s">
        <v>44</v>
      </c>
      <c r="G4313" t="s">
        <v>45</v>
      </c>
      <c r="AH4313" t="s">
        <v>42</v>
      </c>
      <c r="AI4313" t="str">
        <f>"91201-035-015JP"</f>
        <v>91201-035-015JP</v>
      </c>
      <c r="AJ4313" t="str">
        <f>"91201-035-015JP"</f>
        <v>91201-035-015JP</v>
      </c>
      <c r="AK4313" t="s">
        <v>46</v>
      </c>
      <c r="AL4313" s="1">
        <v>45065.908784722225</v>
      </c>
      <c r="AM4313" t="s">
        <v>44</v>
      </c>
    </row>
    <row r="4314" spans="1:39" x14ac:dyDescent="0.2">
      <c r="A4314" t="s">
        <v>4057</v>
      </c>
      <c r="B4314" t="s">
        <v>40</v>
      </c>
      <c r="C4314" t="s">
        <v>4047</v>
      </c>
      <c r="D4314" t="s">
        <v>42</v>
      </c>
      <c r="E4314" t="s">
        <v>43</v>
      </c>
      <c r="F4314" t="s">
        <v>44</v>
      </c>
      <c r="G4314" t="s">
        <v>45</v>
      </c>
      <c r="AH4314" t="s">
        <v>42</v>
      </c>
      <c r="AI4314" t="str">
        <f>"66298936891207"</f>
        <v>66298936891207</v>
      </c>
      <c r="AJ4314" t="str">
        <f>"91201-148-003JP"</f>
        <v>91201-148-003JP</v>
      </c>
      <c r="AK4314" t="s">
        <v>46</v>
      </c>
      <c r="AL4314" s="1">
        <v>44816.56212962963</v>
      </c>
      <c r="AM4314" t="s">
        <v>44</v>
      </c>
    </row>
    <row r="4315" spans="1:39" x14ac:dyDescent="0.2">
      <c r="A4315" t="s">
        <v>4058</v>
      </c>
      <c r="B4315" t="s">
        <v>40</v>
      </c>
      <c r="C4315" t="s">
        <v>4047</v>
      </c>
      <c r="D4315" t="s">
        <v>42</v>
      </c>
      <c r="E4315" t="s">
        <v>43</v>
      </c>
      <c r="F4315" t="s">
        <v>44</v>
      </c>
      <c r="G4315" t="s">
        <v>45</v>
      </c>
      <c r="AH4315" t="s">
        <v>42</v>
      </c>
      <c r="AI4315" t="str">
        <f>"RE-12-22-5"</f>
        <v>RE-12-22-5</v>
      </c>
      <c r="AJ4315" t="str">
        <f>"RE-12-22-5"</f>
        <v>RE-12-22-5</v>
      </c>
      <c r="AK4315" t="s">
        <v>46</v>
      </c>
      <c r="AL4315" s="1">
        <v>45058.718923611108</v>
      </c>
      <c r="AM4315" t="s">
        <v>44</v>
      </c>
    </row>
    <row r="4316" spans="1:39" x14ac:dyDescent="0.2">
      <c r="A4316" t="s">
        <v>4059</v>
      </c>
      <c r="B4316" t="s">
        <v>40</v>
      </c>
      <c r="C4316" t="s">
        <v>4047</v>
      </c>
      <c r="D4316" t="s">
        <v>42</v>
      </c>
      <c r="E4316" t="s">
        <v>43</v>
      </c>
      <c r="F4316" t="s">
        <v>44</v>
      </c>
      <c r="G4316" t="s">
        <v>45</v>
      </c>
      <c r="AH4316" t="s">
        <v>42</v>
      </c>
      <c r="AI4316" t="str">
        <f>"66298934442994"</f>
        <v>66298934442994</v>
      </c>
      <c r="AJ4316" t="str">
        <f>"93102-12321GY"</f>
        <v>93102-12321GY</v>
      </c>
      <c r="AK4316" t="s">
        <v>46</v>
      </c>
      <c r="AL4316" s="1">
        <v>44816.561851851853</v>
      </c>
      <c r="AM4316" t="s">
        <v>44</v>
      </c>
    </row>
    <row r="4317" spans="1:39" x14ac:dyDescent="0.2">
      <c r="A4317" t="s">
        <v>4060</v>
      </c>
      <c r="B4317" t="s">
        <v>40</v>
      </c>
      <c r="C4317" t="s">
        <v>4047</v>
      </c>
      <c r="D4317" t="s">
        <v>42</v>
      </c>
      <c r="E4317" t="s">
        <v>43</v>
      </c>
      <c r="F4317" t="s">
        <v>44</v>
      </c>
      <c r="G4317" t="s">
        <v>45</v>
      </c>
      <c r="AH4317" t="s">
        <v>42</v>
      </c>
      <c r="AI4317" t="str">
        <f>"66298935703696"</f>
        <v>66298935703696</v>
      </c>
      <c r="AJ4317" t="str">
        <f>"09285-14001"</f>
        <v>09285-14001</v>
      </c>
      <c r="AK4317" t="s">
        <v>46</v>
      </c>
      <c r="AL4317" s="1">
        <v>44816.562002314815</v>
      </c>
      <c r="AM4317" t="s">
        <v>44</v>
      </c>
    </row>
    <row r="4318" spans="1:39" x14ac:dyDescent="0.2">
      <c r="A4318" t="s">
        <v>4061</v>
      </c>
      <c r="B4318" t="s">
        <v>40</v>
      </c>
      <c r="C4318" t="s">
        <v>4047</v>
      </c>
      <c r="D4318" t="s">
        <v>42</v>
      </c>
      <c r="E4318" t="s">
        <v>43</v>
      </c>
      <c r="F4318" t="s">
        <v>44</v>
      </c>
      <c r="G4318" t="s">
        <v>45</v>
      </c>
      <c r="AH4318" t="s">
        <v>42</v>
      </c>
      <c r="AI4318" t="str">
        <f>"66298936942471"</f>
        <v>66298936942471</v>
      </c>
      <c r="AJ4318" t="str">
        <f>"93104-14004JP"</f>
        <v>93104-14004JP</v>
      </c>
      <c r="AK4318" t="s">
        <v>46</v>
      </c>
      <c r="AL4318" s="1">
        <v>44816.562141203707</v>
      </c>
      <c r="AM4318" t="s">
        <v>44</v>
      </c>
    </row>
    <row r="4319" spans="1:39" x14ac:dyDescent="0.2">
      <c r="A4319" t="s">
        <v>4062</v>
      </c>
      <c r="B4319" t="s">
        <v>40</v>
      </c>
      <c r="C4319" t="s">
        <v>4047</v>
      </c>
      <c r="D4319" t="s">
        <v>42</v>
      </c>
      <c r="E4319" t="s">
        <v>43</v>
      </c>
      <c r="F4319" t="s">
        <v>44</v>
      </c>
      <c r="G4319" t="s">
        <v>45</v>
      </c>
      <c r="AH4319" t="s">
        <v>42</v>
      </c>
      <c r="AI4319" t="str">
        <f>"66298935791563"</f>
        <v>66298935791563</v>
      </c>
      <c r="AJ4319" t="str">
        <f>"91202-107-003"</f>
        <v>91202-107-003</v>
      </c>
      <c r="AK4319" t="s">
        <v>46</v>
      </c>
      <c r="AL4319" s="1">
        <v>44816.562002314815</v>
      </c>
      <c r="AM4319" t="s">
        <v>44</v>
      </c>
    </row>
    <row r="4320" spans="1:39" x14ac:dyDescent="0.2">
      <c r="A4320" t="s">
        <v>4063</v>
      </c>
      <c r="B4320" t="s">
        <v>40</v>
      </c>
      <c r="C4320" t="s">
        <v>4047</v>
      </c>
      <c r="D4320" t="s">
        <v>42</v>
      </c>
      <c r="E4320" t="s">
        <v>43</v>
      </c>
      <c r="F4320" t="s">
        <v>44</v>
      </c>
      <c r="G4320" t="s">
        <v>45</v>
      </c>
      <c r="AH4320" t="s">
        <v>42</v>
      </c>
      <c r="AI4320" t="str">
        <f>"66298936994932"</f>
        <v>66298936994932</v>
      </c>
      <c r="AJ4320" t="str">
        <f>"16-28-7"</f>
        <v>16-28-7</v>
      </c>
      <c r="AK4320" t="s">
        <v>46</v>
      </c>
      <c r="AL4320" s="1">
        <v>44816.562141203707</v>
      </c>
      <c r="AM4320" t="s">
        <v>44</v>
      </c>
    </row>
    <row r="4321" spans="1:39" x14ac:dyDescent="0.2">
      <c r="A4321" t="s">
        <v>4063</v>
      </c>
      <c r="B4321" t="s">
        <v>40</v>
      </c>
      <c r="C4321" t="s">
        <v>4047</v>
      </c>
      <c r="D4321" t="s">
        <v>42</v>
      </c>
      <c r="E4321" t="s">
        <v>43</v>
      </c>
      <c r="F4321" t="s">
        <v>44</v>
      </c>
      <c r="G4321" t="s">
        <v>45</v>
      </c>
      <c r="AH4321" t="s">
        <v>42</v>
      </c>
      <c r="AI4321" t="str">
        <f>"66298937000368"</f>
        <v>66298937000368</v>
      </c>
      <c r="AJ4321" t="str">
        <f>"40R012"</f>
        <v>40R012</v>
      </c>
      <c r="AK4321" t="s">
        <v>46</v>
      </c>
      <c r="AL4321" s="1">
        <v>44816.562152777777</v>
      </c>
      <c r="AM4321" t="s">
        <v>44</v>
      </c>
    </row>
    <row r="4322" spans="1:39" x14ac:dyDescent="0.2">
      <c r="A4322" t="s">
        <v>4063</v>
      </c>
      <c r="B4322" t="s">
        <v>40</v>
      </c>
      <c r="C4322" t="s">
        <v>4047</v>
      </c>
      <c r="D4322" t="s">
        <v>42</v>
      </c>
      <c r="E4322" t="s">
        <v>43</v>
      </c>
      <c r="F4322" t="s">
        <v>44</v>
      </c>
      <c r="G4322" t="s">
        <v>45</v>
      </c>
      <c r="AH4322" t="s">
        <v>42</v>
      </c>
      <c r="AI4322" t="str">
        <f>"66298937007058"</f>
        <v>66298937007058</v>
      </c>
      <c r="AJ4322" t="str">
        <f>"91204-259-003"</f>
        <v>91204-259-003</v>
      </c>
      <c r="AK4322" t="s">
        <v>46</v>
      </c>
      <c r="AL4322" s="1">
        <v>44816.562152777777</v>
      </c>
      <c r="AM4322" t="s">
        <v>44</v>
      </c>
    </row>
    <row r="4323" spans="1:39" x14ac:dyDescent="0.2">
      <c r="A4323" t="s">
        <v>4064</v>
      </c>
      <c r="B4323" t="s">
        <v>40</v>
      </c>
      <c r="C4323" t="s">
        <v>4047</v>
      </c>
      <c r="D4323" t="s">
        <v>42</v>
      </c>
      <c r="E4323" t="s">
        <v>43</v>
      </c>
      <c r="F4323" t="s">
        <v>44</v>
      </c>
      <c r="G4323" t="s">
        <v>45</v>
      </c>
      <c r="AH4323" t="s">
        <v>42</v>
      </c>
      <c r="AI4323" t="str">
        <f>"66298935749412"</f>
        <v>66298935749412</v>
      </c>
      <c r="AJ4323" t="str">
        <f>"91205-KA3-712GH"</f>
        <v>91205-KA3-712GH</v>
      </c>
      <c r="AK4323" t="s">
        <v>46</v>
      </c>
      <c r="AL4323" s="1">
        <v>44816.562002314815</v>
      </c>
      <c r="AM4323" t="s">
        <v>44</v>
      </c>
    </row>
    <row r="4324" spans="1:39" x14ac:dyDescent="0.2">
      <c r="A4324" t="s">
        <v>4065</v>
      </c>
      <c r="B4324" t="s">
        <v>40</v>
      </c>
      <c r="C4324" t="s">
        <v>4047</v>
      </c>
      <c r="D4324" t="s">
        <v>42</v>
      </c>
      <c r="E4324" t="s">
        <v>43</v>
      </c>
      <c r="F4324" t="s">
        <v>44</v>
      </c>
      <c r="G4324" t="s">
        <v>45</v>
      </c>
      <c r="AH4324" t="s">
        <v>42</v>
      </c>
      <c r="AI4324" t="str">
        <f>"66298934485923"</f>
        <v>66298934485923</v>
      </c>
      <c r="AJ4324" t="str">
        <f>"293"</f>
        <v>293</v>
      </c>
      <c r="AK4324" t="s">
        <v>46</v>
      </c>
      <c r="AL4324" s="1">
        <v>44816.561851851853</v>
      </c>
      <c r="AM4324" t="s">
        <v>44</v>
      </c>
    </row>
    <row r="4325" spans="1:39" x14ac:dyDescent="0.2">
      <c r="A4325" t="s">
        <v>4066</v>
      </c>
      <c r="B4325" t="s">
        <v>40</v>
      </c>
      <c r="C4325" t="s">
        <v>4047</v>
      </c>
      <c r="D4325" t="s">
        <v>42</v>
      </c>
      <c r="E4325" t="s">
        <v>43</v>
      </c>
      <c r="F4325" t="s">
        <v>44</v>
      </c>
      <c r="G4325" t="s">
        <v>45</v>
      </c>
      <c r="AH4325" t="s">
        <v>42</v>
      </c>
      <c r="AI4325" t="str">
        <f>"66298936763636"</f>
        <v>66298936763636</v>
      </c>
      <c r="AJ4325" t="str">
        <f>"18.9-28-5"</f>
        <v>18.9-28-5</v>
      </c>
      <c r="AK4325" t="s">
        <v>46</v>
      </c>
      <c r="AL4325" s="1">
        <v>44816.562118055554</v>
      </c>
      <c r="AM4325" t="s">
        <v>44</v>
      </c>
    </row>
    <row r="4326" spans="1:39" x14ac:dyDescent="0.2">
      <c r="A4326" t="s">
        <v>4067</v>
      </c>
      <c r="B4326" t="s">
        <v>40</v>
      </c>
      <c r="C4326" t="s">
        <v>4047</v>
      </c>
      <c r="D4326" t="s">
        <v>42</v>
      </c>
      <c r="E4326" t="s">
        <v>43</v>
      </c>
      <c r="F4326" t="s">
        <v>44</v>
      </c>
      <c r="G4326" t="s">
        <v>45</v>
      </c>
      <c r="AH4326" t="s">
        <v>42</v>
      </c>
      <c r="AI4326" t="str">
        <f>"66298935063753"</f>
        <v>66298935063753</v>
      </c>
      <c r="AJ4326" t="str">
        <f>"91202-GE0-005JP"</f>
        <v>91202-GE0-005JP</v>
      </c>
      <c r="AK4326" t="s">
        <v>46</v>
      </c>
      <c r="AL4326" s="1">
        <v>44816.561921296299</v>
      </c>
      <c r="AM4326" t="s">
        <v>44</v>
      </c>
    </row>
    <row r="4327" spans="1:39" x14ac:dyDescent="0.2">
      <c r="A4327" t="s">
        <v>4068</v>
      </c>
      <c r="B4327" t="s">
        <v>40</v>
      </c>
      <c r="C4327" t="s">
        <v>4047</v>
      </c>
      <c r="D4327" t="s">
        <v>42</v>
      </c>
      <c r="E4327" t="s">
        <v>43</v>
      </c>
      <c r="F4327" t="s">
        <v>44</v>
      </c>
      <c r="G4327" t="s">
        <v>45</v>
      </c>
      <c r="AH4327" t="s">
        <v>42</v>
      </c>
      <c r="AI4327" t="str">
        <f>"66298935104172"</f>
        <v>66298935104172</v>
      </c>
      <c r="AJ4327" t="str">
        <f>"91202-035-000"</f>
        <v>91202-035-000</v>
      </c>
      <c r="AK4327" t="s">
        <v>46</v>
      </c>
      <c r="AL4327" s="1">
        <v>44816.561932870369</v>
      </c>
      <c r="AM4327" t="s">
        <v>44</v>
      </c>
    </row>
    <row r="4328" spans="1:39" x14ac:dyDescent="0.2">
      <c r="A4328" t="s">
        <v>4069</v>
      </c>
      <c r="B4328" t="s">
        <v>40</v>
      </c>
      <c r="C4328" t="s">
        <v>4047</v>
      </c>
      <c r="D4328" t="s">
        <v>42</v>
      </c>
      <c r="E4328" t="s">
        <v>43</v>
      </c>
      <c r="F4328" t="s">
        <v>44</v>
      </c>
      <c r="G4328" t="s">
        <v>45</v>
      </c>
      <c r="AH4328" t="s">
        <v>42</v>
      </c>
      <c r="AI4328" t="str">
        <f>"66298937077632"</f>
        <v>66298937077632</v>
      </c>
      <c r="AJ4328" t="str">
        <f>"40R087"</f>
        <v>40R087</v>
      </c>
      <c r="AK4328" t="s">
        <v>46</v>
      </c>
      <c r="AL4328" s="1">
        <v>44816.562152777777</v>
      </c>
      <c r="AM4328" t="s">
        <v>44</v>
      </c>
    </row>
    <row r="4329" spans="1:39" x14ac:dyDescent="0.2">
      <c r="A4329" t="s">
        <v>4069</v>
      </c>
      <c r="B4329" t="s">
        <v>40</v>
      </c>
      <c r="C4329" t="s">
        <v>4047</v>
      </c>
      <c r="D4329" t="s">
        <v>42</v>
      </c>
      <c r="E4329" t="s">
        <v>43</v>
      </c>
      <c r="F4329" t="s">
        <v>44</v>
      </c>
      <c r="G4329" t="s">
        <v>45</v>
      </c>
      <c r="AH4329" t="s">
        <v>42</v>
      </c>
      <c r="AI4329" t="str">
        <f>"66298937119173"</f>
        <v>66298937119173</v>
      </c>
      <c r="AJ4329" t="str">
        <f>"93102-20309JP"</f>
        <v>93102-20309JP</v>
      </c>
      <c r="AK4329" t="s">
        <v>46</v>
      </c>
      <c r="AL4329" s="1">
        <v>44816.562164351853</v>
      </c>
      <c r="AM4329" t="s">
        <v>44</v>
      </c>
    </row>
    <row r="4330" spans="1:39" x14ac:dyDescent="0.2">
      <c r="A4330" t="s">
        <v>4070</v>
      </c>
      <c r="B4330" t="s">
        <v>40</v>
      </c>
      <c r="C4330" t="s">
        <v>4047</v>
      </c>
      <c r="D4330" t="s">
        <v>42</v>
      </c>
      <c r="E4330" t="s">
        <v>43</v>
      </c>
      <c r="F4330" t="s">
        <v>44</v>
      </c>
      <c r="G4330" t="s">
        <v>45</v>
      </c>
      <c r="AH4330" t="s">
        <v>42</v>
      </c>
      <c r="AI4330" t="str">
        <f>"66298935148696"</f>
        <v>66298935148696</v>
      </c>
      <c r="AJ4330" t="str">
        <f>"93101-20169JP"</f>
        <v>93101-20169JP</v>
      </c>
      <c r="AK4330" t="s">
        <v>46</v>
      </c>
      <c r="AL4330" s="1">
        <v>44816.561932870369</v>
      </c>
      <c r="AM4330" t="s">
        <v>44</v>
      </c>
    </row>
    <row r="4331" spans="1:39" x14ac:dyDescent="0.2">
      <c r="A4331" t="s">
        <v>4071</v>
      </c>
      <c r="B4331" t="s">
        <v>40</v>
      </c>
      <c r="C4331" t="s">
        <v>4047</v>
      </c>
      <c r="D4331" t="s">
        <v>42</v>
      </c>
      <c r="E4331" t="s">
        <v>43</v>
      </c>
      <c r="F4331" t="s">
        <v>44</v>
      </c>
      <c r="G4331" t="s">
        <v>45</v>
      </c>
      <c r="AH4331" t="s">
        <v>42</v>
      </c>
      <c r="AI4331" t="str">
        <f>"66298934932117"</f>
        <v>66298934932117</v>
      </c>
      <c r="AJ4331" t="str">
        <f>"09282-20005"</f>
        <v>09282-20005</v>
      </c>
      <c r="AK4331" t="s">
        <v>46</v>
      </c>
      <c r="AL4331" s="1">
        <v>44816.561909722222</v>
      </c>
      <c r="AM4331" t="s">
        <v>44</v>
      </c>
    </row>
    <row r="4332" spans="1:39" x14ac:dyDescent="0.2">
      <c r="A4332" t="s">
        <v>4072</v>
      </c>
      <c r="B4332" t="s">
        <v>40</v>
      </c>
      <c r="C4332" t="s">
        <v>4047</v>
      </c>
      <c r="D4332" t="s">
        <v>42</v>
      </c>
      <c r="E4332" t="s">
        <v>43</v>
      </c>
      <c r="F4332" t="s">
        <v>44</v>
      </c>
      <c r="G4332" t="s">
        <v>45</v>
      </c>
      <c r="AH4332" t="s">
        <v>42</v>
      </c>
      <c r="AI4332" t="str">
        <f>"66298937159267"</f>
        <v>66298937159267</v>
      </c>
      <c r="AJ4332" t="str">
        <f>"91201-KK0-005JP"</f>
        <v>91201-KK0-005JP</v>
      </c>
      <c r="AK4332" t="s">
        <v>46</v>
      </c>
      <c r="AL4332" s="1">
        <v>44816.562164351853</v>
      </c>
      <c r="AM4332" t="s">
        <v>44</v>
      </c>
    </row>
    <row r="4333" spans="1:39" x14ac:dyDescent="0.2">
      <c r="A4333" t="s">
        <v>4073</v>
      </c>
      <c r="B4333" t="s">
        <v>40</v>
      </c>
      <c r="C4333" t="s">
        <v>4047</v>
      </c>
      <c r="D4333" t="s">
        <v>42</v>
      </c>
      <c r="E4333" t="s">
        <v>43</v>
      </c>
      <c r="F4333" t="s">
        <v>44</v>
      </c>
      <c r="G4333" t="s">
        <v>45</v>
      </c>
      <c r="AH4333" t="s">
        <v>42</v>
      </c>
      <c r="AI4333" t="str">
        <f>"66298934529672"</f>
        <v>66298934529672</v>
      </c>
      <c r="AJ4333" t="str">
        <f>"5535"</f>
        <v>5535</v>
      </c>
      <c r="AK4333" t="s">
        <v>46</v>
      </c>
      <c r="AL4333" s="1">
        <v>44816.561863425923</v>
      </c>
      <c r="AM4333" t="s">
        <v>44</v>
      </c>
    </row>
    <row r="4334" spans="1:39" x14ac:dyDescent="0.2">
      <c r="A4334" t="s">
        <v>4074</v>
      </c>
      <c r="B4334" t="s">
        <v>40</v>
      </c>
      <c r="C4334" t="s">
        <v>4047</v>
      </c>
      <c r="D4334" t="s">
        <v>42</v>
      </c>
      <c r="E4334" t="s">
        <v>43</v>
      </c>
      <c r="F4334" t="s">
        <v>44</v>
      </c>
      <c r="G4334" t="s">
        <v>45</v>
      </c>
      <c r="AH4334" t="s">
        <v>42</v>
      </c>
      <c r="AI4334" t="str">
        <f>"93102-20143JP"</f>
        <v>93102-20143JP</v>
      </c>
      <c r="AJ4334" t="str">
        <f>"93102-20143JP"</f>
        <v>93102-20143JP</v>
      </c>
      <c r="AK4334" t="s">
        <v>46</v>
      </c>
      <c r="AL4334" s="1">
        <v>45065.911087962966</v>
      </c>
      <c r="AM4334" t="s">
        <v>44</v>
      </c>
    </row>
    <row r="4335" spans="1:39" x14ac:dyDescent="0.2">
      <c r="A4335" t="s">
        <v>4075</v>
      </c>
      <c r="B4335" t="s">
        <v>40</v>
      </c>
      <c r="C4335" t="s">
        <v>4047</v>
      </c>
      <c r="D4335" t="s">
        <v>42</v>
      </c>
      <c r="E4335" t="s">
        <v>43</v>
      </c>
      <c r="F4335" t="s">
        <v>44</v>
      </c>
      <c r="G4335" t="s">
        <v>45</v>
      </c>
      <c r="AH4335" t="s">
        <v>42</v>
      </c>
      <c r="AI4335" t="str">
        <f>"66298934597248"</f>
        <v>66298934597248</v>
      </c>
      <c r="AJ4335" t="str">
        <f>"5092"</f>
        <v>5092</v>
      </c>
      <c r="AK4335" t="s">
        <v>46</v>
      </c>
      <c r="AL4335" s="1">
        <v>44816.561863425923</v>
      </c>
      <c r="AM4335" t="s">
        <v>44</v>
      </c>
    </row>
    <row r="4336" spans="1:39" x14ac:dyDescent="0.2">
      <c r="A4336" t="s">
        <v>4076</v>
      </c>
      <c r="B4336" t="s">
        <v>40</v>
      </c>
      <c r="C4336" t="s">
        <v>4047</v>
      </c>
      <c r="D4336" t="s">
        <v>42</v>
      </c>
      <c r="E4336" t="s">
        <v>43</v>
      </c>
      <c r="F4336" t="s">
        <v>44</v>
      </c>
      <c r="G4336" t="s">
        <v>45</v>
      </c>
      <c r="AH4336" t="s">
        <v>42</v>
      </c>
      <c r="AI4336" t="str">
        <f>"66298937200186"</f>
        <v>66298937200186</v>
      </c>
      <c r="AJ4336" t="str">
        <f>"91201-KCZ-003JP"</f>
        <v>91201-KCZ-003JP</v>
      </c>
      <c r="AK4336" t="s">
        <v>46</v>
      </c>
      <c r="AL4336" s="1">
        <v>44816.562175925923</v>
      </c>
      <c r="AM4336" t="s">
        <v>44</v>
      </c>
    </row>
    <row r="4337" spans="1:39" x14ac:dyDescent="0.2">
      <c r="A4337" t="s">
        <v>4077</v>
      </c>
      <c r="B4337" t="s">
        <v>40</v>
      </c>
      <c r="C4337" t="s">
        <v>4047</v>
      </c>
      <c r="D4337" t="s">
        <v>42</v>
      </c>
      <c r="E4337" t="s">
        <v>43</v>
      </c>
      <c r="F4337" t="s">
        <v>44</v>
      </c>
      <c r="G4337" t="s">
        <v>45</v>
      </c>
      <c r="AH4337" t="s">
        <v>42</v>
      </c>
      <c r="AI4337" t="str">
        <f>"66298934979946"</f>
        <v>66298934979946</v>
      </c>
      <c r="AJ4337" t="str">
        <f>"93102-22464JP"</f>
        <v>93102-22464JP</v>
      </c>
      <c r="AK4337" t="s">
        <v>46</v>
      </c>
      <c r="AL4337" s="1">
        <v>44816.561909722222</v>
      </c>
      <c r="AM4337" t="s">
        <v>44</v>
      </c>
    </row>
    <row r="4338" spans="1:39" x14ac:dyDescent="0.2">
      <c r="A4338" t="s">
        <v>4078</v>
      </c>
      <c r="B4338" t="s">
        <v>40</v>
      </c>
      <c r="C4338" t="s">
        <v>4047</v>
      </c>
      <c r="D4338" t="s">
        <v>42</v>
      </c>
      <c r="E4338" t="s">
        <v>43</v>
      </c>
      <c r="F4338" t="s">
        <v>44</v>
      </c>
      <c r="G4338" t="s">
        <v>45</v>
      </c>
      <c r="AH4338" t="s">
        <v>42</v>
      </c>
      <c r="AI4338" t="str">
        <f>"66298934636995"</f>
        <v>66298934636995</v>
      </c>
      <c r="AJ4338" t="str">
        <f>"5221"</f>
        <v>5221</v>
      </c>
      <c r="AK4338" t="s">
        <v>46</v>
      </c>
      <c r="AL4338" s="1">
        <v>44816.561874999999</v>
      </c>
      <c r="AM4338" t="s">
        <v>44</v>
      </c>
    </row>
    <row r="4339" spans="1:39" x14ac:dyDescent="0.2">
      <c r="A4339" t="s">
        <v>4079</v>
      </c>
      <c r="B4339" t="s">
        <v>40</v>
      </c>
      <c r="C4339" t="s">
        <v>4047</v>
      </c>
      <c r="D4339" t="s">
        <v>42</v>
      </c>
      <c r="E4339" t="s">
        <v>43</v>
      </c>
      <c r="F4339" t="s">
        <v>44</v>
      </c>
      <c r="G4339" t="s">
        <v>45</v>
      </c>
      <c r="AH4339" t="s">
        <v>42</v>
      </c>
      <c r="AI4339" t="str">
        <f>"66298937237980"</f>
        <v>66298937237980</v>
      </c>
      <c r="AJ4339" t="str">
        <f>"93102-25270JP"</f>
        <v>93102-25270JP</v>
      </c>
      <c r="AK4339" t="s">
        <v>46</v>
      </c>
      <c r="AL4339" s="1">
        <v>44816.562175925923</v>
      </c>
      <c r="AM4339" t="s">
        <v>44</v>
      </c>
    </row>
    <row r="4340" spans="1:39" x14ac:dyDescent="0.2">
      <c r="A4340" t="s">
        <v>4080</v>
      </c>
      <c r="B4340" t="s">
        <v>40</v>
      </c>
      <c r="C4340" t="s">
        <v>4047</v>
      </c>
      <c r="D4340" t="s">
        <v>42</v>
      </c>
      <c r="E4340" t="s">
        <v>43</v>
      </c>
      <c r="F4340" t="s">
        <v>44</v>
      </c>
      <c r="G4340" t="s">
        <v>45</v>
      </c>
      <c r="AH4340" t="s">
        <v>42</v>
      </c>
      <c r="AI4340" t="str">
        <f>"66298935020735"</f>
        <v>66298935020735</v>
      </c>
      <c r="AJ4340" t="str">
        <f>"62220"</f>
        <v>62220</v>
      </c>
      <c r="AK4340" t="s">
        <v>46</v>
      </c>
      <c r="AL4340" s="1">
        <v>44816.561921296299</v>
      </c>
      <c r="AM4340" t="s">
        <v>44</v>
      </c>
    </row>
    <row r="4341" spans="1:39" x14ac:dyDescent="0.2">
      <c r="A4341" t="s">
        <v>4081</v>
      </c>
      <c r="B4341" t="s">
        <v>40</v>
      </c>
      <c r="C4341" t="s">
        <v>4047</v>
      </c>
      <c r="D4341" t="s">
        <v>42</v>
      </c>
      <c r="E4341" t="s">
        <v>43</v>
      </c>
      <c r="F4341" t="s">
        <v>44</v>
      </c>
      <c r="G4341" t="s">
        <v>45</v>
      </c>
      <c r="AH4341" t="s">
        <v>42</v>
      </c>
      <c r="AI4341" t="str">
        <f>"66298935189969"</f>
        <v>66298935189969</v>
      </c>
      <c r="AJ4341" t="str">
        <f>"653B-25407JP"</f>
        <v>653B-25407JP</v>
      </c>
      <c r="AK4341" t="s">
        <v>46</v>
      </c>
      <c r="AL4341" s="1">
        <v>44816.561932870369</v>
      </c>
      <c r="AM4341" t="s">
        <v>44</v>
      </c>
    </row>
    <row r="4342" spans="1:39" x14ac:dyDescent="0.2">
      <c r="A4342" t="s">
        <v>4082</v>
      </c>
      <c r="B4342" t="s">
        <v>40</v>
      </c>
      <c r="C4342" t="s">
        <v>4047</v>
      </c>
      <c r="D4342" t="s">
        <v>42</v>
      </c>
      <c r="E4342" t="s">
        <v>43</v>
      </c>
      <c r="F4342" t="s">
        <v>44</v>
      </c>
      <c r="G4342" t="s">
        <v>45</v>
      </c>
      <c r="AH4342" t="s">
        <v>42</v>
      </c>
      <c r="AI4342" t="str">
        <f>"66298935232901"</f>
        <v>66298935232901</v>
      </c>
      <c r="AJ4342" t="str">
        <f>"93102-25061JP"</f>
        <v>93102-25061JP</v>
      </c>
      <c r="AK4342" t="s">
        <v>46</v>
      </c>
      <c r="AL4342" s="1">
        <v>44816.561944444446</v>
      </c>
      <c r="AM4342" t="s">
        <v>44</v>
      </c>
    </row>
    <row r="4343" spans="1:39" x14ac:dyDescent="0.2">
      <c r="A4343" t="s">
        <v>4083</v>
      </c>
      <c r="B4343" t="s">
        <v>40</v>
      </c>
      <c r="C4343" t="s">
        <v>4047</v>
      </c>
      <c r="D4343" t="s">
        <v>42</v>
      </c>
      <c r="E4343" t="s">
        <v>43</v>
      </c>
      <c r="F4343" t="s">
        <v>44</v>
      </c>
      <c r="G4343" t="s">
        <v>45</v>
      </c>
      <c r="AH4343" t="s">
        <v>42</v>
      </c>
      <c r="AI4343" t="str">
        <f>"66298935277588"</f>
        <v>66298935277588</v>
      </c>
      <c r="AJ4343" t="str">
        <f>"93102-25331JP"</f>
        <v>93102-25331JP</v>
      </c>
      <c r="AK4343" t="s">
        <v>46</v>
      </c>
      <c r="AL4343" s="1">
        <v>44816.561944444446</v>
      </c>
      <c r="AM4343" t="s">
        <v>44</v>
      </c>
    </row>
    <row r="4344" spans="1:39" x14ac:dyDescent="0.2">
      <c r="A4344" t="s">
        <v>4084</v>
      </c>
      <c r="B4344" t="s">
        <v>40</v>
      </c>
      <c r="C4344" t="s">
        <v>4047</v>
      </c>
      <c r="D4344" t="s">
        <v>42</v>
      </c>
      <c r="E4344" t="s">
        <v>43</v>
      </c>
      <c r="F4344" t="s">
        <v>44</v>
      </c>
      <c r="G4344" t="s">
        <v>45</v>
      </c>
      <c r="AH4344" t="s">
        <v>42</v>
      </c>
      <c r="AI4344" t="str">
        <f>"66298937279436"</f>
        <v>66298937279436</v>
      </c>
      <c r="AJ4344" t="str">
        <f>"91204-MG3-003JP"</f>
        <v>91204-MG3-003JP</v>
      </c>
      <c r="AK4344" t="s">
        <v>46</v>
      </c>
      <c r="AL4344" s="1">
        <v>44816.562175925923</v>
      </c>
      <c r="AM4344" t="s">
        <v>44</v>
      </c>
    </row>
    <row r="4345" spans="1:39" x14ac:dyDescent="0.2">
      <c r="A4345" t="s">
        <v>4085</v>
      </c>
      <c r="B4345" t="s">
        <v>40</v>
      </c>
      <c r="C4345" t="s">
        <v>4047</v>
      </c>
      <c r="D4345" t="s">
        <v>42</v>
      </c>
      <c r="E4345" t="s">
        <v>43</v>
      </c>
      <c r="F4345" t="s">
        <v>44</v>
      </c>
      <c r="G4345" t="s">
        <v>45</v>
      </c>
      <c r="AH4345" t="s">
        <v>42</v>
      </c>
      <c r="AI4345" t="str">
        <f>"66298934676510"</f>
        <v>66298934676510</v>
      </c>
      <c r="AJ4345" t="str">
        <f>"5310"</f>
        <v>5310</v>
      </c>
      <c r="AK4345" t="s">
        <v>46</v>
      </c>
      <c r="AL4345" s="1">
        <v>44816.561874999999</v>
      </c>
      <c r="AM4345" t="s">
        <v>44</v>
      </c>
    </row>
    <row r="4346" spans="1:39" x14ac:dyDescent="0.2">
      <c r="A4346" t="s">
        <v>4086</v>
      </c>
      <c r="B4346" t="s">
        <v>40</v>
      </c>
      <c r="C4346" t="s">
        <v>4047</v>
      </c>
      <c r="D4346" t="s">
        <v>42</v>
      </c>
      <c r="E4346" t="s">
        <v>43</v>
      </c>
      <c r="F4346" t="s">
        <v>44</v>
      </c>
      <c r="G4346" t="s">
        <v>45</v>
      </c>
      <c r="AH4346" t="s">
        <v>42</v>
      </c>
      <c r="AI4346" t="str">
        <f>"66298937322806"</f>
        <v>66298937322806</v>
      </c>
      <c r="AJ4346" t="str">
        <f>"26-38-5"</f>
        <v>26-38-5</v>
      </c>
      <c r="AK4346" t="s">
        <v>46</v>
      </c>
      <c r="AL4346" s="1">
        <v>44816.5621875</v>
      </c>
      <c r="AM4346" t="s">
        <v>44</v>
      </c>
    </row>
    <row r="4347" spans="1:39" x14ac:dyDescent="0.2">
      <c r="A4347" t="s">
        <v>4087</v>
      </c>
      <c r="B4347" t="s">
        <v>40</v>
      </c>
      <c r="C4347" t="s">
        <v>4047</v>
      </c>
      <c r="D4347" t="s">
        <v>42</v>
      </c>
      <c r="E4347" t="s">
        <v>43</v>
      </c>
      <c r="F4347" t="s">
        <v>44</v>
      </c>
      <c r="G4347" t="s">
        <v>45</v>
      </c>
      <c r="AH4347" t="s">
        <v>42</v>
      </c>
      <c r="AI4347" t="str">
        <f>"66298937360140"</f>
        <v>66298937360140</v>
      </c>
      <c r="AJ4347" t="str">
        <f>"93102-26042JP"</f>
        <v>93102-26042JP</v>
      </c>
      <c r="AK4347" t="s">
        <v>46</v>
      </c>
      <c r="AL4347" s="1">
        <v>44816.5621875</v>
      </c>
      <c r="AM4347" t="s">
        <v>44</v>
      </c>
    </row>
    <row r="4348" spans="1:39" x14ac:dyDescent="0.2">
      <c r="A4348" t="s">
        <v>4088</v>
      </c>
      <c r="B4348" t="s">
        <v>40</v>
      </c>
      <c r="C4348" t="s">
        <v>4047</v>
      </c>
      <c r="D4348" t="s">
        <v>42</v>
      </c>
      <c r="E4348" t="s">
        <v>43</v>
      </c>
      <c r="F4348" t="s">
        <v>44</v>
      </c>
      <c r="G4348" t="s">
        <v>45</v>
      </c>
      <c r="AH4348" t="s">
        <v>42</v>
      </c>
      <c r="AI4348" t="str">
        <f>"66298934716784"</f>
        <v>66298934716784</v>
      </c>
      <c r="AJ4348" t="str">
        <f>"5308"</f>
        <v>5308</v>
      </c>
      <c r="AK4348" t="s">
        <v>46</v>
      </c>
      <c r="AL4348" s="1">
        <v>44816.561886574076</v>
      </c>
      <c r="AM4348" t="s">
        <v>44</v>
      </c>
    </row>
    <row r="4349" spans="1:39" x14ac:dyDescent="0.2">
      <c r="A4349" t="s">
        <v>4089</v>
      </c>
      <c r="B4349" t="s">
        <v>40</v>
      </c>
      <c r="C4349" t="s">
        <v>4047</v>
      </c>
      <c r="D4349" t="s">
        <v>42</v>
      </c>
      <c r="E4349" t="s">
        <v>43</v>
      </c>
      <c r="F4349" t="s">
        <v>44</v>
      </c>
      <c r="G4349" t="s">
        <v>45</v>
      </c>
      <c r="AH4349" t="s">
        <v>42</v>
      </c>
      <c r="AI4349" t="str">
        <f>"66298935323387"</f>
        <v>66298935323387</v>
      </c>
      <c r="AJ4349" t="str">
        <f>"09283-26002JP"</f>
        <v>09283-26002JP</v>
      </c>
      <c r="AK4349" t="s">
        <v>46</v>
      </c>
      <c r="AL4349" s="1">
        <v>44816.561956018515</v>
      </c>
      <c r="AM4349" t="s">
        <v>44</v>
      </c>
    </row>
    <row r="4350" spans="1:39" x14ac:dyDescent="0.2">
      <c r="A4350" t="s">
        <v>4090</v>
      </c>
      <c r="B4350" t="s">
        <v>40</v>
      </c>
      <c r="C4350" t="s">
        <v>4047</v>
      </c>
      <c r="D4350" t="s">
        <v>42</v>
      </c>
      <c r="E4350" t="s">
        <v>43</v>
      </c>
      <c r="F4350" t="s">
        <v>44</v>
      </c>
      <c r="G4350" t="s">
        <v>45</v>
      </c>
      <c r="AH4350" t="s">
        <v>42</v>
      </c>
      <c r="AI4350" t="str">
        <f>"66298935363996"</f>
        <v>66298935363996</v>
      </c>
      <c r="AJ4350" t="str">
        <f>"40R015"</f>
        <v>40R015</v>
      </c>
      <c r="AK4350" t="s">
        <v>46</v>
      </c>
      <c r="AL4350" s="1">
        <v>44816.561956018515</v>
      </c>
      <c r="AM4350" t="s">
        <v>44</v>
      </c>
    </row>
    <row r="4351" spans="1:39" x14ac:dyDescent="0.2">
      <c r="A4351" t="s">
        <v>4091</v>
      </c>
      <c r="B4351" t="s">
        <v>40</v>
      </c>
      <c r="C4351" t="s">
        <v>4047</v>
      </c>
      <c r="D4351" t="s">
        <v>42</v>
      </c>
      <c r="E4351" t="s">
        <v>43</v>
      </c>
      <c r="F4351" t="s">
        <v>44</v>
      </c>
      <c r="G4351" t="s">
        <v>45</v>
      </c>
      <c r="AH4351" t="s">
        <v>42</v>
      </c>
      <c r="AI4351" t="str">
        <f>"66298935990459"</f>
        <v>66298935990459</v>
      </c>
      <c r="AJ4351" t="str">
        <f>"90756-118-000"</f>
        <v>90756-118-000</v>
      </c>
      <c r="AK4351" t="s">
        <v>46</v>
      </c>
      <c r="AL4351" s="1">
        <v>44816.562025462961</v>
      </c>
      <c r="AM4351" t="s">
        <v>44</v>
      </c>
    </row>
    <row r="4352" spans="1:39" x14ac:dyDescent="0.2">
      <c r="A4352" t="s">
        <v>4092</v>
      </c>
      <c r="B4352" t="s">
        <v>40</v>
      </c>
      <c r="C4352" t="s">
        <v>4047</v>
      </c>
      <c r="D4352" t="s">
        <v>42</v>
      </c>
      <c r="E4352" t="s">
        <v>43</v>
      </c>
      <c r="F4352" t="s">
        <v>44</v>
      </c>
      <c r="G4352" t="s">
        <v>45</v>
      </c>
      <c r="AH4352" t="s">
        <v>42</v>
      </c>
      <c r="AI4352" t="str">
        <f>"66298935952606"</f>
        <v>66298935952606</v>
      </c>
      <c r="AJ4352" t="str">
        <f>"276-23145-51JP"</f>
        <v>276-23145-51JP</v>
      </c>
      <c r="AK4352" t="s">
        <v>46</v>
      </c>
      <c r="AL4352" s="1">
        <v>44816.562025462961</v>
      </c>
      <c r="AM4352" t="s">
        <v>44</v>
      </c>
    </row>
    <row r="4353" spans="1:39" x14ac:dyDescent="0.2">
      <c r="A4353" t="s">
        <v>4093</v>
      </c>
      <c r="B4353" t="s">
        <v>40</v>
      </c>
      <c r="C4353" t="s">
        <v>4047</v>
      </c>
      <c r="D4353" t="s">
        <v>42</v>
      </c>
      <c r="E4353" t="s">
        <v>43</v>
      </c>
      <c r="F4353" t="s">
        <v>44</v>
      </c>
      <c r="G4353" t="s">
        <v>45</v>
      </c>
      <c r="AH4353" t="s">
        <v>42</v>
      </c>
      <c r="AI4353" t="str">
        <f>"66298935406298"</f>
        <v>66298935406298</v>
      </c>
      <c r="AJ4353" t="str">
        <f>"93103-28011JP"</f>
        <v>93103-28011JP</v>
      </c>
      <c r="AK4353" t="s">
        <v>46</v>
      </c>
      <c r="AL4353" s="1">
        <v>44816.561967592592</v>
      </c>
      <c r="AM4353" t="s">
        <v>44</v>
      </c>
    </row>
    <row r="4354" spans="1:39" x14ac:dyDescent="0.2">
      <c r="A4354" t="s">
        <v>4094</v>
      </c>
      <c r="B4354" t="s">
        <v>40</v>
      </c>
      <c r="C4354" t="s">
        <v>4047</v>
      </c>
      <c r="D4354" t="s">
        <v>42</v>
      </c>
      <c r="E4354" t="s">
        <v>43</v>
      </c>
      <c r="F4354" t="s">
        <v>44</v>
      </c>
      <c r="G4354" t="s">
        <v>45</v>
      </c>
      <c r="AH4354" t="s">
        <v>42</v>
      </c>
      <c r="AI4354" t="str">
        <f>"90765"</f>
        <v>90765</v>
      </c>
      <c r="AJ4354" t="str">
        <f>"90765"</f>
        <v>90765</v>
      </c>
      <c r="AK4354" t="s">
        <v>46</v>
      </c>
      <c r="AL4354" s="1">
        <v>45076.767939814818</v>
      </c>
      <c r="AM4354" t="s">
        <v>44</v>
      </c>
    </row>
    <row r="4355" spans="1:39" x14ac:dyDescent="0.2">
      <c r="A4355" t="s">
        <v>4095</v>
      </c>
      <c r="B4355" t="s">
        <v>40</v>
      </c>
      <c r="C4355" t="s">
        <v>4047</v>
      </c>
      <c r="D4355" t="s">
        <v>42</v>
      </c>
      <c r="E4355" t="s">
        <v>43</v>
      </c>
      <c r="F4355" t="s">
        <v>44</v>
      </c>
      <c r="G4355" t="s">
        <v>45</v>
      </c>
      <c r="AH4355" t="s">
        <v>42</v>
      </c>
      <c r="AI4355" t="str">
        <f>"66298936031908"</f>
        <v>66298936031908</v>
      </c>
      <c r="AJ4355" t="str">
        <f>"36L-F3145-00JP"</f>
        <v>36L-F3145-00JP</v>
      </c>
      <c r="AK4355" t="s">
        <v>46</v>
      </c>
      <c r="AL4355" s="1">
        <v>44816.562037037038</v>
      </c>
      <c r="AM4355" t="s">
        <v>44</v>
      </c>
    </row>
    <row r="4356" spans="1:39" x14ac:dyDescent="0.2">
      <c r="A4356" t="s">
        <v>4095</v>
      </c>
      <c r="B4356" t="s">
        <v>40</v>
      </c>
      <c r="C4356" t="s">
        <v>4047</v>
      </c>
      <c r="D4356" t="s">
        <v>42</v>
      </c>
      <c r="E4356" t="s">
        <v>43</v>
      </c>
      <c r="F4356" t="s">
        <v>44</v>
      </c>
      <c r="G4356" t="s">
        <v>45</v>
      </c>
      <c r="AH4356" t="s">
        <v>42</v>
      </c>
      <c r="AI4356" t="str">
        <f>"P40FORK455012"</f>
        <v>P40FORK455012</v>
      </c>
      <c r="AJ4356" t="str">
        <f>"P40FORK455012"</f>
        <v>P40FORK455012</v>
      </c>
      <c r="AK4356" t="s">
        <v>46</v>
      </c>
      <c r="AL4356" s="1">
        <v>45027.623483796298</v>
      </c>
      <c r="AM4356" t="s">
        <v>44</v>
      </c>
    </row>
    <row r="4357" spans="1:39" x14ac:dyDescent="0.2">
      <c r="A4357" t="s">
        <v>4095</v>
      </c>
      <c r="B4357" t="s">
        <v>40</v>
      </c>
      <c r="C4357" t="s">
        <v>4047</v>
      </c>
      <c r="D4357" t="s">
        <v>42</v>
      </c>
      <c r="E4357" t="s">
        <v>43</v>
      </c>
      <c r="F4357" t="s">
        <v>44</v>
      </c>
      <c r="G4357" t="s">
        <v>45</v>
      </c>
      <c r="AH4357" t="s">
        <v>42</v>
      </c>
      <c r="AI4357" t="str">
        <f>"40R046"</f>
        <v>40R046</v>
      </c>
      <c r="AJ4357" t="str">
        <f>"40R046"</f>
        <v>40R046</v>
      </c>
      <c r="AK4357" t="s">
        <v>46</v>
      </c>
      <c r="AL4357" s="1">
        <v>45093.892245370371</v>
      </c>
      <c r="AM4357" t="s">
        <v>44</v>
      </c>
    </row>
    <row r="4358" spans="1:39" x14ac:dyDescent="0.2">
      <c r="A4358" t="s">
        <v>4096</v>
      </c>
      <c r="B4358" t="s">
        <v>40</v>
      </c>
      <c r="C4358" t="s">
        <v>4047</v>
      </c>
      <c r="D4358" t="s">
        <v>42</v>
      </c>
      <c r="E4358" t="s">
        <v>43</v>
      </c>
      <c r="F4358" t="s">
        <v>44</v>
      </c>
      <c r="G4358" t="s">
        <v>45</v>
      </c>
      <c r="AH4358" t="s">
        <v>42</v>
      </c>
      <c r="AI4358" t="str">
        <f>"66298935828563"</f>
        <v>66298935828563</v>
      </c>
      <c r="AJ4358" t="str">
        <f>"93106-30004"</f>
        <v>93106-30004</v>
      </c>
      <c r="AK4358" t="s">
        <v>46</v>
      </c>
      <c r="AL4358" s="1">
        <v>44816.562013888892</v>
      </c>
      <c r="AM4358" t="s">
        <v>44</v>
      </c>
    </row>
    <row r="4359" spans="1:39" x14ac:dyDescent="0.2">
      <c r="A4359" t="s">
        <v>4097</v>
      </c>
      <c r="B4359" t="s">
        <v>40</v>
      </c>
      <c r="C4359" t="s">
        <v>4047</v>
      </c>
      <c r="D4359" t="s">
        <v>42</v>
      </c>
      <c r="E4359" t="s">
        <v>43</v>
      </c>
      <c r="F4359" t="s">
        <v>44</v>
      </c>
      <c r="G4359" t="s">
        <v>45</v>
      </c>
      <c r="AH4359" t="s">
        <v>42</v>
      </c>
      <c r="AI4359" t="str">
        <f>"BR2332RTO"</f>
        <v>BR2332RTO</v>
      </c>
      <c r="AJ4359" t="str">
        <f>"BR2332RTO"</f>
        <v>BR2332RTO</v>
      </c>
      <c r="AK4359" t="s">
        <v>46</v>
      </c>
      <c r="AL4359" s="1">
        <v>45079.828761574077</v>
      </c>
      <c r="AM4359" t="s">
        <v>44</v>
      </c>
    </row>
    <row r="4360" spans="1:39" x14ac:dyDescent="0.2">
      <c r="A4360" t="s">
        <v>4098</v>
      </c>
      <c r="B4360" t="s">
        <v>40</v>
      </c>
      <c r="C4360" t="s">
        <v>4047</v>
      </c>
      <c r="D4360" t="s">
        <v>42</v>
      </c>
      <c r="E4360" t="s">
        <v>43</v>
      </c>
      <c r="F4360" t="s">
        <v>44</v>
      </c>
      <c r="G4360" t="s">
        <v>45</v>
      </c>
      <c r="AH4360" t="s">
        <v>42</v>
      </c>
      <c r="AI4360" t="str">
        <f>"CR006"</f>
        <v>CR006</v>
      </c>
      <c r="AJ4360" t="str">
        <f>"CR006"</f>
        <v>CR006</v>
      </c>
      <c r="AK4360" t="s">
        <v>46</v>
      </c>
      <c r="AL4360" s="1">
        <v>44946.860532407409</v>
      </c>
      <c r="AM4360" t="s">
        <v>44</v>
      </c>
    </row>
    <row r="4361" spans="1:39" x14ac:dyDescent="0.2">
      <c r="A4361" t="s">
        <v>4098</v>
      </c>
      <c r="B4361" t="s">
        <v>40</v>
      </c>
      <c r="C4361" t="s">
        <v>4047</v>
      </c>
      <c r="D4361" t="s">
        <v>42</v>
      </c>
      <c r="E4361" t="s">
        <v>43</v>
      </c>
      <c r="F4361" t="s">
        <v>44</v>
      </c>
      <c r="G4361" t="s">
        <v>45</v>
      </c>
      <c r="AH4361" t="s">
        <v>42</v>
      </c>
      <c r="AI4361" t="str">
        <f>"530"</f>
        <v>530</v>
      </c>
      <c r="AJ4361" t="str">
        <f>"530"</f>
        <v>530</v>
      </c>
      <c r="AK4361" t="s">
        <v>46</v>
      </c>
      <c r="AL4361" s="1">
        <v>45026.682650462964</v>
      </c>
      <c r="AM4361" t="s">
        <v>44</v>
      </c>
    </row>
    <row r="4362" spans="1:39" x14ac:dyDescent="0.2">
      <c r="A4362" t="s">
        <v>4098</v>
      </c>
      <c r="B4362" t="s">
        <v>40</v>
      </c>
      <c r="C4362" t="s">
        <v>4047</v>
      </c>
      <c r="D4362" t="s">
        <v>42</v>
      </c>
      <c r="E4362" t="s">
        <v>43</v>
      </c>
      <c r="F4362" t="s">
        <v>44</v>
      </c>
      <c r="G4362" t="s">
        <v>45</v>
      </c>
      <c r="AH4362" t="s">
        <v>42</v>
      </c>
      <c r="AI4362" t="str">
        <f>"12420"</f>
        <v>12420</v>
      </c>
      <c r="AJ4362" t="str">
        <f>"12420"</f>
        <v>12420</v>
      </c>
      <c r="AK4362" t="s">
        <v>46</v>
      </c>
      <c r="AL4362" s="1">
        <v>45090.921759259261</v>
      </c>
      <c r="AM4362" t="s">
        <v>44</v>
      </c>
    </row>
    <row r="4363" spans="1:39" x14ac:dyDescent="0.2">
      <c r="A4363" t="s">
        <v>4098</v>
      </c>
      <c r="B4363" t="s">
        <v>40</v>
      </c>
      <c r="C4363" t="s">
        <v>4047</v>
      </c>
      <c r="D4363" t="s">
        <v>42</v>
      </c>
      <c r="E4363" t="s">
        <v>43</v>
      </c>
      <c r="F4363" t="s">
        <v>44</v>
      </c>
      <c r="G4363" t="s">
        <v>45</v>
      </c>
      <c r="AH4363" t="s">
        <v>42</v>
      </c>
      <c r="AI4363" t="str">
        <f>"40R029"</f>
        <v>40R029</v>
      </c>
      <c r="AJ4363" t="str">
        <f>"40R029"</f>
        <v>40R029</v>
      </c>
      <c r="AK4363" t="s">
        <v>46</v>
      </c>
      <c r="AL4363" s="1">
        <v>45093.89267361111</v>
      </c>
      <c r="AM4363" t="s">
        <v>44</v>
      </c>
    </row>
    <row r="4364" spans="1:39" x14ac:dyDescent="0.2">
      <c r="A4364" t="s">
        <v>4099</v>
      </c>
      <c r="B4364" t="s">
        <v>40</v>
      </c>
      <c r="C4364" t="s">
        <v>4047</v>
      </c>
      <c r="D4364" t="s">
        <v>42</v>
      </c>
      <c r="E4364" t="s">
        <v>43</v>
      </c>
      <c r="F4364" t="s">
        <v>44</v>
      </c>
      <c r="G4364" t="s">
        <v>45</v>
      </c>
      <c r="AH4364" t="s">
        <v>42</v>
      </c>
      <c r="AI4364" t="str">
        <f>"5656"</f>
        <v>5656</v>
      </c>
      <c r="AJ4364" t="str">
        <f>"5656"</f>
        <v>5656</v>
      </c>
      <c r="AK4364" t="s">
        <v>46</v>
      </c>
      <c r="AL4364" s="1">
        <v>44908.633969907409</v>
      </c>
      <c r="AM4364" t="s">
        <v>44</v>
      </c>
    </row>
    <row r="4365" spans="1:39" x14ac:dyDescent="0.2">
      <c r="A4365" t="s">
        <v>4100</v>
      </c>
      <c r="B4365" t="s">
        <v>40</v>
      </c>
      <c r="C4365" t="s">
        <v>4047</v>
      </c>
      <c r="D4365" t="s">
        <v>42</v>
      </c>
      <c r="E4365" t="s">
        <v>43</v>
      </c>
      <c r="F4365" t="s">
        <v>44</v>
      </c>
      <c r="G4365" t="s">
        <v>45</v>
      </c>
      <c r="AH4365" t="s">
        <v>42</v>
      </c>
      <c r="AI4365" t="str">
        <f>"66298935447831"</f>
        <v>66298935447831</v>
      </c>
      <c r="AJ4365" t="str">
        <f>"93103-32099JP"</f>
        <v>93103-32099JP</v>
      </c>
      <c r="AK4365" t="s">
        <v>46</v>
      </c>
      <c r="AL4365" s="1">
        <v>44816.561967592592</v>
      </c>
      <c r="AM4365" t="s">
        <v>44</v>
      </c>
    </row>
    <row r="4366" spans="1:39" x14ac:dyDescent="0.2">
      <c r="A4366" t="s">
        <v>4101</v>
      </c>
      <c r="B4366" t="s">
        <v>40</v>
      </c>
      <c r="C4366" t="s">
        <v>4047</v>
      </c>
      <c r="D4366" t="s">
        <v>42</v>
      </c>
      <c r="E4366" t="s">
        <v>43</v>
      </c>
      <c r="F4366" t="s">
        <v>44</v>
      </c>
      <c r="G4366" t="s">
        <v>45</v>
      </c>
      <c r="AH4366" t="s">
        <v>42</v>
      </c>
      <c r="AI4366" t="str">
        <f>"66298935497860"</f>
        <v>66298935497860</v>
      </c>
      <c r="AJ4366" t="str">
        <f>"92049-1301HB"</f>
        <v>92049-1301HB</v>
      </c>
      <c r="AK4366" t="s">
        <v>46</v>
      </c>
      <c r="AL4366" s="1">
        <v>44816.561967592592</v>
      </c>
      <c r="AM4366" t="s">
        <v>44</v>
      </c>
    </row>
    <row r="4367" spans="1:39" x14ac:dyDescent="0.2">
      <c r="A4367" t="s">
        <v>4102</v>
      </c>
      <c r="B4367" t="s">
        <v>40</v>
      </c>
      <c r="C4367" t="s">
        <v>4047</v>
      </c>
      <c r="D4367" t="s">
        <v>42</v>
      </c>
      <c r="E4367" t="s">
        <v>43</v>
      </c>
      <c r="F4367" t="s">
        <v>44</v>
      </c>
      <c r="G4367" t="s">
        <v>45</v>
      </c>
      <c r="AH4367" t="s">
        <v>42</v>
      </c>
      <c r="AI4367" t="str">
        <f>"66298935536561"</f>
        <v>66298935536561</v>
      </c>
      <c r="AJ4367" t="str">
        <f>"09283-32016JP"</f>
        <v>09283-32016JP</v>
      </c>
      <c r="AK4367" t="s">
        <v>46</v>
      </c>
      <c r="AL4367" s="1">
        <v>44816.561979166669</v>
      </c>
      <c r="AM4367" t="s">
        <v>44</v>
      </c>
    </row>
    <row r="4368" spans="1:39" x14ac:dyDescent="0.2">
      <c r="A4368" t="s">
        <v>4103</v>
      </c>
      <c r="B4368" t="s">
        <v>40</v>
      </c>
      <c r="C4368" t="s">
        <v>4047</v>
      </c>
      <c r="D4368" t="s">
        <v>42</v>
      </c>
      <c r="E4368" t="s">
        <v>43</v>
      </c>
      <c r="F4368" t="s">
        <v>44</v>
      </c>
      <c r="G4368" t="s">
        <v>45</v>
      </c>
      <c r="AH4368" t="s">
        <v>42</v>
      </c>
      <c r="AI4368" t="str">
        <f>"66298936072313"</f>
        <v>66298936072313</v>
      </c>
      <c r="AJ4368" t="str">
        <f>"20P-F3145-00JP"</f>
        <v>20P-F3145-00JP</v>
      </c>
      <c r="AK4368" t="s">
        <v>46</v>
      </c>
      <c r="AL4368" s="1">
        <v>44816.562037037038</v>
      </c>
      <c r="AM4368" t="s">
        <v>44</v>
      </c>
    </row>
    <row r="4369" spans="1:39" x14ac:dyDescent="0.2">
      <c r="A4369" t="s">
        <v>4104</v>
      </c>
      <c r="B4369" t="s">
        <v>40</v>
      </c>
      <c r="C4369" t="s">
        <v>4047</v>
      </c>
      <c r="D4369" t="s">
        <v>42</v>
      </c>
      <c r="E4369" t="s">
        <v>43</v>
      </c>
      <c r="F4369" t="s">
        <v>44</v>
      </c>
      <c r="G4369" t="s">
        <v>45</v>
      </c>
      <c r="AH4369" t="s">
        <v>42</v>
      </c>
      <c r="AI4369" t="str">
        <f>"66298936120767"</f>
        <v>66298936120767</v>
      </c>
      <c r="AJ4369" t="str">
        <f>"40R223"</f>
        <v>40R223</v>
      </c>
      <c r="AK4369" t="s">
        <v>46</v>
      </c>
      <c r="AL4369" s="1">
        <v>44816.562048611115</v>
      </c>
      <c r="AM4369" t="s">
        <v>44</v>
      </c>
    </row>
    <row r="4370" spans="1:39" x14ac:dyDescent="0.2">
      <c r="A4370" t="s">
        <v>4105</v>
      </c>
      <c r="B4370" t="s">
        <v>40</v>
      </c>
      <c r="C4370" t="s">
        <v>4047</v>
      </c>
      <c r="D4370" t="s">
        <v>42</v>
      </c>
      <c r="E4370" t="s">
        <v>43</v>
      </c>
      <c r="F4370" t="s">
        <v>44</v>
      </c>
      <c r="G4370" t="s">
        <v>45</v>
      </c>
      <c r="AH4370" t="s">
        <v>42</v>
      </c>
      <c r="AI4370" t="str">
        <f>"P40FORK455023"</f>
        <v>P40FORK455023</v>
      </c>
      <c r="AJ4370" t="str">
        <f>"P40FORK455023"</f>
        <v>P40FORK455023</v>
      </c>
      <c r="AK4370" t="s">
        <v>46</v>
      </c>
      <c r="AL4370" s="1">
        <v>45085.861863425926</v>
      </c>
      <c r="AM4370" t="s">
        <v>44</v>
      </c>
    </row>
    <row r="4371" spans="1:39" x14ac:dyDescent="0.2">
      <c r="A4371" t="s">
        <v>4106</v>
      </c>
      <c r="B4371" t="s">
        <v>40</v>
      </c>
      <c r="C4371" t="s">
        <v>4047</v>
      </c>
      <c r="D4371" t="s">
        <v>42</v>
      </c>
      <c r="E4371" t="s">
        <v>43</v>
      </c>
      <c r="F4371" t="s">
        <v>44</v>
      </c>
      <c r="G4371" t="s">
        <v>45</v>
      </c>
      <c r="AH4371" t="s">
        <v>42</v>
      </c>
      <c r="AI4371" t="str">
        <f>"66298936165004"</f>
        <v>66298936165004</v>
      </c>
      <c r="AJ4371" t="str">
        <f>"4C6-F3145-00JP"</f>
        <v>4C6-F3145-00JP</v>
      </c>
      <c r="AK4371" t="s">
        <v>46</v>
      </c>
      <c r="AL4371" s="1">
        <v>44816.562048611115</v>
      </c>
      <c r="AM4371" t="s">
        <v>44</v>
      </c>
    </row>
    <row r="4372" spans="1:39" x14ac:dyDescent="0.2">
      <c r="A4372" t="s">
        <v>4107</v>
      </c>
      <c r="B4372" t="s">
        <v>40</v>
      </c>
      <c r="C4372" t="s">
        <v>4047</v>
      </c>
      <c r="D4372" t="s">
        <v>42</v>
      </c>
      <c r="E4372" t="s">
        <v>43</v>
      </c>
      <c r="F4372" t="s">
        <v>44</v>
      </c>
      <c r="G4372" t="s">
        <v>45</v>
      </c>
      <c r="AH4372" t="s">
        <v>42</v>
      </c>
      <c r="AI4372" t="str">
        <f>"66298935585769"</f>
        <v>66298935585769</v>
      </c>
      <c r="AJ4372" t="str">
        <f>"08014-34507JP"</f>
        <v>08014-34507JP</v>
      </c>
      <c r="AK4372" t="s">
        <v>46</v>
      </c>
      <c r="AL4372" s="1">
        <v>44816.561979166669</v>
      </c>
      <c r="AM4372" t="s">
        <v>44</v>
      </c>
    </row>
    <row r="4373" spans="1:39" x14ac:dyDescent="0.2">
      <c r="A4373" t="s">
        <v>4108</v>
      </c>
      <c r="B4373" t="s">
        <v>40</v>
      </c>
      <c r="C4373" t="s">
        <v>4047</v>
      </c>
      <c r="D4373" t="s">
        <v>42</v>
      </c>
      <c r="E4373" t="s">
        <v>43</v>
      </c>
      <c r="F4373" t="s">
        <v>44</v>
      </c>
      <c r="G4373" t="s">
        <v>45</v>
      </c>
      <c r="AH4373" t="s">
        <v>42</v>
      </c>
      <c r="AI4373" t="str">
        <f>"66298936206203"</f>
        <v>66298936206203</v>
      </c>
      <c r="AJ4373" t="str">
        <f>"2TW-F1345-A0JP"</f>
        <v>2TW-F1345-A0JP</v>
      </c>
      <c r="AK4373" t="s">
        <v>46</v>
      </c>
      <c r="AL4373" s="1">
        <v>44816.562060185184</v>
      </c>
      <c r="AM4373" t="s">
        <v>44</v>
      </c>
    </row>
    <row r="4374" spans="1:39" x14ac:dyDescent="0.2">
      <c r="A4374" t="s">
        <v>4109</v>
      </c>
      <c r="B4374" t="s">
        <v>40</v>
      </c>
      <c r="C4374" t="s">
        <v>4047</v>
      </c>
      <c r="D4374" t="s">
        <v>42</v>
      </c>
      <c r="E4374" t="s">
        <v>43</v>
      </c>
      <c r="F4374" t="s">
        <v>44</v>
      </c>
      <c r="G4374" t="s">
        <v>45</v>
      </c>
      <c r="AH4374" t="s">
        <v>42</v>
      </c>
      <c r="AI4374" t="str">
        <f>"66298935868282"</f>
        <v>66298935868282</v>
      </c>
      <c r="AJ4374" t="str">
        <f>"91252-HA0-004GH"</f>
        <v>91252-HA0-004GH</v>
      </c>
      <c r="AK4374" t="s">
        <v>46</v>
      </c>
      <c r="AL4374" s="1">
        <v>44816.562013888892</v>
      </c>
      <c r="AM4374" t="s">
        <v>44</v>
      </c>
    </row>
    <row r="4375" spans="1:39" x14ac:dyDescent="0.2">
      <c r="A4375" t="s">
        <v>4110</v>
      </c>
      <c r="B4375" t="s">
        <v>40</v>
      </c>
      <c r="C4375" t="s">
        <v>4047</v>
      </c>
      <c r="D4375" t="s">
        <v>42</v>
      </c>
      <c r="E4375" t="s">
        <v>43</v>
      </c>
      <c r="F4375" t="s">
        <v>44</v>
      </c>
      <c r="G4375" t="s">
        <v>45</v>
      </c>
      <c r="AH4375" t="s">
        <v>42</v>
      </c>
      <c r="AI4375" t="str">
        <f>"66298934761370"</f>
        <v>66298934761370</v>
      </c>
      <c r="AJ4375" t="str">
        <f>"5011"</f>
        <v>5011</v>
      </c>
      <c r="AK4375" t="s">
        <v>46</v>
      </c>
      <c r="AL4375" s="1">
        <v>44816.561886574076</v>
      </c>
      <c r="AM4375" t="s">
        <v>44</v>
      </c>
    </row>
    <row r="4376" spans="1:39" x14ac:dyDescent="0.2">
      <c r="A4376" t="s">
        <v>4111</v>
      </c>
      <c r="B4376" t="s">
        <v>40</v>
      </c>
      <c r="C4376" t="s">
        <v>4047</v>
      </c>
      <c r="D4376" t="s">
        <v>42</v>
      </c>
      <c r="E4376" t="s">
        <v>43</v>
      </c>
      <c r="F4376" t="s">
        <v>44</v>
      </c>
      <c r="G4376" t="s">
        <v>45</v>
      </c>
      <c r="AH4376" t="s">
        <v>42</v>
      </c>
      <c r="AI4376" t="str">
        <f>"66298936247014"</f>
        <v>66298936247014</v>
      </c>
      <c r="AJ4376" t="str">
        <f>"1KH-23145-00"</f>
        <v>1KH-23145-00</v>
      </c>
      <c r="AK4376" t="s">
        <v>46</v>
      </c>
      <c r="AL4376" s="1">
        <v>44816.562060185184</v>
      </c>
      <c r="AM4376" t="s">
        <v>44</v>
      </c>
    </row>
    <row r="4377" spans="1:39" x14ac:dyDescent="0.2">
      <c r="A4377" t="s">
        <v>4112</v>
      </c>
      <c r="B4377" t="s">
        <v>40</v>
      </c>
      <c r="C4377" t="s">
        <v>4047</v>
      </c>
      <c r="D4377" t="s">
        <v>42</v>
      </c>
      <c r="E4377" t="s">
        <v>43</v>
      </c>
      <c r="F4377" t="s">
        <v>44</v>
      </c>
      <c r="G4377" t="s">
        <v>45</v>
      </c>
      <c r="AH4377" t="s">
        <v>42</v>
      </c>
      <c r="AI4377" t="str">
        <f>"66298936284968"</f>
        <v>66298936284968</v>
      </c>
      <c r="AJ4377" t="str">
        <f>"92049-1193JP"</f>
        <v>92049-1193JP</v>
      </c>
      <c r="AK4377" t="s">
        <v>46</v>
      </c>
      <c r="AL4377" s="1">
        <v>44816.562060185184</v>
      </c>
      <c r="AM4377" t="s">
        <v>44</v>
      </c>
    </row>
    <row r="4378" spans="1:39" x14ac:dyDescent="0.2">
      <c r="A4378" t="s">
        <v>4113</v>
      </c>
      <c r="B4378" t="s">
        <v>40</v>
      </c>
      <c r="C4378" t="s">
        <v>4047</v>
      </c>
      <c r="D4378" t="s">
        <v>42</v>
      </c>
      <c r="E4378" t="s">
        <v>43</v>
      </c>
      <c r="F4378" t="s">
        <v>44</v>
      </c>
      <c r="G4378" t="s">
        <v>45</v>
      </c>
      <c r="AH4378" t="s">
        <v>42</v>
      </c>
      <c r="AI4378" t="str">
        <f>"P40FORK455040"</f>
        <v>P40FORK455040</v>
      </c>
      <c r="AJ4378" t="str">
        <f>"P40FORK455040"</f>
        <v>P40FORK455040</v>
      </c>
      <c r="AK4378" t="s">
        <v>46</v>
      </c>
      <c r="AL4378" s="1">
        <v>44918.784837962965</v>
      </c>
      <c r="AM4378" t="s">
        <v>44</v>
      </c>
    </row>
    <row r="4379" spans="1:39" x14ac:dyDescent="0.2">
      <c r="A4379" t="s">
        <v>4114</v>
      </c>
      <c r="B4379" t="s">
        <v>40</v>
      </c>
      <c r="C4379" t="s">
        <v>4047</v>
      </c>
      <c r="D4379" t="s">
        <v>42</v>
      </c>
      <c r="E4379" t="s">
        <v>43</v>
      </c>
      <c r="F4379" t="s">
        <v>44</v>
      </c>
      <c r="G4379" t="s">
        <v>45</v>
      </c>
      <c r="AH4379" t="s">
        <v>42</v>
      </c>
      <c r="AI4379" t="str">
        <f>"66298936326773"</f>
        <v>66298936326773</v>
      </c>
      <c r="AJ4379" t="str">
        <f>"91255-KR6-305"</f>
        <v>91255-KR6-305</v>
      </c>
      <c r="AK4379" t="s">
        <v>46</v>
      </c>
      <c r="AL4379" s="1">
        <v>44816.562071759261</v>
      </c>
      <c r="AM4379" t="s">
        <v>44</v>
      </c>
    </row>
    <row r="4380" spans="1:39" x14ac:dyDescent="0.2">
      <c r="A4380" t="s">
        <v>4114</v>
      </c>
      <c r="B4380" t="s">
        <v>40</v>
      </c>
      <c r="C4380" t="s">
        <v>4047</v>
      </c>
      <c r="D4380" t="s">
        <v>42</v>
      </c>
      <c r="E4380" t="s">
        <v>43</v>
      </c>
      <c r="F4380" t="s">
        <v>44</v>
      </c>
      <c r="G4380" t="s">
        <v>45</v>
      </c>
      <c r="AH4380" t="s">
        <v>42</v>
      </c>
      <c r="AI4380" t="str">
        <f>"66298936370452"</f>
        <v>66298936370452</v>
      </c>
      <c r="AJ4380" t="str">
        <f>"51490-KR6-305TW"</f>
        <v>51490-KR6-305TW</v>
      </c>
      <c r="AK4380" t="s">
        <v>46</v>
      </c>
      <c r="AL4380" s="1">
        <v>44816.562071759261</v>
      </c>
      <c r="AM4380" t="s">
        <v>44</v>
      </c>
    </row>
    <row r="4381" spans="1:39" x14ac:dyDescent="0.2">
      <c r="A4381" t="s">
        <v>4114</v>
      </c>
      <c r="B4381" t="s">
        <v>40</v>
      </c>
      <c r="C4381" t="s">
        <v>4047</v>
      </c>
      <c r="D4381" t="s">
        <v>42</v>
      </c>
      <c r="E4381" t="s">
        <v>43</v>
      </c>
      <c r="F4381" t="s">
        <v>44</v>
      </c>
      <c r="G4381" t="s">
        <v>45</v>
      </c>
      <c r="AH4381" t="s">
        <v>42</v>
      </c>
      <c r="AI4381" t="str">
        <f>"40R114"</f>
        <v>40R114</v>
      </c>
      <c r="AJ4381" t="str">
        <f>"40R114"</f>
        <v>40R114</v>
      </c>
      <c r="AK4381" t="s">
        <v>46</v>
      </c>
      <c r="AL4381" s="1">
        <v>45093.893090277779</v>
      </c>
      <c r="AM4381" t="s">
        <v>44</v>
      </c>
    </row>
    <row r="4382" spans="1:39" x14ac:dyDescent="0.2">
      <c r="A4382" t="s">
        <v>4115</v>
      </c>
      <c r="B4382" t="s">
        <v>40</v>
      </c>
      <c r="C4382" t="s">
        <v>4047</v>
      </c>
      <c r="D4382" t="s">
        <v>42</v>
      </c>
      <c r="E4382" t="s">
        <v>43</v>
      </c>
      <c r="F4382" t="s">
        <v>44</v>
      </c>
      <c r="G4382" t="s">
        <v>45</v>
      </c>
      <c r="AH4382" t="s">
        <v>42</v>
      </c>
      <c r="AI4382" t="str">
        <f>"66298936413990"</f>
        <v>66298936413990</v>
      </c>
      <c r="AJ4382" t="str">
        <f>"3EN-23145-00JP"</f>
        <v>3EN-23145-00JP</v>
      </c>
      <c r="AK4382" t="s">
        <v>46</v>
      </c>
      <c r="AL4382" s="1">
        <v>44816.562083333331</v>
      </c>
      <c r="AM4382" t="s">
        <v>44</v>
      </c>
    </row>
    <row r="4383" spans="1:39" x14ac:dyDescent="0.2">
      <c r="A4383" t="s">
        <v>4116</v>
      </c>
      <c r="B4383" t="s">
        <v>40</v>
      </c>
      <c r="C4383" t="s">
        <v>4047</v>
      </c>
      <c r="D4383" t="s">
        <v>42</v>
      </c>
      <c r="E4383" t="s">
        <v>43</v>
      </c>
      <c r="F4383" t="s">
        <v>44</v>
      </c>
      <c r="G4383" t="s">
        <v>45</v>
      </c>
      <c r="AH4383" t="s">
        <v>42</v>
      </c>
      <c r="AI4383" t="str">
        <f>"66298936458617"</f>
        <v>66298936458617</v>
      </c>
      <c r="AJ4383" t="str">
        <f>"91255-463-003JP"</f>
        <v>91255-463-003JP</v>
      </c>
      <c r="AK4383" t="s">
        <v>46</v>
      </c>
      <c r="AL4383" s="1">
        <v>44816.562083333331</v>
      </c>
      <c r="AM4383" t="s">
        <v>44</v>
      </c>
    </row>
    <row r="4384" spans="1:39" x14ac:dyDescent="0.2">
      <c r="A4384" t="s">
        <v>4117</v>
      </c>
      <c r="B4384" t="s">
        <v>40</v>
      </c>
      <c r="C4384" t="s">
        <v>4047</v>
      </c>
      <c r="D4384" t="s">
        <v>42</v>
      </c>
      <c r="E4384" t="s">
        <v>43</v>
      </c>
      <c r="F4384" t="s">
        <v>44</v>
      </c>
      <c r="G4384" t="s">
        <v>45</v>
      </c>
      <c r="AH4384" t="s">
        <v>42</v>
      </c>
      <c r="AI4384" t="str">
        <f>"66298934805179"</f>
        <v>66298934805179</v>
      </c>
      <c r="AJ4384" t="str">
        <f>"40-58-10"</f>
        <v>40-58-10</v>
      </c>
      <c r="AK4384" t="s">
        <v>46</v>
      </c>
      <c r="AL4384" s="1">
        <v>44816.561898148146</v>
      </c>
      <c r="AM4384" t="s">
        <v>44</v>
      </c>
    </row>
    <row r="4385" spans="1:39" x14ac:dyDescent="0.2">
      <c r="A4385" t="s">
        <v>4118</v>
      </c>
      <c r="B4385" t="s">
        <v>40</v>
      </c>
      <c r="C4385" t="s">
        <v>4047</v>
      </c>
      <c r="D4385" t="s">
        <v>42</v>
      </c>
      <c r="E4385" t="s">
        <v>43</v>
      </c>
      <c r="F4385" t="s">
        <v>44</v>
      </c>
      <c r="G4385" t="s">
        <v>45</v>
      </c>
      <c r="AH4385" t="s">
        <v>42</v>
      </c>
      <c r="AI4385" t="str">
        <f>"66298936502331"</f>
        <v>66298936502331</v>
      </c>
      <c r="AJ4385" t="str">
        <f>"4EB-23145-01JP"</f>
        <v>4EB-23145-01JP</v>
      </c>
      <c r="AK4385" t="s">
        <v>46</v>
      </c>
      <c r="AL4385" s="1">
        <v>44816.562094907407</v>
      </c>
      <c r="AM4385" t="s">
        <v>44</v>
      </c>
    </row>
    <row r="4386" spans="1:39" x14ac:dyDescent="0.2">
      <c r="A4386" t="s">
        <v>4118</v>
      </c>
      <c r="B4386" t="s">
        <v>40</v>
      </c>
      <c r="C4386" t="s">
        <v>4047</v>
      </c>
      <c r="D4386" t="s">
        <v>42</v>
      </c>
      <c r="E4386" t="s">
        <v>43</v>
      </c>
      <c r="F4386" t="s">
        <v>44</v>
      </c>
      <c r="G4386" t="s">
        <v>45</v>
      </c>
      <c r="AH4386" t="s">
        <v>42</v>
      </c>
      <c r="AI4386" t="str">
        <f>"51822"</f>
        <v>51822</v>
      </c>
      <c r="AJ4386" t="str">
        <f>"51822"</f>
        <v>51822</v>
      </c>
      <c r="AK4386" t="s">
        <v>46</v>
      </c>
      <c r="AL4386" s="1">
        <v>44917.660775462966</v>
      </c>
      <c r="AM4386" t="s">
        <v>44</v>
      </c>
    </row>
    <row r="4387" spans="1:39" x14ac:dyDescent="0.2">
      <c r="A4387" t="s">
        <v>4118</v>
      </c>
      <c r="B4387" t="s">
        <v>40</v>
      </c>
      <c r="C4387" t="s">
        <v>4047</v>
      </c>
      <c r="D4387" t="s">
        <v>42</v>
      </c>
      <c r="E4387" t="s">
        <v>43</v>
      </c>
      <c r="F4387" t="s">
        <v>44</v>
      </c>
      <c r="G4387" t="s">
        <v>45</v>
      </c>
      <c r="AH4387" t="s">
        <v>42</v>
      </c>
      <c r="AI4387" t="str">
        <f>"7374"</f>
        <v>7374</v>
      </c>
      <c r="AJ4387" t="str">
        <f>"7374"</f>
        <v>7374</v>
      </c>
      <c r="AK4387" t="s">
        <v>46</v>
      </c>
      <c r="AL4387" s="1">
        <v>45014.873495370368</v>
      </c>
      <c r="AM4387" t="s">
        <v>44</v>
      </c>
    </row>
    <row r="4388" spans="1:39" x14ac:dyDescent="0.2">
      <c r="A4388" t="s">
        <v>4119</v>
      </c>
      <c r="B4388" t="s">
        <v>40</v>
      </c>
      <c r="C4388" t="s">
        <v>4047</v>
      </c>
      <c r="D4388" t="s">
        <v>42</v>
      </c>
      <c r="E4388" t="s">
        <v>43</v>
      </c>
      <c r="F4388" t="s">
        <v>44</v>
      </c>
      <c r="G4388" t="s">
        <v>45</v>
      </c>
      <c r="AH4388" t="s">
        <v>42</v>
      </c>
      <c r="AI4388" t="str">
        <f>"40R069"</f>
        <v>40R069</v>
      </c>
      <c r="AJ4388" t="str">
        <f>"40R069"</f>
        <v>40R069</v>
      </c>
      <c r="AK4388" t="s">
        <v>46</v>
      </c>
      <c r="AL4388" s="1">
        <v>45093.893946759257</v>
      </c>
      <c r="AM4388" t="s">
        <v>44</v>
      </c>
    </row>
    <row r="4389" spans="1:39" x14ac:dyDescent="0.2">
      <c r="A4389" t="s">
        <v>4120</v>
      </c>
      <c r="B4389" t="s">
        <v>40</v>
      </c>
      <c r="C4389" t="s">
        <v>4047</v>
      </c>
      <c r="D4389" t="s">
        <v>42</v>
      </c>
      <c r="E4389" t="s">
        <v>43</v>
      </c>
      <c r="F4389" t="s">
        <v>44</v>
      </c>
      <c r="G4389" t="s">
        <v>45</v>
      </c>
      <c r="AH4389" t="s">
        <v>42</v>
      </c>
      <c r="AI4389" t="str">
        <f>"12802"</f>
        <v>12802</v>
      </c>
      <c r="AJ4389" t="str">
        <f>"12802"</f>
        <v>12802</v>
      </c>
      <c r="AK4389" t="s">
        <v>46</v>
      </c>
      <c r="AL4389" s="1">
        <v>44998.885578703703</v>
      </c>
      <c r="AM4389" t="s">
        <v>44</v>
      </c>
    </row>
    <row r="4390" spans="1:39" x14ac:dyDescent="0.2">
      <c r="A4390" t="s">
        <v>4120</v>
      </c>
      <c r="B4390" t="s">
        <v>40</v>
      </c>
      <c r="C4390" t="s">
        <v>4047</v>
      </c>
      <c r="D4390" t="s">
        <v>42</v>
      </c>
      <c r="E4390" t="s">
        <v>43</v>
      </c>
      <c r="F4390" t="s">
        <v>44</v>
      </c>
      <c r="G4390" t="s">
        <v>45</v>
      </c>
      <c r="AH4390" t="s">
        <v>42</v>
      </c>
      <c r="AI4390" t="str">
        <f>"BR2432RTO"</f>
        <v>BR2432RTO</v>
      </c>
      <c r="AJ4390" t="str">
        <f>"BR2432RTO"</f>
        <v>BR2432RTO</v>
      </c>
      <c r="AK4390" t="s">
        <v>46</v>
      </c>
      <c r="AL4390" s="1">
        <v>45110.652592592596</v>
      </c>
      <c r="AM4390" t="s">
        <v>44</v>
      </c>
    </row>
    <row r="4391" spans="1:39" x14ac:dyDescent="0.2">
      <c r="A4391" t="s">
        <v>4121</v>
      </c>
      <c r="B4391" t="s">
        <v>40</v>
      </c>
      <c r="C4391" t="s">
        <v>4047</v>
      </c>
      <c r="D4391" t="s">
        <v>42</v>
      </c>
      <c r="E4391" t="s">
        <v>43</v>
      </c>
      <c r="F4391" t="s">
        <v>44</v>
      </c>
      <c r="G4391" t="s">
        <v>45</v>
      </c>
      <c r="AH4391" t="s">
        <v>42</v>
      </c>
      <c r="AI4391" t="str">
        <f>"51490-KAE-003"</f>
        <v>51490-KAE-003</v>
      </c>
      <c r="AJ4391" t="str">
        <f>"51490-KAE-003"</f>
        <v>51490-KAE-003</v>
      </c>
      <c r="AK4391" t="s">
        <v>46</v>
      </c>
      <c r="AL4391" s="1">
        <v>44902.847881944443</v>
      </c>
      <c r="AM4391" t="s">
        <v>44</v>
      </c>
    </row>
    <row r="4392" spans="1:39" x14ac:dyDescent="0.2">
      <c r="A4392" t="s">
        <v>4122</v>
      </c>
      <c r="B4392" t="s">
        <v>40</v>
      </c>
      <c r="C4392" t="s">
        <v>4047</v>
      </c>
      <c r="D4392" t="s">
        <v>42</v>
      </c>
      <c r="E4392" t="s">
        <v>43</v>
      </c>
      <c r="F4392" t="s">
        <v>44</v>
      </c>
      <c r="G4392" t="s">
        <v>45</v>
      </c>
      <c r="AH4392" t="s">
        <v>42</v>
      </c>
      <c r="AI4392" t="str">
        <f>"91255-KAE-003"</f>
        <v>91255-KAE-003</v>
      </c>
      <c r="AJ4392" t="str">
        <f>"91255-KAE-003"</f>
        <v>91255-KAE-003</v>
      </c>
      <c r="AK4392" t="s">
        <v>46</v>
      </c>
      <c r="AL4392" s="1">
        <v>44840.829780092594</v>
      </c>
      <c r="AM4392" t="s">
        <v>44</v>
      </c>
    </row>
    <row r="4393" spans="1:39" x14ac:dyDescent="0.2">
      <c r="A4393" t="s">
        <v>4122</v>
      </c>
      <c r="B4393" t="s">
        <v>40</v>
      </c>
      <c r="C4393" t="s">
        <v>4047</v>
      </c>
      <c r="D4393" t="s">
        <v>42</v>
      </c>
      <c r="E4393" t="s">
        <v>43</v>
      </c>
      <c r="F4393" t="s">
        <v>44</v>
      </c>
      <c r="G4393" t="s">
        <v>45</v>
      </c>
      <c r="AH4393" t="s">
        <v>42</v>
      </c>
      <c r="AI4393" t="str">
        <f>"40R208"</f>
        <v>40R208</v>
      </c>
      <c r="AJ4393" t="str">
        <f>"40R208"</f>
        <v>40R208</v>
      </c>
      <c r="AK4393" t="s">
        <v>46</v>
      </c>
      <c r="AL4393" s="1">
        <v>45093.894467592596</v>
      </c>
      <c r="AM4393" t="s">
        <v>44</v>
      </c>
    </row>
    <row r="4394" spans="1:39" x14ac:dyDescent="0.2">
      <c r="A4394" t="s">
        <v>4123</v>
      </c>
      <c r="B4394" t="s">
        <v>40</v>
      </c>
      <c r="C4394" t="s">
        <v>4047</v>
      </c>
      <c r="D4394" t="s">
        <v>42</v>
      </c>
      <c r="E4394" t="s">
        <v>43</v>
      </c>
      <c r="F4394" t="s">
        <v>44</v>
      </c>
      <c r="G4394" t="s">
        <v>45</v>
      </c>
      <c r="AH4394" t="s">
        <v>42</v>
      </c>
      <c r="AI4394" t="str">
        <f>"66298935910962"</f>
        <v>66298935910962</v>
      </c>
      <c r="AJ4394" t="str">
        <f>"93102-42260"</f>
        <v>93102-42260</v>
      </c>
      <c r="AK4394" t="s">
        <v>46</v>
      </c>
      <c r="AL4394" s="1">
        <v>44816.562025462961</v>
      </c>
      <c r="AM4394" t="s">
        <v>44</v>
      </c>
    </row>
    <row r="4395" spans="1:39" x14ac:dyDescent="0.2">
      <c r="A4395" t="s">
        <v>4124</v>
      </c>
      <c r="B4395" t="s">
        <v>40</v>
      </c>
      <c r="C4395" t="s">
        <v>4047</v>
      </c>
      <c r="D4395" t="s">
        <v>42</v>
      </c>
      <c r="E4395" t="s">
        <v>43</v>
      </c>
      <c r="F4395" t="s">
        <v>44</v>
      </c>
      <c r="G4395" t="s">
        <v>45</v>
      </c>
      <c r="AH4395" t="s">
        <v>42</v>
      </c>
      <c r="AI4395" t="str">
        <f>"P40FORK455191"</f>
        <v>P40FORK455191</v>
      </c>
      <c r="AJ4395" t="str">
        <f>"P40FORK455191"</f>
        <v>P40FORK455191</v>
      </c>
      <c r="AK4395" t="s">
        <v>46</v>
      </c>
      <c r="AL4395" s="1">
        <v>45083.726921296293</v>
      </c>
      <c r="AM4395" t="s">
        <v>44</v>
      </c>
    </row>
    <row r="4396" spans="1:39" x14ac:dyDescent="0.2">
      <c r="A4396" t="s">
        <v>4125</v>
      </c>
      <c r="B4396" t="s">
        <v>40</v>
      </c>
      <c r="C4396" t="s">
        <v>4047</v>
      </c>
      <c r="D4396" t="s">
        <v>42</v>
      </c>
      <c r="E4396" t="s">
        <v>43</v>
      </c>
      <c r="F4396" t="s">
        <v>44</v>
      </c>
      <c r="G4396" t="s">
        <v>45</v>
      </c>
      <c r="AH4396" t="s">
        <v>42</v>
      </c>
      <c r="AI4396" t="str">
        <f>"91255-ML3-305JP"</f>
        <v>91255-ML3-305JP</v>
      </c>
      <c r="AJ4396" t="str">
        <f>"91255-ML3-305JP"</f>
        <v>91255-ML3-305JP</v>
      </c>
      <c r="AK4396" t="s">
        <v>46</v>
      </c>
      <c r="AL4396" s="1">
        <v>44847.814097222225</v>
      </c>
      <c r="AM4396" t="s">
        <v>44</v>
      </c>
    </row>
    <row r="4397" spans="1:39" x14ac:dyDescent="0.2">
      <c r="A4397" t="s">
        <v>4125</v>
      </c>
      <c r="B4397" t="s">
        <v>40</v>
      </c>
      <c r="C4397" t="s">
        <v>4047</v>
      </c>
      <c r="D4397" t="s">
        <v>42</v>
      </c>
      <c r="E4397" t="s">
        <v>43</v>
      </c>
      <c r="F4397" t="s">
        <v>44</v>
      </c>
      <c r="G4397" t="s">
        <v>45</v>
      </c>
      <c r="AH4397" t="s">
        <v>42</v>
      </c>
      <c r="AI4397" t="str">
        <f>"1468"</f>
        <v>1468</v>
      </c>
      <c r="AJ4397" t="str">
        <f>"1468"</f>
        <v>1468</v>
      </c>
      <c r="AK4397" t="s">
        <v>46</v>
      </c>
      <c r="AL4397" s="1">
        <v>44875.733136574076</v>
      </c>
      <c r="AM4397" t="s">
        <v>44</v>
      </c>
    </row>
    <row r="4398" spans="1:39" x14ac:dyDescent="0.2">
      <c r="A4398" t="s">
        <v>4126</v>
      </c>
      <c r="B4398" t="s">
        <v>40</v>
      </c>
      <c r="C4398" t="s">
        <v>4047</v>
      </c>
      <c r="D4398" t="s">
        <v>42</v>
      </c>
      <c r="E4398" t="s">
        <v>43</v>
      </c>
      <c r="F4398" t="s">
        <v>44</v>
      </c>
      <c r="G4398" t="s">
        <v>45</v>
      </c>
      <c r="AH4398" t="s">
        <v>42</v>
      </c>
      <c r="AI4398" t="str">
        <f>"66298936550273"</f>
        <v>66298936550273</v>
      </c>
      <c r="AJ4398" t="str">
        <f>"5ET-23145-L0JP"</f>
        <v>5ET-23145-L0JP</v>
      </c>
      <c r="AK4398" t="s">
        <v>46</v>
      </c>
      <c r="AL4398" s="1">
        <v>44816.562094907407</v>
      </c>
      <c r="AM4398" t="s">
        <v>44</v>
      </c>
    </row>
    <row r="4399" spans="1:39" x14ac:dyDescent="0.2">
      <c r="A4399" t="s">
        <v>4127</v>
      </c>
      <c r="B4399" t="s">
        <v>40</v>
      </c>
      <c r="C4399" t="s">
        <v>4047</v>
      </c>
      <c r="D4399" t="s">
        <v>42</v>
      </c>
      <c r="E4399" t="s">
        <v>43</v>
      </c>
      <c r="F4399" t="s">
        <v>44</v>
      </c>
      <c r="G4399" t="s">
        <v>45</v>
      </c>
      <c r="AH4399" t="s">
        <v>42</v>
      </c>
      <c r="AI4399" t="str">
        <f>"66298936596364"</f>
        <v>66298936596364</v>
      </c>
      <c r="AJ4399" t="str">
        <f>"51153-36E00JP"</f>
        <v>51153-36E00JP</v>
      </c>
      <c r="AK4399" t="s">
        <v>46</v>
      </c>
      <c r="AL4399" s="1">
        <v>44816.562094907407</v>
      </c>
      <c r="AM4399" t="s">
        <v>44</v>
      </c>
    </row>
    <row r="4400" spans="1:39" x14ac:dyDescent="0.2">
      <c r="A4400" t="s">
        <v>4128</v>
      </c>
      <c r="B4400" t="s">
        <v>40</v>
      </c>
      <c r="C4400" t="s">
        <v>4047</v>
      </c>
      <c r="D4400" t="s">
        <v>42</v>
      </c>
      <c r="E4400" t="s">
        <v>43</v>
      </c>
      <c r="F4400" t="s">
        <v>44</v>
      </c>
      <c r="G4400" t="s">
        <v>45</v>
      </c>
      <c r="AH4400" t="s">
        <v>42</v>
      </c>
      <c r="AI4400" t="str">
        <f>"66298936637604"</f>
        <v>66298936637604</v>
      </c>
      <c r="AJ4400" t="str">
        <f>"51490-KRN-A91JP"</f>
        <v>51490-KRN-A91JP</v>
      </c>
      <c r="AK4400" t="s">
        <v>46</v>
      </c>
      <c r="AL4400" s="1">
        <v>44816.562106481484</v>
      </c>
      <c r="AM4400" t="s">
        <v>44</v>
      </c>
    </row>
    <row r="4401" spans="1:39" x14ac:dyDescent="0.2">
      <c r="A4401" t="s">
        <v>4129</v>
      </c>
      <c r="B4401" t="s">
        <v>40</v>
      </c>
      <c r="C4401" t="s">
        <v>4047</v>
      </c>
      <c r="D4401" t="s">
        <v>42</v>
      </c>
      <c r="E4401" t="s">
        <v>43</v>
      </c>
      <c r="F4401" t="s">
        <v>44</v>
      </c>
      <c r="G4401" t="s">
        <v>45</v>
      </c>
      <c r="AH4401" t="s">
        <v>42</v>
      </c>
      <c r="AI4401" t="str">
        <f>"CR004"</f>
        <v>CR004</v>
      </c>
      <c r="AJ4401" t="str">
        <f>"CR004"</f>
        <v>CR004</v>
      </c>
      <c r="AK4401" t="s">
        <v>46</v>
      </c>
      <c r="AL4401" s="1">
        <v>45040.865706018521</v>
      </c>
      <c r="AM4401" t="s">
        <v>44</v>
      </c>
    </row>
    <row r="4402" spans="1:39" x14ac:dyDescent="0.2">
      <c r="A4402" t="s">
        <v>4130</v>
      </c>
      <c r="B4402" t="s">
        <v>40</v>
      </c>
      <c r="C4402" t="s">
        <v>4047</v>
      </c>
      <c r="D4402" t="s">
        <v>42</v>
      </c>
      <c r="E4402" t="s">
        <v>43</v>
      </c>
      <c r="F4402" t="s">
        <v>44</v>
      </c>
      <c r="G4402" t="s">
        <v>45</v>
      </c>
      <c r="AH4402" t="s">
        <v>42</v>
      </c>
      <c r="AI4402" t="str">
        <f>"66298937397063"</f>
        <v>66298937397063</v>
      </c>
      <c r="AJ4402" t="str">
        <f>"40J056"</f>
        <v>40J056</v>
      </c>
      <c r="AK4402" t="s">
        <v>46</v>
      </c>
      <c r="AL4402" s="1">
        <v>44816.5621875</v>
      </c>
      <c r="AM4402" t="s">
        <v>44</v>
      </c>
    </row>
    <row r="4403" spans="1:39" x14ac:dyDescent="0.2">
      <c r="A4403" t="s">
        <v>4131</v>
      </c>
      <c r="B4403" t="s">
        <v>40</v>
      </c>
      <c r="C4403" t="s">
        <v>4047</v>
      </c>
      <c r="D4403" t="s">
        <v>42</v>
      </c>
      <c r="E4403" t="s">
        <v>43</v>
      </c>
      <c r="F4403" t="s">
        <v>44</v>
      </c>
      <c r="G4403" t="s">
        <v>45</v>
      </c>
      <c r="AH4403" t="s">
        <v>42</v>
      </c>
      <c r="AI4403" t="str">
        <f>"12132"</f>
        <v>12132</v>
      </c>
      <c r="AJ4403" t="str">
        <f>"12132"</f>
        <v>12132</v>
      </c>
      <c r="AK4403" t="s">
        <v>46</v>
      </c>
      <c r="AL4403" s="1">
        <v>44907.803333333337</v>
      </c>
      <c r="AM4403" t="s">
        <v>44</v>
      </c>
    </row>
    <row r="4404" spans="1:39" x14ac:dyDescent="0.2">
      <c r="A4404" t="s">
        <v>4132</v>
      </c>
      <c r="B4404" t="s">
        <v>40</v>
      </c>
      <c r="C4404" t="s">
        <v>4047</v>
      </c>
      <c r="D4404" t="s">
        <v>42</v>
      </c>
      <c r="E4404" t="s">
        <v>43</v>
      </c>
      <c r="F4404" t="s">
        <v>44</v>
      </c>
      <c r="G4404" t="s">
        <v>45</v>
      </c>
      <c r="AH4404" t="s">
        <v>42</v>
      </c>
      <c r="AI4404" t="str">
        <f>"66298937438317"</f>
        <v>66298937438317</v>
      </c>
      <c r="AJ4404" t="str">
        <f>"40J010"</f>
        <v>40J010</v>
      </c>
      <c r="AK4404" t="s">
        <v>46</v>
      </c>
      <c r="AL4404" s="1">
        <v>44816.562199074076</v>
      </c>
      <c r="AM4404" t="s">
        <v>44</v>
      </c>
    </row>
    <row r="4405" spans="1:39" x14ac:dyDescent="0.2">
      <c r="A4405" t="s">
        <v>4133</v>
      </c>
      <c r="B4405" t="s">
        <v>40</v>
      </c>
      <c r="C4405" t="s">
        <v>4047</v>
      </c>
      <c r="D4405" t="s">
        <v>42</v>
      </c>
      <c r="E4405" t="s">
        <v>43</v>
      </c>
      <c r="F4405" t="s">
        <v>44</v>
      </c>
      <c r="G4405" t="s">
        <v>45</v>
      </c>
      <c r="AH4405" t="s">
        <v>42</v>
      </c>
      <c r="AI4405" t="str">
        <f>"1044"</f>
        <v>1044</v>
      </c>
      <c r="AJ4405" t="str">
        <f>"1044"</f>
        <v>1044</v>
      </c>
      <c r="AK4405" t="s">
        <v>46</v>
      </c>
      <c r="AL4405" s="1">
        <v>45082.653495370374</v>
      </c>
      <c r="AM4405" t="s">
        <v>44</v>
      </c>
    </row>
    <row r="4406" spans="1:39" x14ac:dyDescent="0.2">
      <c r="A4406" t="s">
        <v>4134</v>
      </c>
      <c r="B4406" t="s">
        <v>40</v>
      </c>
      <c r="C4406" t="s">
        <v>4047</v>
      </c>
      <c r="D4406" t="s">
        <v>42</v>
      </c>
      <c r="E4406" t="s">
        <v>43</v>
      </c>
      <c r="F4406" t="s">
        <v>44</v>
      </c>
      <c r="G4406" t="s">
        <v>45</v>
      </c>
      <c r="AH4406" t="s">
        <v>42</v>
      </c>
      <c r="AI4406" t="str">
        <f>"66298937937924"</f>
        <v>66298937937924</v>
      </c>
      <c r="AJ4406" t="str">
        <f>"CR002"</f>
        <v>CR002</v>
      </c>
      <c r="AK4406" t="s">
        <v>46</v>
      </c>
      <c r="AL4406" s="1">
        <v>44816.562256944446</v>
      </c>
      <c r="AM4406" t="s">
        <v>44</v>
      </c>
    </row>
    <row r="4407" spans="1:39" x14ac:dyDescent="0.2">
      <c r="A4407" t="s">
        <v>4135</v>
      </c>
      <c r="B4407" t="s">
        <v>40</v>
      </c>
      <c r="C4407" t="s">
        <v>4047</v>
      </c>
      <c r="D4407" t="s">
        <v>42</v>
      </c>
      <c r="E4407" t="s">
        <v>43</v>
      </c>
      <c r="F4407" t="s">
        <v>44</v>
      </c>
      <c r="G4407" t="s">
        <v>45</v>
      </c>
      <c r="AH4407" t="s">
        <v>42</v>
      </c>
      <c r="AI4407" t="str">
        <f>"66298937479414"</f>
        <v>66298937479414</v>
      </c>
      <c r="AJ4407" t="str">
        <f>"40J069"</f>
        <v>40J069</v>
      </c>
      <c r="AK4407" t="s">
        <v>46</v>
      </c>
      <c r="AL4407" s="1">
        <v>44816.562199074076</v>
      </c>
      <c r="AM4407" t="s">
        <v>44</v>
      </c>
    </row>
    <row r="4408" spans="1:39" x14ac:dyDescent="0.2">
      <c r="A4408" t="s">
        <v>4136</v>
      </c>
      <c r="B4408" t="s">
        <v>40</v>
      </c>
      <c r="C4408" t="s">
        <v>4047</v>
      </c>
      <c r="D4408" t="s">
        <v>42</v>
      </c>
      <c r="E4408" t="s">
        <v>43</v>
      </c>
      <c r="F4408" t="s">
        <v>44</v>
      </c>
      <c r="G4408" t="s">
        <v>45</v>
      </c>
      <c r="AH4408" t="s">
        <v>42</v>
      </c>
      <c r="AI4408" t="str">
        <f>"CR009"</f>
        <v>CR009</v>
      </c>
      <c r="AJ4408" t="str">
        <f>"CR009"</f>
        <v>CR009</v>
      </c>
      <c r="AK4408" t="s">
        <v>46</v>
      </c>
      <c r="AL4408" s="1">
        <v>44952.633935185186</v>
      </c>
      <c r="AM4408" t="s">
        <v>44</v>
      </c>
    </row>
    <row r="4409" spans="1:39" x14ac:dyDescent="0.2">
      <c r="A4409" t="s">
        <v>4137</v>
      </c>
      <c r="B4409" t="s">
        <v>40</v>
      </c>
      <c r="C4409" t="s">
        <v>4047</v>
      </c>
      <c r="D4409" t="s">
        <v>42</v>
      </c>
      <c r="E4409" t="s">
        <v>43</v>
      </c>
      <c r="F4409" t="s">
        <v>44</v>
      </c>
      <c r="G4409" t="s">
        <v>45</v>
      </c>
      <c r="AH4409" t="s">
        <v>42</v>
      </c>
      <c r="AI4409" t="str">
        <f>"66298937559232"</f>
        <v>66298937559232</v>
      </c>
      <c r="AJ4409" t="str">
        <f>"CR001"</f>
        <v>CR001</v>
      </c>
      <c r="AK4409" t="s">
        <v>46</v>
      </c>
      <c r="AL4409" s="1">
        <v>44816.562210648146</v>
      </c>
      <c r="AM4409" t="s">
        <v>44</v>
      </c>
    </row>
    <row r="4410" spans="1:39" x14ac:dyDescent="0.2">
      <c r="A4410" t="s">
        <v>4138</v>
      </c>
      <c r="B4410" t="s">
        <v>40</v>
      </c>
      <c r="C4410" t="s">
        <v>4047</v>
      </c>
      <c r="D4410" t="s">
        <v>42</v>
      </c>
      <c r="E4410" t="s">
        <v>43</v>
      </c>
      <c r="F4410" t="s">
        <v>44</v>
      </c>
      <c r="G4410" t="s">
        <v>45</v>
      </c>
      <c r="AH4410" t="s">
        <v>42</v>
      </c>
      <c r="AI4410" t="str">
        <f>"66298937521143"</f>
        <v>66298937521143</v>
      </c>
      <c r="AJ4410" t="str">
        <f>"40J086"</f>
        <v>40J086</v>
      </c>
      <c r="AK4410" t="s">
        <v>46</v>
      </c>
      <c r="AL4410" s="1">
        <v>44816.562210648146</v>
      </c>
      <c r="AM4410" t="s">
        <v>44</v>
      </c>
    </row>
    <row r="4411" spans="1:39" x14ac:dyDescent="0.2">
      <c r="A4411" t="s">
        <v>4139</v>
      </c>
      <c r="B4411" t="s">
        <v>40</v>
      </c>
      <c r="C4411" t="s">
        <v>4047</v>
      </c>
      <c r="D4411" t="s">
        <v>42</v>
      </c>
      <c r="E4411" t="s">
        <v>43</v>
      </c>
      <c r="F4411" t="s">
        <v>44</v>
      </c>
      <c r="G4411" t="s">
        <v>45</v>
      </c>
      <c r="AH4411" t="s">
        <v>42</v>
      </c>
      <c r="AI4411" t="str">
        <f>"66298937601133"</f>
        <v>66298937601133</v>
      </c>
      <c r="AJ4411" t="str">
        <f>"H1040"</f>
        <v>H1040</v>
      </c>
      <c r="AK4411" t="s">
        <v>46</v>
      </c>
      <c r="AL4411" s="1">
        <v>44816.562222222223</v>
      </c>
      <c r="AM4411" t="s">
        <v>44</v>
      </c>
    </row>
    <row r="4412" spans="1:39" x14ac:dyDescent="0.2">
      <c r="A4412" t="s">
        <v>4140</v>
      </c>
      <c r="B4412" t="s">
        <v>40</v>
      </c>
      <c r="C4412" t="s">
        <v>4047</v>
      </c>
      <c r="D4412" t="s">
        <v>42</v>
      </c>
      <c r="E4412" t="s">
        <v>43</v>
      </c>
      <c r="F4412" t="s">
        <v>44</v>
      </c>
      <c r="G4412" t="s">
        <v>45</v>
      </c>
      <c r="AH4412" t="s">
        <v>42</v>
      </c>
      <c r="AI4412" t="str">
        <f>"66298937644977"</f>
        <v>66298937644977</v>
      </c>
      <c r="AJ4412" t="str">
        <f>"CR003"</f>
        <v>CR003</v>
      </c>
      <c r="AK4412" t="s">
        <v>46</v>
      </c>
      <c r="AL4412" s="1">
        <v>44816.562222222223</v>
      </c>
      <c r="AM4412" t="s">
        <v>44</v>
      </c>
    </row>
    <row r="4413" spans="1:39" x14ac:dyDescent="0.2">
      <c r="A4413" t="s">
        <v>4141</v>
      </c>
      <c r="B4413" t="s">
        <v>40</v>
      </c>
      <c r="C4413" t="s">
        <v>4047</v>
      </c>
      <c r="D4413" t="s">
        <v>42</v>
      </c>
      <c r="E4413" t="s">
        <v>43</v>
      </c>
      <c r="F4413" t="s">
        <v>44</v>
      </c>
      <c r="G4413" t="s">
        <v>45</v>
      </c>
      <c r="AH4413" t="s">
        <v>42</v>
      </c>
      <c r="AI4413" t="str">
        <f>"66298937695414"</f>
        <v>66298937695414</v>
      </c>
      <c r="AJ4413" t="str">
        <f>"40J052"</f>
        <v>40J052</v>
      </c>
      <c r="AK4413" t="s">
        <v>46</v>
      </c>
      <c r="AL4413" s="1">
        <v>44816.562222222223</v>
      </c>
      <c r="AM4413" t="s">
        <v>44</v>
      </c>
    </row>
    <row r="4414" spans="1:39" x14ac:dyDescent="0.2">
      <c r="A4414" t="s">
        <v>4142</v>
      </c>
      <c r="B4414" t="s">
        <v>40</v>
      </c>
      <c r="C4414" t="s">
        <v>4047</v>
      </c>
      <c r="D4414" t="s">
        <v>42</v>
      </c>
      <c r="E4414" t="s">
        <v>43</v>
      </c>
      <c r="F4414" t="s">
        <v>44</v>
      </c>
      <c r="G4414" t="s">
        <v>45</v>
      </c>
      <c r="AH4414" t="s">
        <v>42</v>
      </c>
      <c r="AI4414" t="str">
        <f>"66298937734176"</f>
        <v>66298937734176</v>
      </c>
      <c r="AJ4414" t="str">
        <f>"40J009"</f>
        <v>40J009</v>
      </c>
      <c r="AK4414" t="s">
        <v>46</v>
      </c>
      <c r="AL4414" s="1">
        <v>44816.5622337963</v>
      </c>
      <c r="AM4414" t="s">
        <v>44</v>
      </c>
    </row>
    <row r="4415" spans="1:39" x14ac:dyDescent="0.2">
      <c r="A4415" t="s">
        <v>4143</v>
      </c>
      <c r="B4415" t="s">
        <v>40</v>
      </c>
      <c r="C4415" t="s">
        <v>4047</v>
      </c>
      <c r="D4415" t="s">
        <v>42</v>
      </c>
      <c r="E4415" t="s">
        <v>43</v>
      </c>
      <c r="F4415" t="s">
        <v>44</v>
      </c>
      <c r="G4415" t="s">
        <v>45</v>
      </c>
      <c r="AH4415" t="s">
        <v>42</v>
      </c>
      <c r="AI4415" t="str">
        <f>"CR010"</f>
        <v>CR010</v>
      </c>
      <c r="AJ4415" t="str">
        <f>"CR010"</f>
        <v>CR010</v>
      </c>
      <c r="AK4415" t="s">
        <v>46</v>
      </c>
      <c r="AL4415" s="1">
        <v>44952.634317129632</v>
      </c>
      <c r="AM4415" t="s">
        <v>44</v>
      </c>
    </row>
    <row r="4416" spans="1:39" x14ac:dyDescent="0.2">
      <c r="A4416" t="s">
        <v>4144</v>
      </c>
      <c r="B4416" t="s">
        <v>40</v>
      </c>
      <c r="C4416" t="s">
        <v>4047</v>
      </c>
      <c r="D4416" t="s">
        <v>42</v>
      </c>
      <c r="E4416" t="s">
        <v>43</v>
      </c>
      <c r="F4416" t="s">
        <v>44</v>
      </c>
      <c r="G4416" t="s">
        <v>45</v>
      </c>
      <c r="AH4416" t="s">
        <v>42</v>
      </c>
      <c r="AI4416" t="str">
        <f>"66298937775346"</f>
        <v>66298937775346</v>
      </c>
      <c r="AJ4416" t="str">
        <f>"40J065"</f>
        <v>40J065</v>
      </c>
      <c r="AK4416" t="s">
        <v>46</v>
      </c>
      <c r="AL4416" s="1">
        <v>44816.5622337963</v>
      </c>
      <c r="AM4416" t="s">
        <v>44</v>
      </c>
    </row>
    <row r="4417" spans="1:39" x14ac:dyDescent="0.2">
      <c r="A4417" t="s">
        <v>4145</v>
      </c>
      <c r="B4417" t="s">
        <v>40</v>
      </c>
      <c r="C4417" t="s">
        <v>4047</v>
      </c>
      <c r="D4417" t="s">
        <v>42</v>
      </c>
      <c r="E4417" t="s">
        <v>43</v>
      </c>
      <c r="F4417" t="s">
        <v>44</v>
      </c>
      <c r="G4417" t="s">
        <v>45</v>
      </c>
      <c r="AH4417" t="s">
        <v>42</v>
      </c>
      <c r="AI4417" t="str">
        <f>"CR005"</f>
        <v>CR005</v>
      </c>
      <c r="AJ4417" t="str">
        <f>"CR005"</f>
        <v>CR005</v>
      </c>
      <c r="AK4417" t="s">
        <v>46</v>
      </c>
      <c r="AL4417" s="1">
        <v>44952.535844907405</v>
      </c>
      <c r="AM4417" t="s">
        <v>44</v>
      </c>
    </row>
    <row r="4418" spans="1:39" x14ac:dyDescent="0.2">
      <c r="A4418" t="s">
        <v>4146</v>
      </c>
      <c r="B4418" t="s">
        <v>40</v>
      </c>
      <c r="C4418" t="s">
        <v>4047</v>
      </c>
      <c r="D4418" t="s">
        <v>42</v>
      </c>
      <c r="E4418" t="s">
        <v>43</v>
      </c>
      <c r="F4418" t="s">
        <v>44</v>
      </c>
      <c r="G4418" t="s">
        <v>45</v>
      </c>
      <c r="AH4418" t="s">
        <v>42</v>
      </c>
      <c r="AI4418" t="str">
        <f>"66298937818462"</f>
        <v>66298937818462</v>
      </c>
      <c r="AJ4418" t="str">
        <f>"40J084"</f>
        <v>40J084</v>
      </c>
      <c r="AK4418" t="s">
        <v>46</v>
      </c>
      <c r="AL4418" s="1">
        <v>44816.562245370369</v>
      </c>
      <c r="AM4418" t="s">
        <v>44</v>
      </c>
    </row>
    <row r="4419" spans="1:39" x14ac:dyDescent="0.2">
      <c r="A4419" t="s">
        <v>4147</v>
      </c>
      <c r="B4419" t="s">
        <v>40</v>
      </c>
      <c r="C4419" t="s">
        <v>4047</v>
      </c>
      <c r="D4419" t="s">
        <v>42</v>
      </c>
      <c r="E4419" t="s">
        <v>43</v>
      </c>
      <c r="F4419" t="s">
        <v>44</v>
      </c>
      <c r="G4419" t="s">
        <v>45</v>
      </c>
      <c r="AH4419" t="s">
        <v>42</v>
      </c>
      <c r="AI4419" t="str">
        <f>"66298937861506"</f>
        <v>66298937861506</v>
      </c>
      <c r="AJ4419" t="str">
        <f>"40J085"</f>
        <v>40J085</v>
      </c>
      <c r="AK4419" t="s">
        <v>46</v>
      </c>
      <c r="AL4419" s="1">
        <v>44816.562245370369</v>
      </c>
      <c r="AM4419" t="s">
        <v>44</v>
      </c>
    </row>
    <row r="4420" spans="1:39" x14ac:dyDescent="0.2">
      <c r="A4420" t="s">
        <v>4148</v>
      </c>
      <c r="B4420" t="s">
        <v>40</v>
      </c>
      <c r="C4420" t="s">
        <v>4047</v>
      </c>
      <c r="D4420" t="s">
        <v>42</v>
      </c>
      <c r="E4420" t="s">
        <v>43</v>
      </c>
      <c r="F4420" t="s">
        <v>44</v>
      </c>
      <c r="G4420" t="s">
        <v>45</v>
      </c>
      <c r="AH4420" t="s">
        <v>42</v>
      </c>
      <c r="AI4420" t="str">
        <f>"66298937900335"</f>
        <v>66298937900335</v>
      </c>
      <c r="AJ4420" t="str">
        <f>"40J080"</f>
        <v>40J080</v>
      </c>
      <c r="AK4420" t="s">
        <v>46</v>
      </c>
      <c r="AL4420" s="1">
        <v>44816.562256944446</v>
      </c>
      <c r="AM4420" t="s">
        <v>44</v>
      </c>
    </row>
    <row r="4421" spans="1:39" x14ac:dyDescent="0.2">
      <c r="A4421" t="s">
        <v>4149</v>
      </c>
      <c r="B4421" t="s">
        <v>40</v>
      </c>
      <c r="C4421" t="s">
        <v>1677</v>
      </c>
      <c r="D4421" t="s">
        <v>42</v>
      </c>
      <c r="E4421" t="s">
        <v>43</v>
      </c>
      <c r="F4421" t="s">
        <v>44</v>
      </c>
      <c r="G4421" t="s">
        <v>45</v>
      </c>
      <c r="H4421" t="s">
        <v>4150</v>
      </c>
      <c r="AH4421" t="s">
        <v>42</v>
      </c>
      <c r="AI4421" t="str">
        <f>"RO-3122"</f>
        <v>RO-3122</v>
      </c>
      <c r="AJ4421" t="str">
        <f>"RO-3122"</f>
        <v>RO-3122</v>
      </c>
      <c r="AK4421" t="s">
        <v>1228</v>
      </c>
      <c r="AL4421" s="1">
        <v>44837.63108796296</v>
      </c>
      <c r="AM4421" t="s">
        <v>44</v>
      </c>
    </row>
    <row r="4422" spans="1:39" x14ac:dyDescent="0.2">
      <c r="A4422" t="s">
        <v>4149</v>
      </c>
      <c r="B4422" t="s">
        <v>40</v>
      </c>
      <c r="C4422" t="s">
        <v>1677</v>
      </c>
      <c r="D4422" t="s">
        <v>42</v>
      </c>
      <c r="E4422" t="s">
        <v>43</v>
      </c>
      <c r="F4422" t="s">
        <v>44</v>
      </c>
      <c r="G4422" t="s">
        <v>45</v>
      </c>
      <c r="H4422" t="s">
        <v>4151</v>
      </c>
      <c r="AH4422" t="s">
        <v>42</v>
      </c>
      <c r="AI4422" t="str">
        <f>"RO-3123"</f>
        <v>RO-3123</v>
      </c>
      <c r="AJ4422" t="str">
        <f>"RO-3123"</f>
        <v>RO-3123</v>
      </c>
      <c r="AK4422" t="s">
        <v>46</v>
      </c>
      <c r="AL4422" s="1">
        <v>44837.626921296294</v>
      </c>
      <c r="AM4422" t="s">
        <v>44</v>
      </c>
    </row>
    <row r="4423" spans="1:39" x14ac:dyDescent="0.2">
      <c r="A4423" t="s">
        <v>4149</v>
      </c>
      <c r="B4423" t="s">
        <v>40</v>
      </c>
      <c r="C4423" t="s">
        <v>1677</v>
      </c>
      <c r="D4423" t="s">
        <v>42</v>
      </c>
      <c r="E4423" t="s">
        <v>43</v>
      </c>
      <c r="F4423" t="s">
        <v>44</v>
      </c>
      <c r="G4423" t="s">
        <v>45</v>
      </c>
      <c r="H4423" t="s">
        <v>4152</v>
      </c>
      <c r="AH4423" t="s">
        <v>42</v>
      </c>
      <c r="AI4423" t="str">
        <f>"RO-3126"</f>
        <v>RO-3126</v>
      </c>
      <c r="AJ4423" t="str">
        <f>"RO-3126"</f>
        <v>RO-3126</v>
      </c>
      <c r="AK4423" t="s">
        <v>46</v>
      </c>
      <c r="AL4423" s="1">
        <v>44837.620682870373</v>
      </c>
      <c r="AM4423" t="s">
        <v>44</v>
      </c>
    </row>
    <row r="4424" spans="1:39" x14ac:dyDescent="0.2">
      <c r="A4424" t="s">
        <v>4149</v>
      </c>
      <c r="B4424" t="s">
        <v>40</v>
      </c>
      <c r="C4424" t="s">
        <v>1677</v>
      </c>
      <c r="D4424" t="s">
        <v>42</v>
      </c>
      <c r="E4424" t="s">
        <v>43</v>
      </c>
      <c r="F4424" t="s">
        <v>44</v>
      </c>
      <c r="G4424" t="s">
        <v>45</v>
      </c>
      <c r="H4424" t="s">
        <v>4153</v>
      </c>
      <c r="AH4424" t="s">
        <v>42</v>
      </c>
      <c r="AI4424" t="str">
        <f>"RO-3177"</f>
        <v>RO-3177</v>
      </c>
      <c r="AJ4424" t="str">
        <f>"RO-3177"</f>
        <v>RO-3177</v>
      </c>
      <c r="AK4424" t="s">
        <v>46</v>
      </c>
      <c r="AL4424" s="1">
        <v>44846.859085648146</v>
      </c>
      <c r="AM4424" t="s">
        <v>44</v>
      </c>
    </row>
    <row r="4425" spans="1:39" x14ac:dyDescent="0.2">
      <c r="A4425" t="s">
        <v>4149</v>
      </c>
      <c r="B4425" t="s">
        <v>40</v>
      </c>
      <c r="C4425" t="s">
        <v>1677</v>
      </c>
      <c r="D4425" t="s">
        <v>42</v>
      </c>
      <c r="E4425" t="s">
        <v>43</v>
      </c>
      <c r="F4425" t="s">
        <v>44</v>
      </c>
      <c r="G4425" t="s">
        <v>45</v>
      </c>
      <c r="H4425" t="s">
        <v>4154</v>
      </c>
      <c r="AH4425" t="s">
        <v>42</v>
      </c>
      <c r="AI4425" t="str">
        <f>"RO-3176"</f>
        <v>RO-3176</v>
      </c>
      <c r="AJ4425" t="str">
        <f>"RO-3176"</f>
        <v>RO-3176</v>
      </c>
      <c r="AK4425" t="s">
        <v>1228</v>
      </c>
      <c r="AL4425" s="1">
        <v>44846.855717592596</v>
      </c>
      <c r="AM4425" t="s">
        <v>44</v>
      </c>
    </row>
    <row r="4426" spans="1:39" x14ac:dyDescent="0.2">
      <c r="A4426" t="s">
        <v>4149</v>
      </c>
      <c r="B4426" t="s">
        <v>40</v>
      </c>
      <c r="C4426" t="s">
        <v>1677</v>
      </c>
      <c r="D4426" t="s">
        <v>42</v>
      </c>
      <c r="E4426" t="s">
        <v>43</v>
      </c>
      <c r="F4426" t="s">
        <v>44</v>
      </c>
      <c r="G4426" t="s">
        <v>45</v>
      </c>
      <c r="H4426" t="s">
        <v>4155</v>
      </c>
      <c r="AH4426" t="s">
        <v>42</v>
      </c>
      <c r="AI4426" t="str">
        <f>"RO-3125"</f>
        <v>RO-3125</v>
      </c>
      <c r="AJ4426" t="str">
        <f>"RO-3125"</f>
        <v>RO-3125</v>
      </c>
      <c r="AK4426" t="s">
        <v>46</v>
      </c>
      <c r="AL4426" s="1">
        <v>44837.624467592592</v>
      </c>
      <c r="AM4426" t="s">
        <v>44</v>
      </c>
    </row>
    <row r="4427" spans="1:39" x14ac:dyDescent="0.2">
      <c r="A4427" t="s">
        <v>4156</v>
      </c>
      <c r="B4427" t="s">
        <v>40</v>
      </c>
      <c r="C4427" t="s">
        <v>4157</v>
      </c>
      <c r="D4427" t="s">
        <v>42</v>
      </c>
      <c r="E4427" t="s">
        <v>43</v>
      </c>
      <c r="F4427" t="s">
        <v>44</v>
      </c>
      <c r="G4427" t="s">
        <v>45</v>
      </c>
      <c r="AH4427" t="s">
        <v>42</v>
      </c>
      <c r="AI4427" t="str">
        <f>"626-2RS"</f>
        <v>626-2RS</v>
      </c>
      <c r="AJ4427" t="str">
        <f>"626-2RS"</f>
        <v>626-2RS</v>
      </c>
      <c r="AK4427" t="s">
        <v>46</v>
      </c>
      <c r="AL4427" s="1">
        <v>44952.54277777778</v>
      </c>
      <c r="AM4427" t="s">
        <v>44</v>
      </c>
    </row>
    <row r="4428" spans="1:39" x14ac:dyDescent="0.2">
      <c r="A4428" t="s">
        <v>4158</v>
      </c>
      <c r="B4428" t="s">
        <v>40</v>
      </c>
      <c r="C4428" t="s">
        <v>4157</v>
      </c>
      <c r="D4428" t="s">
        <v>42</v>
      </c>
      <c r="E4428" t="s">
        <v>43</v>
      </c>
      <c r="F4428" t="s">
        <v>44</v>
      </c>
      <c r="G4428" t="s">
        <v>45</v>
      </c>
      <c r="AH4428" t="s">
        <v>42</v>
      </c>
      <c r="AI4428" t="str">
        <f>"607-2RS-CN"</f>
        <v>607-2RS-CN</v>
      </c>
      <c r="AJ4428" t="str">
        <f>"607-2RS-CN"</f>
        <v>607-2RS-CN</v>
      </c>
      <c r="AK4428" t="s">
        <v>46</v>
      </c>
      <c r="AL4428" s="1">
        <v>44952.627893518518</v>
      </c>
      <c r="AM4428" t="s">
        <v>44</v>
      </c>
    </row>
    <row r="4429" spans="1:39" x14ac:dyDescent="0.2">
      <c r="A4429" t="s">
        <v>4159</v>
      </c>
      <c r="B4429" t="s">
        <v>40</v>
      </c>
      <c r="C4429" t="s">
        <v>4157</v>
      </c>
      <c r="D4429" t="s">
        <v>42</v>
      </c>
      <c r="E4429" t="s">
        <v>43</v>
      </c>
      <c r="F4429" t="s">
        <v>44</v>
      </c>
      <c r="G4429" t="s">
        <v>45</v>
      </c>
      <c r="AH4429" t="s">
        <v>42</v>
      </c>
      <c r="AI4429" t="str">
        <f>"608-2RS-CN"</f>
        <v>608-2RS-CN</v>
      </c>
      <c r="AJ4429" t="str">
        <f>"608-2RS-CN"</f>
        <v>608-2RS-CN</v>
      </c>
      <c r="AK4429" t="s">
        <v>46</v>
      </c>
      <c r="AL4429" s="1">
        <v>44952.628946759258</v>
      </c>
      <c r="AM4429" t="s">
        <v>44</v>
      </c>
    </row>
    <row r="4430" spans="1:39" x14ac:dyDescent="0.2">
      <c r="A4430" t="s">
        <v>4160</v>
      </c>
      <c r="B4430" t="s">
        <v>40</v>
      </c>
      <c r="C4430" t="s">
        <v>4157</v>
      </c>
      <c r="D4430" t="s">
        <v>42</v>
      </c>
      <c r="E4430" t="s">
        <v>43</v>
      </c>
      <c r="F4430" t="s">
        <v>44</v>
      </c>
      <c r="G4430" t="s">
        <v>45</v>
      </c>
      <c r="AH4430" t="s">
        <v>42</v>
      </c>
      <c r="AI4430" t="str">
        <f>"66298937982492"</f>
        <v>66298937982492</v>
      </c>
      <c r="AJ4430" t="str">
        <f>"628-2NSE"</f>
        <v>628-2NSE</v>
      </c>
      <c r="AK4430" t="s">
        <v>46</v>
      </c>
      <c r="AL4430" s="1">
        <v>44816.562256944446</v>
      </c>
      <c r="AM4430" t="s">
        <v>44</v>
      </c>
    </row>
    <row r="4431" spans="1:39" x14ac:dyDescent="0.2">
      <c r="A4431" t="s">
        <v>4161</v>
      </c>
      <c r="B4431" t="s">
        <v>40</v>
      </c>
      <c r="C4431" t="s">
        <v>4157</v>
      </c>
      <c r="D4431" t="s">
        <v>42</v>
      </c>
      <c r="E4431" t="s">
        <v>43</v>
      </c>
      <c r="F4431" t="s">
        <v>44</v>
      </c>
      <c r="G4431" t="s">
        <v>45</v>
      </c>
      <c r="AH4431" t="s">
        <v>42</v>
      </c>
      <c r="AI4431" t="str">
        <f>"609-2RS-CN"</f>
        <v>609-2RS-CN</v>
      </c>
      <c r="AJ4431" t="str">
        <f>"609-2RS-CN"</f>
        <v>609-2RS-CN</v>
      </c>
      <c r="AK4431" t="s">
        <v>46</v>
      </c>
      <c r="AL4431" s="1">
        <v>44952.629965277774</v>
      </c>
      <c r="AM4431" t="s">
        <v>44</v>
      </c>
    </row>
    <row r="4432" spans="1:39" x14ac:dyDescent="0.2">
      <c r="A4432" t="s">
        <v>4162</v>
      </c>
      <c r="B4432" t="s">
        <v>40</v>
      </c>
      <c r="C4432" t="s">
        <v>4157</v>
      </c>
      <c r="D4432" t="s">
        <v>42</v>
      </c>
      <c r="E4432" t="s">
        <v>43</v>
      </c>
      <c r="F4432" t="s">
        <v>44</v>
      </c>
      <c r="G4432" t="s">
        <v>45</v>
      </c>
      <c r="AH4432" t="s">
        <v>42</v>
      </c>
      <c r="AI4432" t="str">
        <f>"66298938022995"</f>
        <v>66298938022995</v>
      </c>
      <c r="AJ4432" t="str">
        <f>"6000-2RS-CN"</f>
        <v>6000-2RS-CN</v>
      </c>
      <c r="AK4432" t="s">
        <v>46</v>
      </c>
      <c r="AL4432" s="1">
        <v>44816.562268518515</v>
      </c>
      <c r="AM4432" t="s">
        <v>44</v>
      </c>
    </row>
    <row r="4433" spans="1:39" x14ac:dyDescent="0.2">
      <c r="A4433" t="s">
        <v>4163</v>
      </c>
      <c r="B4433" t="s">
        <v>40</v>
      </c>
      <c r="C4433" t="s">
        <v>4157</v>
      </c>
      <c r="D4433" t="s">
        <v>42</v>
      </c>
      <c r="E4433" t="s">
        <v>43</v>
      </c>
      <c r="F4433" t="s">
        <v>44</v>
      </c>
      <c r="G4433" t="s">
        <v>45</v>
      </c>
      <c r="AH4433" t="s">
        <v>42</v>
      </c>
      <c r="AI4433" t="str">
        <f>"66298938062840"</f>
        <v>66298938062840</v>
      </c>
      <c r="AJ4433" t="str">
        <f>"6000-2RS"</f>
        <v>6000-2RS</v>
      </c>
      <c r="AK4433" t="s">
        <v>46</v>
      </c>
      <c r="AL4433" s="1">
        <v>44816.562268518515</v>
      </c>
      <c r="AM4433" t="s">
        <v>44</v>
      </c>
    </row>
    <row r="4434" spans="1:39" x14ac:dyDescent="0.2">
      <c r="A4434" t="s">
        <v>4164</v>
      </c>
      <c r="B4434" t="s">
        <v>40</v>
      </c>
      <c r="C4434" t="s">
        <v>4157</v>
      </c>
      <c r="D4434" t="s">
        <v>42</v>
      </c>
      <c r="E4434" t="s">
        <v>43</v>
      </c>
      <c r="F4434" t="s">
        <v>44</v>
      </c>
      <c r="G4434" t="s">
        <v>45</v>
      </c>
      <c r="AH4434" t="s">
        <v>42</v>
      </c>
      <c r="AI4434" t="str">
        <f>"66298938101959"</f>
        <v>66298938101959</v>
      </c>
      <c r="AJ4434" t="str">
        <f>"6200-2RS"</f>
        <v>6200-2RS</v>
      </c>
      <c r="AK4434" t="s">
        <v>46</v>
      </c>
      <c r="AL4434" s="1">
        <v>44816.562280092592</v>
      </c>
      <c r="AM4434" t="s">
        <v>44</v>
      </c>
    </row>
    <row r="4435" spans="1:39" x14ac:dyDescent="0.2">
      <c r="A4435" t="s">
        <v>4165</v>
      </c>
      <c r="B4435" t="s">
        <v>40</v>
      </c>
      <c r="C4435" t="s">
        <v>4157</v>
      </c>
      <c r="D4435" t="s">
        <v>42</v>
      </c>
      <c r="E4435" t="s">
        <v>43</v>
      </c>
      <c r="F4435" t="s">
        <v>44</v>
      </c>
      <c r="G4435" t="s">
        <v>45</v>
      </c>
      <c r="AH4435" t="s">
        <v>42</v>
      </c>
      <c r="AI4435" t="str">
        <f>"66298938143284"</f>
        <v>66298938143284</v>
      </c>
      <c r="AJ4435" t="str">
        <f>"6300-2RS-CN"</f>
        <v>6300-2RS-CN</v>
      </c>
      <c r="AK4435" t="s">
        <v>46</v>
      </c>
      <c r="AL4435" s="1">
        <v>44816.562280092592</v>
      </c>
      <c r="AM4435" t="s">
        <v>44</v>
      </c>
    </row>
    <row r="4436" spans="1:39" x14ac:dyDescent="0.2">
      <c r="A4436" t="s">
        <v>4166</v>
      </c>
      <c r="B4436" t="s">
        <v>40</v>
      </c>
      <c r="C4436" t="s">
        <v>4157</v>
      </c>
      <c r="D4436" t="s">
        <v>42</v>
      </c>
      <c r="E4436" t="s">
        <v>43</v>
      </c>
      <c r="F4436" t="s">
        <v>44</v>
      </c>
      <c r="G4436" t="s">
        <v>45</v>
      </c>
      <c r="AH4436" t="s">
        <v>42</v>
      </c>
      <c r="AI4436" t="str">
        <f>"66298938184004"</f>
        <v>66298938184004</v>
      </c>
      <c r="AJ4436" t="str">
        <f>"6300-ICHBN"</f>
        <v>6300-ICHBN</v>
      </c>
      <c r="AK4436" t="s">
        <v>46</v>
      </c>
      <c r="AL4436" s="1">
        <v>44816.562280092592</v>
      </c>
      <c r="AM4436" t="s">
        <v>44</v>
      </c>
    </row>
    <row r="4437" spans="1:39" x14ac:dyDescent="0.2">
      <c r="A4437" t="s">
        <v>4167</v>
      </c>
      <c r="B4437" t="s">
        <v>40</v>
      </c>
      <c r="C4437" t="s">
        <v>4157</v>
      </c>
      <c r="D4437" t="s">
        <v>42</v>
      </c>
      <c r="E4437" t="s">
        <v>43</v>
      </c>
      <c r="F4437" t="s">
        <v>44</v>
      </c>
      <c r="G4437" t="s">
        <v>45</v>
      </c>
      <c r="AH4437" t="s">
        <v>42</v>
      </c>
      <c r="AI4437" t="str">
        <f>"66298938222385"</f>
        <v>66298938222385</v>
      </c>
      <c r="AJ4437" t="str">
        <f>"6001-2RS-CN"</f>
        <v>6001-2RS-CN</v>
      </c>
      <c r="AK4437" t="s">
        <v>46</v>
      </c>
      <c r="AL4437" s="1">
        <v>44816.562291666669</v>
      </c>
      <c r="AM4437" t="s">
        <v>44</v>
      </c>
    </row>
    <row r="4438" spans="1:39" x14ac:dyDescent="0.2">
      <c r="A4438" t="s">
        <v>4168</v>
      </c>
      <c r="B4438" t="s">
        <v>40</v>
      </c>
      <c r="C4438" t="s">
        <v>4157</v>
      </c>
      <c r="D4438" t="s">
        <v>42</v>
      </c>
      <c r="E4438" t="s">
        <v>43</v>
      </c>
      <c r="F4438" t="s">
        <v>44</v>
      </c>
      <c r="G4438" t="s">
        <v>45</v>
      </c>
      <c r="AH4438" t="s">
        <v>42</v>
      </c>
      <c r="AI4438" t="str">
        <f>"66298938265362"</f>
        <v>66298938265362</v>
      </c>
      <c r="AJ4438" t="str">
        <f>"6001-2NSE-ICHBN"</f>
        <v>6001-2NSE-ICHBN</v>
      </c>
      <c r="AK4438" t="s">
        <v>46</v>
      </c>
      <c r="AL4438" s="1">
        <v>44816.562291666669</v>
      </c>
      <c r="AM4438" t="s">
        <v>44</v>
      </c>
    </row>
    <row r="4439" spans="1:39" x14ac:dyDescent="0.2">
      <c r="A4439" t="s">
        <v>4169</v>
      </c>
      <c r="B4439" t="s">
        <v>40</v>
      </c>
      <c r="C4439" t="s">
        <v>4157</v>
      </c>
      <c r="D4439" t="s">
        <v>42</v>
      </c>
      <c r="E4439" t="s">
        <v>43</v>
      </c>
      <c r="F4439" t="s">
        <v>44</v>
      </c>
      <c r="G4439" t="s">
        <v>45</v>
      </c>
      <c r="AH4439" t="s">
        <v>42</v>
      </c>
      <c r="AI4439" t="str">
        <f>"66298938305060"</f>
        <v>66298938305060</v>
      </c>
      <c r="AJ4439" t="str">
        <f>"6001-2RS"</f>
        <v>6001-2RS</v>
      </c>
      <c r="AK4439" t="s">
        <v>46</v>
      </c>
      <c r="AL4439" s="1">
        <v>44816.562303240738</v>
      </c>
      <c r="AM4439" t="s">
        <v>44</v>
      </c>
    </row>
    <row r="4440" spans="1:39" x14ac:dyDescent="0.2">
      <c r="A4440" t="s">
        <v>4170</v>
      </c>
      <c r="B4440" t="s">
        <v>40</v>
      </c>
      <c r="C4440" t="s">
        <v>4157</v>
      </c>
      <c r="D4440" t="s">
        <v>42</v>
      </c>
      <c r="E4440" t="s">
        <v>43</v>
      </c>
      <c r="F4440" t="s">
        <v>44</v>
      </c>
      <c r="G4440" t="s">
        <v>45</v>
      </c>
      <c r="AH4440" t="s">
        <v>42</v>
      </c>
      <c r="AI4440" t="str">
        <f>"66298938346012"</f>
        <v>66298938346012</v>
      </c>
      <c r="AJ4440" t="str">
        <f>"6001-2RS-SKF"</f>
        <v>6001-2RS-SKF</v>
      </c>
      <c r="AK4440" t="s">
        <v>46</v>
      </c>
      <c r="AL4440" s="1">
        <v>44816.562303240738</v>
      </c>
      <c r="AM4440" t="s">
        <v>44</v>
      </c>
    </row>
    <row r="4441" spans="1:39" x14ac:dyDescent="0.2">
      <c r="A4441" t="s">
        <v>4171</v>
      </c>
      <c r="B4441" t="s">
        <v>40</v>
      </c>
      <c r="C4441" t="s">
        <v>4157</v>
      </c>
      <c r="D4441" t="s">
        <v>42</v>
      </c>
      <c r="E4441" t="s">
        <v>43</v>
      </c>
      <c r="F4441" t="s">
        <v>44</v>
      </c>
      <c r="G4441" t="s">
        <v>45</v>
      </c>
      <c r="AH4441" t="s">
        <v>42</v>
      </c>
      <c r="AI4441" t="str">
        <f>"66298938426078"</f>
        <v>66298938426078</v>
      </c>
      <c r="AJ4441" t="str">
        <f>"6201-2RS-CN"</f>
        <v>6201-2RS-CN</v>
      </c>
      <c r="AK4441" t="s">
        <v>46</v>
      </c>
      <c r="AL4441" s="1">
        <v>44816.562314814815</v>
      </c>
      <c r="AM4441" t="s">
        <v>44</v>
      </c>
    </row>
    <row r="4442" spans="1:39" x14ac:dyDescent="0.2">
      <c r="A4442" t="s">
        <v>4172</v>
      </c>
      <c r="B4442" t="s">
        <v>40</v>
      </c>
      <c r="C4442" t="s">
        <v>4157</v>
      </c>
      <c r="D4442" t="s">
        <v>42</v>
      </c>
      <c r="E4442" t="s">
        <v>43</v>
      </c>
      <c r="F4442" t="s">
        <v>44</v>
      </c>
      <c r="G4442" t="s">
        <v>45</v>
      </c>
      <c r="AH4442" t="s">
        <v>42</v>
      </c>
      <c r="AI4442" t="str">
        <f>"66298938465809"</f>
        <v>66298938465809</v>
      </c>
      <c r="AJ4442" t="str">
        <f>"6201-2RS"</f>
        <v>6201-2RS</v>
      </c>
      <c r="AK4442" t="s">
        <v>46</v>
      </c>
      <c r="AL4442" s="1">
        <v>44816.562314814815</v>
      </c>
      <c r="AM4442" t="s">
        <v>44</v>
      </c>
    </row>
    <row r="4443" spans="1:39" x14ac:dyDescent="0.2">
      <c r="A4443" t="s">
        <v>4173</v>
      </c>
      <c r="B4443" t="s">
        <v>40</v>
      </c>
      <c r="C4443" t="s">
        <v>4157</v>
      </c>
      <c r="D4443" t="s">
        <v>42</v>
      </c>
      <c r="E4443" t="s">
        <v>43</v>
      </c>
      <c r="F4443" t="s">
        <v>44</v>
      </c>
      <c r="G4443" t="s">
        <v>45</v>
      </c>
      <c r="AH4443" t="s">
        <v>42</v>
      </c>
      <c r="AI4443" t="str">
        <f>"66298938385832"</f>
        <v>66298938385832</v>
      </c>
      <c r="AJ4443" t="str">
        <f>"6201-2RSCN"</f>
        <v>6201-2RSCN</v>
      </c>
      <c r="AK4443" t="s">
        <v>46</v>
      </c>
      <c r="AL4443" s="1">
        <v>44816.562303240738</v>
      </c>
      <c r="AM4443" t="s">
        <v>44</v>
      </c>
    </row>
    <row r="4444" spans="1:39" x14ac:dyDescent="0.2">
      <c r="A4444" t="s">
        <v>4174</v>
      </c>
      <c r="B4444" t="s">
        <v>40</v>
      </c>
      <c r="C4444" t="s">
        <v>4157</v>
      </c>
      <c r="D4444" t="s">
        <v>42</v>
      </c>
      <c r="E4444" t="s">
        <v>43</v>
      </c>
      <c r="F4444" t="s">
        <v>44</v>
      </c>
      <c r="G4444" t="s">
        <v>45</v>
      </c>
      <c r="AH4444" t="s">
        <v>42</v>
      </c>
      <c r="AI4444" t="str">
        <f>"66298938507365"</f>
        <v>66298938507365</v>
      </c>
      <c r="AJ4444" t="str">
        <f>"6301-2RSCN"</f>
        <v>6301-2RSCN</v>
      </c>
      <c r="AK4444" t="s">
        <v>46</v>
      </c>
      <c r="AL4444" s="1">
        <v>44816.562326388892</v>
      </c>
      <c r="AM4444" t="s">
        <v>44</v>
      </c>
    </row>
    <row r="4445" spans="1:39" x14ac:dyDescent="0.2">
      <c r="A4445" t="s">
        <v>4175</v>
      </c>
      <c r="B4445" t="s">
        <v>40</v>
      </c>
      <c r="C4445" t="s">
        <v>4157</v>
      </c>
      <c r="D4445" t="s">
        <v>42</v>
      </c>
      <c r="E4445" t="s">
        <v>43</v>
      </c>
      <c r="F4445" t="s">
        <v>44</v>
      </c>
      <c r="G4445" t="s">
        <v>45</v>
      </c>
      <c r="AH4445" t="s">
        <v>42</v>
      </c>
      <c r="AI4445" t="str">
        <f>"66298940529629"</f>
        <v>66298940529629</v>
      </c>
      <c r="AJ4445" t="str">
        <f>"91006-KK0-771GH"</f>
        <v>91006-KK0-771GH</v>
      </c>
      <c r="AK4445" t="s">
        <v>46</v>
      </c>
      <c r="AL4445" s="1">
        <v>44816.562557870369</v>
      </c>
      <c r="AM4445" t="s">
        <v>44</v>
      </c>
    </row>
    <row r="4446" spans="1:39" x14ac:dyDescent="0.2">
      <c r="A4446" t="s">
        <v>4176</v>
      </c>
      <c r="B4446" t="s">
        <v>40</v>
      </c>
      <c r="C4446" t="s">
        <v>4157</v>
      </c>
      <c r="D4446" t="s">
        <v>42</v>
      </c>
      <c r="E4446" t="s">
        <v>43</v>
      </c>
      <c r="F4446" t="s">
        <v>44</v>
      </c>
      <c r="G4446" t="s">
        <v>45</v>
      </c>
      <c r="AH4446" t="s">
        <v>42</v>
      </c>
      <c r="AI4446" t="str">
        <f>"66298938548859"</f>
        <v>66298938548859</v>
      </c>
      <c r="AJ4446" t="str">
        <f>"6902-2RS"</f>
        <v>6902-2RS</v>
      </c>
      <c r="AK4446" t="s">
        <v>46</v>
      </c>
      <c r="AL4446" s="1">
        <v>44816.562326388892</v>
      </c>
      <c r="AM4446" t="s">
        <v>44</v>
      </c>
    </row>
    <row r="4447" spans="1:39" x14ac:dyDescent="0.2">
      <c r="A4447" t="s">
        <v>4177</v>
      </c>
      <c r="B4447" t="s">
        <v>40</v>
      </c>
      <c r="C4447" t="s">
        <v>4157</v>
      </c>
      <c r="D4447" t="s">
        <v>42</v>
      </c>
      <c r="E4447" t="s">
        <v>43</v>
      </c>
      <c r="F4447" t="s">
        <v>44</v>
      </c>
      <c r="G4447" t="s">
        <v>45</v>
      </c>
      <c r="AH4447" t="s">
        <v>42</v>
      </c>
      <c r="AI4447" t="str">
        <f>"66298938590621"</f>
        <v>66298938590621</v>
      </c>
      <c r="AJ4447" t="str">
        <f>"6002-2RS-CN"</f>
        <v>6002-2RS-CN</v>
      </c>
      <c r="AK4447" t="s">
        <v>46</v>
      </c>
      <c r="AL4447" s="1">
        <v>44816.562326388892</v>
      </c>
      <c r="AM4447" t="s">
        <v>44</v>
      </c>
    </row>
    <row r="4448" spans="1:39" x14ac:dyDescent="0.2">
      <c r="A4448" t="s">
        <v>4178</v>
      </c>
      <c r="B4448" t="s">
        <v>40</v>
      </c>
      <c r="C4448" t="s">
        <v>4157</v>
      </c>
      <c r="D4448" t="s">
        <v>42</v>
      </c>
      <c r="E4448" t="s">
        <v>43</v>
      </c>
      <c r="F4448" t="s">
        <v>44</v>
      </c>
      <c r="G4448" t="s">
        <v>45</v>
      </c>
      <c r="AH4448" t="s">
        <v>42</v>
      </c>
      <c r="AI4448" t="str">
        <f>"66298938633905"</f>
        <v>66298938633905</v>
      </c>
      <c r="AJ4448" t="str">
        <f>"6002-2RS/C3"</f>
        <v>6002-2RS/C3</v>
      </c>
      <c r="AK4448" t="s">
        <v>46</v>
      </c>
      <c r="AL4448" s="1">
        <v>44816.562337962961</v>
      </c>
      <c r="AM4448" t="s">
        <v>44</v>
      </c>
    </row>
    <row r="4449" spans="1:39" x14ac:dyDescent="0.2">
      <c r="A4449" t="s">
        <v>4179</v>
      </c>
      <c r="B4449" t="s">
        <v>40</v>
      </c>
      <c r="C4449" t="s">
        <v>4157</v>
      </c>
      <c r="D4449" t="s">
        <v>42</v>
      </c>
      <c r="E4449" t="s">
        <v>43</v>
      </c>
      <c r="F4449" t="s">
        <v>44</v>
      </c>
      <c r="G4449" t="s">
        <v>45</v>
      </c>
      <c r="AH4449" t="s">
        <v>42</v>
      </c>
      <c r="AI4449" t="str">
        <f>"6202-2RS-CN"</f>
        <v>6202-2RS-CN</v>
      </c>
      <c r="AJ4449" t="str">
        <f>"6202-2RS-CN"</f>
        <v>6202-2RS-CN</v>
      </c>
      <c r="AK4449" t="s">
        <v>46</v>
      </c>
      <c r="AL4449" s="1">
        <v>44952.619699074072</v>
      </c>
      <c r="AM4449" t="s">
        <v>44</v>
      </c>
    </row>
    <row r="4450" spans="1:39" x14ac:dyDescent="0.2">
      <c r="A4450" t="s">
        <v>4180</v>
      </c>
      <c r="B4450" t="s">
        <v>40</v>
      </c>
      <c r="C4450" t="s">
        <v>4157</v>
      </c>
      <c r="D4450" t="s">
        <v>42</v>
      </c>
      <c r="E4450" t="s">
        <v>43</v>
      </c>
      <c r="F4450" t="s">
        <v>44</v>
      </c>
      <c r="G4450" t="s">
        <v>45</v>
      </c>
      <c r="AH4450" t="s">
        <v>42</v>
      </c>
      <c r="AI4450" t="str">
        <f>"6302-2RS-CN"</f>
        <v>6302-2RS-CN</v>
      </c>
      <c r="AJ4450" t="str">
        <f>"6302-2RS-CN"</f>
        <v>6302-2RS-CN</v>
      </c>
      <c r="AK4450" t="s">
        <v>46</v>
      </c>
      <c r="AL4450" s="1">
        <v>44952.621782407405</v>
      </c>
      <c r="AM4450" t="s">
        <v>44</v>
      </c>
    </row>
    <row r="4451" spans="1:39" x14ac:dyDescent="0.2">
      <c r="A4451" t="s">
        <v>4181</v>
      </c>
      <c r="B4451" t="s">
        <v>40</v>
      </c>
      <c r="C4451" t="s">
        <v>4157</v>
      </c>
      <c r="D4451" t="s">
        <v>42</v>
      </c>
      <c r="E4451" t="s">
        <v>43</v>
      </c>
      <c r="F4451" t="s">
        <v>44</v>
      </c>
      <c r="G4451" t="s">
        <v>45</v>
      </c>
      <c r="AH4451" t="s">
        <v>42</v>
      </c>
      <c r="AI4451" t="str">
        <f>"6903-2RS-CN"</f>
        <v>6903-2RS-CN</v>
      </c>
      <c r="AJ4451" t="str">
        <f>"6903-2RS-CN"</f>
        <v>6903-2RS-CN</v>
      </c>
      <c r="AK4451" t="s">
        <v>46</v>
      </c>
      <c r="AL4451" s="1">
        <v>44952.625949074078</v>
      </c>
      <c r="AM4451" t="s">
        <v>44</v>
      </c>
    </row>
    <row r="4452" spans="1:39" x14ac:dyDescent="0.2">
      <c r="A4452" t="s">
        <v>4182</v>
      </c>
      <c r="B4452" t="s">
        <v>40</v>
      </c>
      <c r="C4452" t="s">
        <v>4157</v>
      </c>
      <c r="D4452" t="s">
        <v>42</v>
      </c>
      <c r="E4452" t="s">
        <v>43</v>
      </c>
      <c r="F4452" t="s">
        <v>44</v>
      </c>
      <c r="G4452" t="s">
        <v>45</v>
      </c>
      <c r="AH4452" t="s">
        <v>42</v>
      </c>
      <c r="AI4452" t="str">
        <f>"66298938678488"</f>
        <v>66298938678488</v>
      </c>
      <c r="AJ4452" t="str">
        <f>"6003-2RS-CN"</f>
        <v>6003-2RS-CN</v>
      </c>
      <c r="AK4452" t="s">
        <v>46</v>
      </c>
      <c r="AL4452" s="1">
        <v>44816.562337962961</v>
      </c>
      <c r="AM4452" t="s">
        <v>44</v>
      </c>
    </row>
    <row r="4453" spans="1:39" x14ac:dyDescent="0.2">
      <c r="A4453" t="s">
        <v>4183</v>
      </c>
      <c r="B4453" t="s">
        <v>40</v>
      </c>
      <c r="C4453" t="s">
        <v>4157</v>
      </c>
      <c r="D4453" t="s">
        <v>42</v>
      </c>
      <c r="E4453" t="s">
        <v>43</v>
      </c>
      <c r="F4453" t="s">
        <v>44</v>
      </c>
      <c r="G4453" t="s">
        <v>45</v>
      </c>
      <c r="AH4453" t="s">
        <v>42</v>
      </c>
      <c r="AI4453" t="str">
        <f>"66298938720857"</f>
        <v>66298938720857</v>
      </c>
      <c r="AJ4453" t="str">
        <f>"6003-2NSE-ICHBN"</f>
        <v>6003-2NSE-ICHBN</v>
      </c>
      <c r="AK4453" t="s">
        <v>46</v>
      </c>
      <c r="AL4453" s="1">
        <v>44816.562349537038</v>
      </c>
      <c r="AM4453" t="s">
        <v>44</v>
      </c>
    </row>
    <row r="4454" spans="1:39" x14ac:dyDescent="0.2">
      <c r="A4454" t="s">
        <v>4184</v>
      </c>
      <c r="B4454" t="s">
        <v>40</v>
      </c>
      <c r="C4454" t="s">
        <v>4157</v>
      </c>
      <c r="D4454" t="s">
        <v>42</v>
      </c>
      <c r="E4454" t="s">
        <v>43</v>
      </c>
      <c r="F4454" t="s">
        <v>44</v>
      </c>
      <c r="G4454" t="s">
        <v>45</v>
      </c>
      <c r="AH4454" t="s">
        <v>42</v>
      </c>
      <c r="AI4454" t="str">
        <f>"66298938763678"</f>
        <v>66298938763678</v>
      </c>
      <c r="AJ4454" t="str">
        <f>"6003-2RS"</f>
        <v>6003-2RS</v>
      </c>
      <c r="AK4454" t="s">
        <v>46</v>
      </c>
      <c r="AL4454" s="1">
        <v>44816.562349537038</v>
      </c>
      <c r="AM4454" t="s">
        <v>44</v>
      </c>
    </row>
    <row r="4455" spans="1:39" x14ac:dyDescent="0.2">
      <c r="A4455" t="s">
        <v>4185</v>
      </c>
      <c r="B4455" t="s">
        <v>40</v>
      </c>
      <c r="C4455" t="s">
        <v>4157</v>
      </c>
      <c r="D4455" t="s">
        <v>42</v>
      </c>
      <c r="E4455" t="s">
        <v>43</v>
      </c>
      <c r="F4455" t="s">
        <v>44</v>
      </c>
      <c r="G4455" t="s">
        <v>45</v>
      </c>
      <c r="AH4455" t="s">
        <v>42</v>
      </c>
      <c r="AI4455" t="str">
        <f>"6203-2RS"</f>
        <v>6203-2RS</v>
      </c>
      <c r="AJ4455" t="str">
        <f>"6203-2RS"</f>
        <v>6203-2RS</v>
      </c>
      <c r="AK4455" t="s">
        <v>46</v>
      </c>
      <c r="AL4455" s="1">
        <v>44952.544849537036</v>
      </c>
      <c r="AM4455" t="s">
        <v>44</v>
      </c>
    </row>
    <row r="4456" spans="1:39" x14ac:dyDescent="0.2">
      <c r="A4456" t="s">
        <v>4186</v>
      </c>
      <c r="B4456" t="s">
        <v>40</v>
      </c>
      <c r="C4456" t="s">
        <v>4157</v>
      </c>
      <c r="D4456" t="s">
        <v>42</v>
      </c>
      <c r="E4456" t="s">
        <v>43</v>
      </c>
      <c r="F4456" t="s">
        <v>44</v>
      </c>
      <c r="G4456" t="s">
        <v>45</v>
      </c>
      <c r="AH4456" t="s">
        <v>42</v>
      </c>
      <c r="AI4456" t="str">
        <f>"66298938811101"</f>
        <v>66298938811101</v>
      </c>
      <c r="AJ4456" t="str">
        <f>"6303-2RS-ICHBN"</f>
        <v>6303-2RS-ICHBN</v>
      </c>
      <c r="AK4456" t="s">
        <v>46</v>
      </c>
      <c r="AL4456" s="1">
        <v>44816.562361111108</v>
      </c>
      <c r="AM4456" t="s">
        <v>44</v>
      </c>
    </row>
    <row r="4457" spans="1:39" x14ac:dyDescent="0.2">
      <c r="A4457" t="s">
        <v>4187</v>
      </c>
      <c r="B4457" t="s">
        <v>40</v>
      </c>
      <c r="C4457" t="s">
        <v>4157</v>
      </c>
      <c r="D4457" t="s">
        <v>42</v>
      </c>
      <c r="E4457" t="s">
        <v>43</v>
      </c>
      <c r="F4457" t="s">
        <v>44</v>
      </c>
      <c r="G4457" t="s">
        <v>45</v>
      </c>
      <c r="AH4457" t="s">
        <v>42</v>
      </c>
      <c r="AI4457" t="str">
        <f>"66298938875416"</f>
        <v>66298938875416</v>
      </c>
      <c r="AJ4457" t="str">
        <f>"6303-2RS"</f>
        <v>6303-2RS</v>
      </c>
      <c r="AK4457" t="s">
        <v>46</v>
      </c>
      <c r="AL4457" s="1">
        <v>44816.562361111108</v>
      </c>
      <c r="AM4457" t="s">
        <v>44</v>
      </c>
    </row>
    <row r="4458" spans="1:39" x14ac:dyDescent="0.2">
      <c r="A4458" t="s">
        <v>4188</v>
      </c>
      <c r="B4458" t="s">
        <v>40</v>
      </c>
      <c r="C4458" t="s">
        <v>4157</v>
      </c>
      <c r="D4458" t="s">
        <v>42</v>
      </c>
      <c r="E4458" t="s">
        <v>43</v>
      </c>
      <c r="F4458" t="s">
        <v>44</v>
      </c>
      <c r="G4458" t="s">
        <v>45</v>
      </c>
      <c r="AH4458" t="s">
        <v>42</v>
      </c>
      <c r="AI4458" t="str">
        <f>"66298940703815"</f>
        <v>66298940703815</v>
      </c>
      <c r="AJ4458" t="str">
        <f>"91002-MN1-671GH"</f>
        <v>91002-MN1-671GH</v>
      </c>
      <c r="AK4458" t="s">
        <v>46</v>
      </c>
      <c r="AL4458" s="1">
        <v>44816.562581018516</v>
      </c>
      <c r="AM4458" t="s">
        <v>44</v>
      </c>
    </row>
    <row r="4459" spans="1:39" x14ac:dyDescent="0.2">
      <c r="A4459" t="s">
        <v>4189</v>
      </c>
      <c r="B4459" t="s">
        <v>40</v>
      </c>
      <c r="C4459" t="s">
        <v>4157</v>
      </c>
      <c r="D4459" t="s">
        <v>42</v>
      </c>
      <c r="E4459" t="s">
        <v>43</v>
      </c>
      <c r="F4459" t="s">
        <v>44</v>
      </c>
      <c r="G4459" t="s">
        <v>45</v>
      </c>
      <c r="AH4459" t="s">
        <v>42</v>
      </c>
      <c r="AI4459" t="str">
        <f>"6904-2RS-CN"</f>
        <v>6904-2RS-CN</v>
      </c>
      <c r="AJ4459" t="str">
        <f>"6904-2RS-CN"</f>
        <v>6904-2RS-CN</v>
      </c>
      <c r="AK4459" t="s">
        <v>46</v>
      </c>
      <c r="AL4459" s="1">
        <v>44952.626840277779</v>
      </c>
      <c r="AM4459" t="s">
        <v>44</v>
      </c>
    </row>
    <row r="4460" spans="1:39" x14ac:dyDescent="0.2">
      <c r="A4460" t="s">
        <v>4190</v>
      </c>
      <c r="B4460" t="s">
        <v>40</v>
      </c>
      <c r="C4460" t="s">
        <v>4157</v>
      </c>
      <c r="D4460" t="s">
        <v>42</v>
      </c>
      <c r="E4460" t="s">
        <v>43</v>
      </c>
      <c r="F4460" t="s">
        <v>44</v>
      </c>
      <c r="G4460" t="s">
        <v>45</v>
      </c>
      <c r="AH4460" t="s">
        <v>42</v>
      </c>
      <c r="AI4460" t="str">
        <f>"66298938915480"</f>
        <v>66298938915480</v>
      </c>
      <c r="AJ4460" t="str">
        <f>"6004-2RS-CN"</f>
        <v>6004-2RS-CN</v>
      </c>
      <c r="AK4460" t="s">
        <v>46</v>
      </c>
      <c r="AL4460" s="1">
        <v>44816.562372685185</v>
      </c>
      <c r="AM4460" t="s">
        <v>44</v>
      </c>
    </row>
    <row r="4461" spans="1:39" x14ac:dyDescent="0.2">
      <c r="A4461" t="s">
        <v>4191</v>
      </c>
      <c r="B4461" t="s">
        <v>40</v>
      </c>
      <c r="C4461" t="s">
        <v>4157</v>
      </c>
      <c r="D4461" t="s">
        <v>42</v>
      </c>
      <c r="E4461" t="s">
        <v>43</v>
      </c>
      <c r="F4461" t="s">
        <v>44</v>
      </c>
      <c r="G4461" t="s">
        <v>45</v>
      </c>
      <c r="AH4461" t="s">
        <v>42</v>
      </c>
      <c r="AI4461" t="str">
        <f>"66298938955939"</f>
        <v>66298938955939</v>
      </c>
      <c r="AJ4461" t="str">
        <f>"6004-ZZ"</f>
        <v>6004-ZZ</v>
      </c>
      <c r="AK4461" t="s">
        <v>46</v>
      </c>
      <c r="AL4461" s="1">
        <v>44816.562372685185</v>
      </c>
      <c r="AM4461" t="s">
        <v>44</v>
      </c>
    </row>
    <row r="4462" spans="1:39" x14ac:dyDescent="0.2">
      <c r="A4462" t="s">
        <v>4192</v>
      </c>
      <c r="B4462" t="s">
        <v>40</v>
      </c>
      <c r="C4462" t="s">
        <v>4157</v>
      </c>
      <c r="D4462" t="s">
        <v>42</v>
      </c>
      <c r="E4462" t="s">
        <v>43</v>
      </c>
      <c r="F4462" t="s">
        <v>44</v>
      </c>
      <c r="G4462" t="s">
        <v>45</v>
      </c>
      <c r="AH4462" t="s">
        <v>42</v>
      </c>
      <c r="AI4462" t="str">
        <f>"66298938997317"</f>
        <v>66298938997317</v>
      </c>
      <c r="AJ4462" t="str">
        <f>"6204-2RS-CN"</f>
        <v>6204-2RS-CN</v>
      </c>
      <c r="AK4462" t="s">
        <v>46</v>
      </c>
      <c r="AL4462" s="1">
        <v>44816.562372685185</v>
      </c>
      <c r="AM4462" t="s">
        <v>44</v>
      </c>
    </row>
    <row r="4463" spans="1:39" x14ac:dyDescent="0.2">
      <c r="A4463" t="s">
        <v>4193</v>
      </c>
      <c r="B4463" t="s">
        <v>40</v>
      </c>
      <c r="C4463" t="s">
        <v>4157</v>
      </c>
      <c r="D4463" t="s">
        <v>42</v>
      </c>
      <c r="E4463" t="s">
        <v>43</v>
      </c>
      <c r="F4463" t="s">
        <v>44</v>
      </c>
      <c r="G4463" t="s">
        <v>45</v>
      </c>
      <c r="AH4463" t="s">
        <v>42</v>
      </c>
      <c r="AI4463" t="str">
        <f>"66298939039884"</f>
        <v>66298939039884</v>
      </c>
      <c r="AJ4463" t="str">
        <f>"6204-ICHBN"</f>
        <v>6204-ICHBN</v>
      </c>
      <c r="AK4463" t="s">
        <v>46</v>
      </c>
      <c r="AL4463" s="1">
        <v>44816.562384259261</v>
      </c>
      <c r="AM4463" t="s">
        <v>44</v>
      </c>
    </row>
    <row r="4464" spans="1:39" x14ac:dyDescent="0.2">
      <c r="A4464" t="s">
        <v>4194</v>
      </c>
      <c r="B4464" t="s">
        <v>40</v>
      </c>
      <c r="C4464" t="s">
        <v>4157</v>
      </c>
      <c r="D4464" t="s">
        <v>42</v>
      </c>
      <c r="E4464" t="s">
        <v>43</v>
      </c>
      <c r="F4464" t="s">
        <v>44</v>
      </c>
      <c r="G4464" t="s">
        <v>45</v>
      </c>
      <c r="AH4464" t="s">
        <v>42</v>
      </c>
      <c r="AI4464" t="str">
        <f>"66298939079767"</f>
        <v>66298939079767</v>
      </c>
      <c r="AJ4464" t="str">
        <f>"62204-2RS-CN"</f>
        <v>62204-2RS-CN</v>
      </c>
      <c r="AK4464" t="s">
        <v>46</v>
      </c>
      <c r="AL4464" s="1">
        <v>44816.562384259261</v>
      </c>
      <c r="AM4464" t="s">
        <v>44</v>
      </c>
    </row>
    <row r="4465" spans="1:39" x14ac:dyDescent="0.2">
      <c r="A4465" t="s">
        <v>4195</v>
      </c>
      <c r="B4465" t="s">
        <v>40</v>
      </c>
      <c r="C4465" t="s">
        <v>4157</v>
      </c>
      <c r="D4465" t="s">
        <v>42</v>
      </c>
      <c r="E4465" t="s">
        <v>43</v>
      </c>
      <c r="F4465" t="s">
        <v>44</v>
      </c>
      <c r="G4465" t="s">
        <v>45</v>
      </c>
      <c r="AH4465" t="s">
        <v>42</v>
      </c>
      <c r="AI4465" t="str">
        <f>"66298939121786"</f>
        <v>66298939121786</v>
      </c>
      <c r="AJ4465" t="str">
        <f>"6304-2RS-ICH"</f>
        <v>6304-2RS-ICH</v>
      </c>
      <c r="AK4465" t="s">
        <v>46</v>
      </c>
      <c r="AL4465" s="1">
        <v>44816.562395833331</v>
      </c>
      <c r="AM4465" t="s">
        <v>44</v>
      </c>
    </row>
    <row r="4466" spans="1:39" x14ac:dyDescent="0.2">
      <c r="A4466" t="s">
        <v>4196</v>
      </c>
      <c r="B4466" t="s">
        <v>40</v>
      </c>
      <c r="C4466" t="s">
        <v>4157</v>
      </c>
      <c r="D4466" t="s">
        <v>42</v>
      </c>
      <c r="E4466" t="s">
        <v>43</v>
      </c>
      <c r="F4466" t="s">
        <v>44</v>
      </c>
      <c r="G4466" t="s">
        <v>45</v>
      </c>
      <c r="AH4466" t="s">
        <v>42</v>
      </c>
      <c r="AI4466" t="str">
        <f>"66298939164175"</f>
        <v>66298939164175</v>
      </c>
      <c r="AJ4466" t="str">
        <f>"6304-2RS"</f>
        <v>6304-2RS</v>
      </c>
      <c r="AK4466" t="s">
        <v>46</v>
      </c>
      <c r="AL4466" s="1">
        <v>44816.562395833331</v>
      </c>
      <c r="AM4466" t="s">
        <v>44</v>
      </c>
    </row>
    <row r="4467" spans="1:39" x14ac:dyDescent="0.2">
      <c r="A4467" t="s">
        <v>4197</v>
      </c>
      <c r="B4467" t="s">
        <v>40</v>
      </c>
      <c r="C4467" t="s">
        <v>4157</v>
      </c>
      <c r="D4467" t="s">
        <v>42</v>
      </c>
      <c r="E4467" t="s">
        <v>43</v>
      </c>
      <c r="F4467" t="s">
        <v>44</v>
      </c>
      <c r="G4467" t="s">
        <v>45</v>
      </c>
      <c r="AH4467" t="s">
        <v>42</v>
      </c>
      <c r="AI4467" t="str">
        <f>"66298939207556"</f>
        <v>66298939207556</v>
      </c>
      <c r="AJ4467" t="str">
        <f>"60/22-2RS"</f>
        <v>60/22-2RS</v>
      </c>
      <c r="AK4467" t="s">
        <v>46</v>
      </c>
      <c r="AL4467" s="1">
        <v>44816.562407407408</v>
      </c>
      <c r="AM4467" t="s">
        <v>44</v>
      </c>
    </row>
    <row r="4468" spans="1:39" x14ac:dyDescent="0.2">
      <c r="A4468" t="s">
        <v>4198</v>
      </c>
      <c r="B4468" t="s">
        <v>40</v>
      </c>
      <c r="C4468" t="s">
        <v>4157</v>
      </c>
      <c r="D4468" t="s">
        <v>42</v>
      </c>
      <c r="E4468" t="s">
        <v>43</v>
      </c>
      <c r="F4468" t="s">
        <v>44</v>
      </c>
      <c r="G4468" t="s">
        <v>45</v>
      </c>
      <c r="AH4468" t="s">
        <v>42</v>
      </c>
      <c r="AI4468" t="str">
        <f>"66298939251553"</f>
        <v>66298939251553</v>
      </c>
      <c r="AJ4468" t="str">
        <f>"62/22C3"</f>
        <v>62/22C3</v>
      </c>
      <c r="AK4468" t="s">
        <v>46</v>
      </c>
      <c r="AL4468" s="1">
        <v>44816.562407407408</v>
      </c>
      <c r="AM4468" t="s">
        <v>44</v>
      </c>
    </row>
    <row r="4469" spans="1:39" x14ac:dyDescent="0.2">
      <c r="A4469" t="s">
        <v>4198</v>
      </c>
      <c r="B4469" t="s">
        <v>40</v>
      </c>
      <c r="C4469" t="s">
        <v>4157</v>
      </c>
      <c r="D4469" t="s">
        <v>42</v>
      </c>
      <c r="E4469" t="s">
        <v>43</v>
      </c>
      <c r="F4469" t="s">
        <v>44</v>
      </c>
      <c r="G4469" t="s">
        <v>45</v>
      </c>
      <c r="AH4469" t="s">
        <v>42</v>
      </c>
      <c r="AI4469" t="str">
        <f>"66298939257286"</f>
        <v>66298939257286</v>
      </c>
      <c r="AJ4469" t="str">
        <f>"62/22-2RS"</f>
        <v>62/22-2RS</v>
      </c>
      <c r="AK4469" t="s">
        <v>46</v>
      </c>
      <c r="AL4469" s="1">
        <v>44816.562407407408</v>
      </c>
      <c r="AM4469" t="s">
        <v>44</v>
      </c>
    </row>
    <row r="4470" spans="1:39" x14ac:dyDescent="0.2">
      <c r="A4470" t="s">
        <v>4199</v>
      </c>
      <c r="B4470" t="s">
        <v>40</v>
      </c>
      <c r="C4470" t="s">
        <v>4157</v>
      </c>
      <c r="D4470" t="s">
        <v>42</v>
      </c>
      <c r="E4470" t="s">
        <v>43</v>
      </c>
      <c r="F4470" t="s">
        <v>44</v>
      </c>
      <c r="G4470" t="s">
        <v>45</v>
      </c>
      <c r="AH4470" t="s">
        <v>42</v>
      </c>
      <c r="AI4470" t="str">
        <f>"66298939311110"</f>
        <v>66298939311110</v>
      </c>
      <c r="AJ4470" t="str">
        <f>"6905-2RS"</f>
        <v>6905-2RS</v>
      </c>
      <c r="AK4470" t="s">
        <v>46</v>
      </c>
      <c r="AL4470" s="1">
        <v>44816.562418981484</v>
      </c>
      <c r="AM4470" t="s">
        <v>44</v>
      </c>
    </row>
    <row r="4471" spans="1:39" x14ac:dyDescent="0.2">
      <c r="A4471" t="s">
        <v>4200</v>
      </c>
      <c r="B4471" t="s">
        <v>40</v>
      </c>
      <c r="C4471" t="s">
        <v>4157</v>
      </c>
      <c r="D4471" t="s">
        <v>42</v>
      </c>
      <c r="E4471" t="s">
        <v>43</v>
      </c>
      <c r="F4471" t="s">
        <v>44</v>
      </c>
      <c r="G4471" t="s">
        <v>45</v>
      </c>
      <c r="AH4471" t="s">
        <v>42</v>
      </c>
      <c r="AI4471" t="str">
        <f>"66298939357248"</f>
        <v>66298939357248</v>
      </c>
      <c r="AJ4471" t="str">
        <f>"6005-2RS-CN"</f>
        <v>6005-2RS-CN</v>
      </c>
      <c r="AK4471" t="s">
        <v>46</v>
      </c>
      <c r="AL4471" s="1">
        <v>44816.562418981484</v>
      </c>
      <c r="AM4471" t="s">
        <v>44</v>
      </c>
    </row>
    <row r="4472" spans="1:39" x14ac:dyDescent="0.2">
      <c r="A4472" t="s">
        <v>4201</v>
      </c>
      <c r="B4472" t="s">
        <v>40</v>
      </c>
      <c r="C4472" t="s">
        <v>4157</v>
      </c>
      <c r="D4472" t="s">
        <v>42</v>
      </c>
      <c r="E4472" t="s">
        <v>43</v>
      </c>
      <c r="F4472" t="s">
        <v>44</v>
      </c>
      <c r="G4472" t="s">
        <v>45</v>
      </c>
      <c r="AH4472" t="s">
        <v>42</v>
      </c>
      <c r="AI4472" t="str">
        <f>"66298939402022"</f>
        <v>66298939402022</v>
      </c>
      <c r="AJ4472" t="str">
        <f>"6005-2RSICHB"</f>
        <v>6005-2RSICHB</v>
      </c>
      <c r="AK4472" t="s">
        <v>46</v>
      </c>
      <c r="AL4472" s="1">
        <v>44816.562430555554</v>
      </c>
      <c r="AM4472" t="s">
        <v>44</v>
      </c>
    </row>
    <row r="4473" spans="1:39" x14ac:dyDescent="0.2">
      <c r="A4473" t="s">
        <v>4202</v>
      </c>
      <c r="B4473" t="s">
        <v>40</v>
      </c>
      <c r="C4473" t="s">
        <v>4157</v>
      </c>
      <c r="D4473" t="s">
        <v>42</v>
      </c>
      <c r="E4473" t="s">
        <v>43</v>
      </c>
      <c r="F4473" t="s">
        <v>44</v>
      </c>
      <c r="G4473" t="s">
        <v>45</v>
      </c>
      <c r="AH4473" t="s">
        <v>42</v>
      </c>
      <c r="AI4473" t="str">
        <f>"66298939442931"</f>
        <v>66298939442931</v>
      </c>
      <c r="AJ4473" t="str">
        <f>"6005-2RS"</f>
        <v>6005-2RS</v>
      </c>
      <c r="AK4473" t="s">
        <v>46</v>
      </c>
      <c r="AL4473" s="1">
        <v>44816.562430555554</v>
      </c>
      <c r="AM4473" t="s">
        <v>44</v>
      </c>
    </row>
    <row r="4474" spans="1:39" x14ac:dyDescent="0.2">
      <c r="A4474" t="s">
        <v>4203</v>
      </c>
      <c r="B4474" t="s">
        <v>40</v>
      </c>
      <c r="C4474" t="s">
        <v>4157</v>
      </c>
      <c r="D4474" t="s">
        <v>42</v>
      </c>
      <c r="E4474" t="s">
        <v>43</v>
      </c>
      <c r="F4474" t="s">
        <v>44</v>
      </c>
      <c r="G4474" t="s">
        <v>45</v>
      </c>
      <c r="AH4474" t="s">
        <v>42</v>
      </c>
      <c r="AI4474" t="str">
        <f>"32005-CN"</f>
        <v>32005-CN</v>
      </c>
      <c r="AJ4474" t="str">
        <f>"32005-CN"</f>
        <v>32005-CN</v>
      </c>
      <c r="AK4474" t="s">
        <v>46</v>
      </c>
      <c r="AL4474" s="1">
        <v>44952.632523148146</v>
      </c>
      <c r="AM4474" t="s">
        <v>44</v>
      </c>
    </row>
    <row r="4475" spans="1:39" x14ac:dyDescent="0.2">
      <c r="A4475" t="s">
        <v>4204</v>
      </c>
      <c r="B4475" t="s">
        <v>40</v>
      </c>
      <c r="C4475" t="s">
        <v>4157</v>
      </c>
      <c r="D4475" t="s">
        <v>42</v>
      </c>
      <c r="E4475" t="s">
        <v>43</v>
      </c>
      <c r="F4475" t="s">
        <v>44</v>
      </c>
      <c r="G4475" t="s">
        <v>45</v>
      </c>
      <c r="AH4475" t="s">
        <v>42</v>
      </c>
      <c r="AI4475" t="str">
        <f>"66298939482967"</f>
        <v>66298939482967</v>
      </c>
      <c r="AJ4475" t="str">
        <f>"30205-CN"</f>
        <v>30205-CN</v>
      </c>
      <c r="AK4475" t="s">
        <v>46</v>
      </c>
      <c r="AL4475" s="1">
        <v>44816.562430555554</v>
      </c>
      <c r="AM4475" t="s">
        <v>44</v>
      </c>
    </row>
    <row r="4476" spans="1:39" x14ac:dyDescent="0.2">
      <c r="A4476" t="s">
        <v>4205</v>
      </c>
      <c r="B4476" t="s">
        <v>40</v>
      </c>
      <c r="C4476" t="s">
        <v>4157</v>
      </c>
      <c r="D4476" t="s">
        <v>42</v>
      </c>
      <c r="E4476" t="s">
        <v>43</v>
      </c>
      <c r="F4476" t="s">
        <v>44</v>
      </c>
      <c r="G4476" t="s">
        <v>45</v>
      </c>
      <c r="AH4476" t="s">
        <v>42</v>
      </c>
      <c r="AI4476" t="str">
        <f>"6205-2RS-CN"</f>
        <v>6205-2RS-CN</v>
      </c>
      <c r="AJ4476" t="str">
        <f>"6205-2RS-CN"</f>
        <v>6205-2RS-CN</v>
      </c>
      <c r="AK4476" t="s">
        <v>46</v>
      </c>
      <c r="AL4476" s="1">
        <v>44952.620567129627</v>
      </c>
      <c r="AM4476" t="s">
        <v>44</v>
      </c>
    </row>
    <row r="4477" spans="1:39" x14ac:dyDescent="0.2">
      <c r="A4477" t="s">
        <v>4206</v>
      </c>
      <c r="B4477" t="s">
        <v>40</v>
      </c>
      <c r="C4477" t="s">
        <v>4157</v>
      </c>
      <c r="D4477" t="s">
        <v>42</v>
      </c>
      <c r="E4477" t="s">
        <v>43</v>
      </c>
      <c r="F4477" t="s">
        <v>44</v>
      </c>
      <c r="G4477" t="s">
        <v>45</v>
      </c>
      <c r="AH4477" t="s">
        <v>42</v>
      </c>
      <c r="AI4477" t="str">
        <f>"66298940486883"</f>
        <v>66298940486883</v>
      </c>
      <c r="AJ4477" t="str">
        <f>"98305AC4"</f>
        <v>98305AC4</v>
      </c>
      <c r="AK4477" t="s">
        <v>46</v>
      </c>
      <c r="AL4477" s="1">
        <v>44816.5625462963</v>
      </c>
      <c r="AM4477" t="s">
        <v>44</v>
      </c>
    </row>
    <row r="4478" spans="1:39" x14ac:dyDescent="0.2">
      <c r="A4478" t="s">
        <v>4207</v>
      </c>
      <c r="B4478" t="s">
        <v>40</v>
      </c>
      <c r="C4478" t="s">
        <v>4157</v>
      </c>
      <c r="D4478" t="s">
        <v>42</v>
      </c>
      <c r="E4478" t="s">
        <v>43</v>
      </c>
      <c r="F4478" t="s">
        <v>44</v>
      </c>
      <c r="G4478" t="s">
        <v>45</v>
      </c>
      <c r="AH4478" t="s">
        <v>42</v>
      </c>
      <c r="AI4478" t="str">
        <f>"66298940309931"</f>
        <v>66298940309931</v>
      </c>
      <c r="AJ4478" t="str">
        <f>"6305RI"</f>
        <v>6305RI</v>
      </c>
      <c r="AK4478" t="s">
        <v>46</v>
      </c>
      <c r="AL4478" s="1">
        <v>44816.562534722223</v>
      </c>
      <c r="AM4478" t="s">
        <v>44</v>
      </c>
    </row>
    <row r="4479" spans="1:39" x14ac:dyDescent="0.2">
      <c r="A4479" t="s">
        <v>4208</v>
      </c>
      <c r="B4479" t="s">
        <v>40</v>
      </c>
      <c r="C4479" t="s">
        <v>4157</v>
      </c>
      <c r="D4479" t="s">
        <v>42</v>
      </c>
      <c r="E4479" t="s">
        <v>43</v>
      </c>
      <c r="F4479" t="s">
        <v>44</v>
      </c>
      <c r="G4479" t="s">
        <v>45</v>
      </c>
      <c r="AH4479" t="s">
        <v>42</v>
      </c>
      <c r="AI4479" t="str">
        <f>"6305-2RS-CN"</f>
        <v>6305-2RS-CN</v>
      </c>
      <c r="AJ4479" t="str">
        <f>"6305-2RS-CN"</f>
        <v>6305-2RS-CN</v>
      </c>
      <c r="AK4479" t="s">
        <v>46</v>
      </c>
      <c r="AL4479" s="1">
        <v>44952.624849537038</v>
      </c>
      <c r="AM4479" t="s">
        <v>44</v>
      </c>
    </row>
    <row r="4480" spans="1:39" x14ac:dyDescent="0.2">
      <c r="A4480" t="s">
        <v>4209</v>
      </c>
      <c r="B4480" t="s">
        <v>40</v>
      </c>
      <c r="C4480" t="s">
        <v>4157</v>
      </c>
      <c r="D4480" t="s">
        <v>42</v>
      </c>
      <c r="E4480" t="s">
        <v>43</v>
      </c>
      <c r="F4480" t="s">
        <v>44</v>
      </c>
      <c r="G4480" t="s">
        <v>45</v>
      </c>
      <c r="AH4480" t="s">
        <v>42</v>
      </c>
      <c r="AI4480" t="str">
        <f>"66298939525939"</f>
        <v>66298939525939</v>
      </c>
      <c r="AJ4480" t="str">
        <f>"6305-2NSE-ICHBN"</f>
        <v>6305-2NSE-ICHBN</v>
      </c>
      <c r="AK4480" t="s">
        <v>46</v>
      </c>
      <c r="AL4480" s="1">
        <v>44816.562442129631</v>
      </c>
      <c r="AM4480" t="s">
        <v>44</v>
      </c>
    </row>
    <row r="4481" spans="1:39" x14ac:dyDescent="0.2">
      <c r="A4481" t="s">
        <v>4210</v>
      </c>
      <c r="B4481" t="s">
        <v>40</v>
      </c>
      <c r="C4481" t="s">
        <v>4157</v>
      </c>
      <c r="D4481" t="s">
        <v>42</v>
      </c>
      <c r="E4481" t="s">
        <v>43</v>
      </c>
      <c r="F4481" t="s">
        <v>44</v>
      </c>
      <c r="G4481" t="s">
        <v>45</v>
      </c>
      <c r="AH4481" t="s">
        <v>42</v>
      </c>
      <c r="AI4481" t="str">
        <f>"66298939568596"</f>
        <v>66298939568596</v>
      </c>
      <c r="AJ4481" t="str">
        <f>"6305-2RS"</f>
        <v>6305-2RS</v>
      </c>
      <c r="AK4481" t="s">
        <v>46</v>
      </c>
      <c r="AL4481" s="1">
        <v>44816.562442129631</v>
      </c>
      <c r="AM4481" t="s">
        <v>44</v>
      </c>
    </row>
    <row r="4482" spans="1:39" x14ac:dyDescent="0.2">
      <c r="A4482" t="s">
        <v>4211</v>
      </c>
      <c r="B4482" t="s">
        <v>40</v>
      </c>
      <c r="C4482" t="s">
        <v>4157</v>
      </c>
      <c r="D4482" t="s">
        <v>42</v>
      </c>
      <c r="E4482" t="s">
        <v>43</v>
      </c>
      <c r="F4482" t="s">
        <v>44</v>
      </c>
      <c r="G4482" t="s">
        <v>45</v>
      </c>
      <c r="AH4482" t="s">
        <v>42</v>
      </c>
      <c r="AI4482" t="str">
        <f>"66298940572433"</f>
        <v>66298940572433</v>
      </c>
      <c r="AJ4482" t="str">
        <f>"SAC2647-1"</f>
        <v>SAC2647-1</v>
      </c>
      <c r="AK4482" t="s">
        <v>46</v>
      </c>
      <c r="AL4482" s="1">
        <v>44816.562557870369</v>
      </c>
      <c r="AM4482" t="s">
        <v>44</v>
      </c>
    </row>
    <row r="4483" spans="1:39" x14ac:dyDescent="0.2">
      <c r="A4483" t="s">
        <v>4212</v>
      </c>
      <c r="B4483" t="s">
        <v>40</v>
      </c>
      <c r="C4483" t="s">
        <v>4157</v>
      </c>
      <c r="D4483" t="s">
        <v>42</v>
      </c>
      <c r="E4483" t="s">
        <v>43</v>
      </c>
      <c r="F4483" t="s">
        <v>44</v>
      </c>
      <c r="G4483" t="s">
        <v>45</v>
      </c>
      <c r="AH4483" t="s">
        <v>42</v>
      </c>
      <c r="AI4483" t="str">
        <f>"66298940616884"</f>
        <v>66298940616884</v>
      </c>
      <c r="AJ4483" t="str">
        <f>"1070"</f>
        <v>1070</v>
      </c>
      <c r="AK4483" t="s">
        <v>46</v>
      </c>
      <c r="AL4483" s="1">
        <v>44816.562569444446</v>
      </c>
      <c r="AM4483" t="s">
        <v>44</v>
      </c>
    </row>
    <row r="4484" spans="1:39" x14ac:dyDescent="0.2">
      <c r="A4484" t="s">
        <v>4213</v>
      </c>
      <c r="B4484" t="s">
        <v>40</v>
      </c>
      <c r="C4484" t="s">
        <v>4157</v>
      </c>
      <c r="D4484" t="s">
        <v>42</v>
      </c>
      <c r="E4484" t="s">
        <v>43</v>
      </c>
      <c r="F4484" t="s">
        <v>44</v>
      </c>
      <c r="G4484" t="s">
        <v>45</v>
      </c>
      <c r="AH4484" t="s">
        <v>42</v>
      </c>
      <c r="AI4484" t="str">
        <f>"66298939608431"</f>
        <v>66298939608431</v>
      </c>
      <c r="AJ4484" t="str">
        <f>"62/28-2RS"</f>
        <v>62/28-2RS</v>
      </c>
      <c r="AK4484" t="s">
        <v>46</v>
      </c>
      <c r="AL4484" s="1">
        <v>44816.5624537037</v>
      </c>
      <c r="AM4484" t="s">
        <v>44</v>
      </c>
    </row>
    <row r="4485" spans="1:39" x14ac:dyDescent="0.2">
      <c r="A4485" t="s">
        <v>4214</v>
      </c>
      <c r="B4485" t="s">
        <v>40</v>
      </c>
      <c r="C4485" t="s">
        <v>4157</v>
      </c>
      <c r="D4485" t="s">
        <v>42</v>
      </c>
      <c r="E4485" t="s">
        <v>43</v>
      </c>
      <c r="F4485" t="s">
        <v>44</v>
      </c>
      <c r="G4485" t="s">
        <v>45</v>
      </c>
      <c r="AH4485" t="s">
        <v>42</v>
      </c>
      <c r="AI4485" t="str">
        <f>"66298939653043"</f>
        <v>66298939653043</v>
      </c>
      <c r="AJ4485" t="str">
        <f>"83024"</f>
        <v>83024</v>
      </c>
      <c r="AK4485" t="s">
        <v>46</v>
      </c>
      <c r="AL4485" s="1">
        <v>44816.5624537037</v>
      </c>
      <c r="AM4485" t="s">
        <v>44</v>
      </c>
    </row>
    <row r="4486" spans="1:39" x14ac:dyDescent="0.2">
      <c r="A4486" t="s">
        <v>4215</v>
      </c>
      <c r="B4486" t="s">
        <v>40</v>
      </c>
      <c r="C4486" t="s">
        <v>4157</v>
      </c>
      <c r="D4486" t="s">
        <v>42</v>
      </c>
      <c r="E4486" t="s">
        <v>43</v>
      </c>
      <c r="F4486" t="s">
        <v>44</v>
      </c>
      <c r="G4486" t="s">
        <v>45</v>
      </c>
      <c r="AH4486" t="s">
        <v>42</v>
      </c>
      <c r="AI4486" t="str">
        <f>"66298940386029"</f>
        <v>66298940386029</v>
      </c>
      <c r="AJ4486" t="str">
        <f>"28BCS15NSL2"</f>
        <v>28BCS15NSL2</v>
      </c>
      <c r="AK4486" t="s">
        <v>46</v>
      </c>
      <c r="AL4486" s="1">
        <v>44816.562534722223</v>
      </c>
      <c r="AM4486" t="s">
        <v>44</v>
      </c>
    </row>
    <row r="4487" spans="1:39" x14ac:dyDescent="0.2">
      <c r="A4487" t="s">
        <v>4216</v>
      </c>
      <c r="B4487" t="s">
        <v>40</v>
      </c>
      <c r="C4487" t="s">
        <v>4157</v>
      </c>
      <c r="D4487" t="s">
        <v>42</v>
      </c>
      <c r="E4487" t="s">
        <v>43</v>
      </c>
      <c r="F4487" t="s">
        <v>44</v>
      </c>
      <c r="G4487" t="s">
        <v>45</v>
      </c>
      <c r="AH4487" t="s">
        <v>42</v>
      </c>
      <c r="AI4487" t="str">
        <f>"66300304170647"</f>
        <v>66300304170647</v>
      </c>
      <c r="AJ4487" t="str">
        <f>"91001-KPF-901GH"</f>
        <v>91001-KPF-901GH</v>
      </c>
      <c r="AK4487" t="s">
        <v>46</v>
      </c>
      <c r="AL4487" s="1">
        <v>44816.720381944448</v>
      </c>
      <c r="AM4487" t="s">
        <v>44</v>
      </c>
    </row>
    <row r="4488" spans="1:39" x14ac:dyDescent="0.2">
      <c r="A4488" t="s">
        <v>4217</v>
      </c>
      <c r="B4488" t="s">
        <v>40</v>
      </c>
      <c r="C4488" t="s">
        <v>4157</v>
      </c>
      <c r="D4488" t="s">
        <v>42</v>
      </c>
      <c r="E4488" t="s">
        <v>43</v>
      </c>
      <c r="F4488" t="s">
        <v>44</v>
      </c>
      <c r="G4488" t="s">
        <v>45</v>
      </c>
      <c r="AH4488" t="s">
        <v>42</v>
      </c>
      <c r="AI4488" t="str">
        <f>"66298939695933"</f>
        <v>66298939695933</v>
      </c>
      <c r="AJ4488" t="str">
        <f>"6906-2RS"</f>
        <v>6906-2RS</v>
      </c>
      <c r="AK4488" t="s">
        <v>46</v>
      </c>
      <c r="AL4488" s="1">
        <v>44816.5624537037</v>
      </c>
      <c r="AM4488" t="s">
        <v>44</v>
      </c>
    </row>
    <row r="4489" spans="1:39" x14ac:dyDescent="0.2">
      <c r="A4489" t="s">
        <v>4218</v>
      </c>
      <c r="B4489" t="s">
        <v>40</v>
      </c>
      <c r="C4489" t="s">
        <v>4157</v>
      </c>
      <c r="D4489" t="s">
        <v>42</v>
      </c>
      <c r="E4489" t="s">
        <v>43</v>
      </c>
      <c r="F4489" t="s">
        <v>44</v>
      </c>
      <c r="G4489" t="s">
        <v>45</v>
      </c>
      <c r="AH4489" t="s">
        <v>42</v>
      </c>
      <c r="AI4489" t="str">
        <f>"6006-2RS-CN"</f>
        <v>6006-2RS-CN</v>
      </c>
      <c r="AJ4489" t="str">
        <f>"6006-2RS-CN"</f>
        <v>6006-2RS-CN</v>
      </c>
      <c r="AK4489" t="s">
        <v>46</v>
      </c>
      <c r="AL4489" s="1">
        <v>44952.618819444448</v>
      </c>
      <c r="AM4489" t="s">
        <v>44</v>
      </c>
    </row>
    <row r="4490" spans="1:39" x14ac:dyDescent="0.2">
      <c r="A4490" t="s">
        <v>4219</v>
      </c>
      <c r="B4490" t="s">
        <v>40</v>
      </c>
      <c r="C4490" t="s">
        <v>4157</v>
      </c>
      <c r="D4490" t="s">
        <v>42</v>
      </c>
      <c r="E4490" t="s">
        <v>43</v>
      </c>
      <c r="F4490" t="s">
        <v>44</v>
      </c>
      <c r="G4490" t="s">
        <v>45</v>
      </c>
      <c r="AH4490" t="s">
        <v>42</v>
      </c>
      <c r="AI4490" t="str">
        <f>"66298939738265"</f>
        <v>66298939738265</v>
      </c>
      <c r="AJ4490" t="str">
        <f>"6006-2RS"</f>
        <v>6006-2RS</v>
      </c>
      <c r="AK4490" t="s">
        <v>46</v>
      </c>
      <c r="AL4490" s="1">
        <v>44816.562465277777</v>
      </c>
      <c r="AM4490" t="s">
        <v>44</v>
      </c>
    </row>
    <row r="4491" spans="1:39" x14ac:dyDescent="0.2">
      <c r="A4491" t="s">
        <v>4220</v>
      </c>
      <c r="B4491" t="s">
        <v>40</v>
      </c>
      <c r="C4491" t="s">
        <v>4157</v>
      </c>
      <c r="D4491" t="s">
        <v>42</v>
      </c>
      <c r="E4491" t="s">
        <v>43</v>
      </c>
      <c r="F4491" t="s">
        <v>44</v>
      </c>
      <c r="G4491" t="s">
        <v>45</v>
      </c>
      <c r="AH4491" t="s">
        <v>42</v>
      </c>
      <c r="AI4491" t="str">
        <f>"66298939778267"</f>
        <v>66298939778267</v>
      </c>
      <c r="AJ4491" t="str">
        <f>"32006-CN"</f>
        <v>32006-CN</v>
      </c>
      <c r="AK4491" t="s">
        <v>46</v>
      </c>
      <c r="AL4491" s="1">
        <v>44816.562465277777</v>
      </c>
      <c r="AM4491" t="s">
        <v>44</v>
      </c>
    </row>
    <row r="4492" spans="1:39" x14ac:dyDescent="0.2">
      <c r="A4492" t="s">
        <v>4221</v>
      </c>
      <c r="B4492" t="s">
        <v>40</v>
      </c>
      <c r="C4492" t="s">
        <v>4157</v>
      </c>
      <c r="D4492" t="s">
        <v>42</v>
      </c>
      <c r="E4492" t="s">
        <v>43</v>
      </c>
      <c r="F4492" t="s">
        <v>44</v>
      </c>
      <c r="G4492" t="s">
        <v>45</v>
      </c>
      <c r="AH4492" t="s">
        <v>42</v>
      </c>
      <c r="AI4492" t="str">
        <f>"66298940658463"</f>
        <v>66298940658463</v>
      </c>
      <c r="AJ4492" t="str">
        <f>"SAC-3055-1"</f>
        <v>SAC-3055-1</v>
      </c>
      <c r="AK4492" t="s">
        <v>46</v>
      </c>
      <c r="AL4492" s="1">
        <v>44816.562569444446</v>
      </c>
      <c r="AM4492" t="s">
        <v>44</v>
      </c>
    </row>
    <row r="4493" spans="1:39" x14ac:dyDescent="0.2">
      <c r="A4493" t="s">
        <v>4222</v>
      </c>
      <c r="B4493" t="s">
        <v>40</v>
      </c>
      <c r="C4493" t="s">
        <v>4157</v>
      </c>
      <c r="D4493" t="s">
        <v>42</v>
      </c>
      <c r="E4493" t="s">
        <v>43</v>
      </c>
      <c r="F4493" t="s">
        <v>44</v>
      </c>
      <c r="G4493" t="s">
        <v>45</v>
      </c>
      <c r="AH4493" t="s">
        <v>42</v>
      </c>
      <c r="AI4493" t="str">
        <f>"66298939825999"</f>
        <v>66298939825999</v>
      </c>
      <c r="AJ4493" t="str">
        <f>"6206-ZZ-ICHBN"</f>
        <v>6206-ZZ-ICHBN</v>
      </c>
      <c r="AK4493" t="s">
        <v>46</v>
      </c>
      <c r="AL4493" s="1">
        <v>44816.562476851854</v>
      </c>
      <c r="AM4493" t="s">
        <v>44</v>
      </c>
    </row>
    <row r="4494" spans="1:39" x14ac:dyDescent="0.2">
      <c r="A4494" t="s">
        <v>4222</v>
      </c>
      <c r="B4494" t="s">
        <v>40</v>
      </c>
      <c r="C4494" t="s">
        <v>4157</v>
      </c>
      <c r="D4494" t="s">
        <v>42</v>
      </c>
      <c r="E4494" t="s">
        <v>43</v>
      </c>
      <c r="F4494" t="s">
        <v>44</v>
      </c>
      <c r="G4494" t="s">
        <v>45</v>
      </c>
      <c r="AH4494" t="s">
        <v>42</v>
      </c>
      <c r="AI4494" t="str">
        <f>"66298939833181"</f>
        <v>66298939833181</v>
      </c>
      <c r="AJ4494" t="str">
        <f>"6206-2RS-ICHBN"</f>
        <v>6206-2RS-ICHBN</v>
      </c>
      <c r="AK4494" t="s">
        <v>46</v>
      </c>
      <c r="AL4494" s="1">
        <v>44816.562476851854</v>
      </c>
      <c r="AM4494" t="s">
        <v>44</v>
      </c>
    </row>
    <row r="4495" spans="1:39" x14ac:dyDescent="0.2">
      <c r="A4495" t="s">
        <v>4223</v>
      </c>
      <c r="B4495" t="s">
        <v>40</v>
      </c>
      <c r="C4495" t="s">
        <v>4157</v>
      </c>
      <c r="D4495" t="s">
        <v>42</v>
      </c>
      <c r="E4495" t="s">
        <v>43</v>
      </c>
      <c r="F4495" t="s">
        <v>44</v>
      </c>
      <c r="G4495" t="s">
        <v>45</v>
      </c>
      <c r="AH4495" t="s">
        <v>42</v>
      </c>
      <c r="AI4495" t="str">
        <f>"66298939885613"</f>
        <v>66298939885613</v>
      </c>
      <c r="AJ4495" t="str">
        <f>"6306/17-2RS"</f>
        <v>6306/17-2RS</v>
      </c>
      <c r="AK4495" t="s">
        <v>46</v>
      </c>
      <c r="AL4495" s="1">
        <v>44816.562476851854</v>
      </c>
      <c r="AM4495" t="s">
        <v>44</v>
      </c>
    </row>
    <row r="4496" spans="1:39" x14ac:dyDescent="0.2">
      <c r="A4496" t="s">
        <v>4224</v>
      </c>
      <c r="B4496" t="s">
        <v>40</v>
      </c>
      <c r="C4496" t="s">
        <v>4157</v>
      </c>
      <c r="D4496" t="s">
        <v>42</v>
      </c>
      <c r="E4496" t="s">
        <v>43</v>
      </c>
      <c r="F4496" t="s">
        <v>44</v>
      </c>
      <c r="G4496" t="s">
        <v>45</v>
      </c>
      <c r="AH4496" t="s">
        <v>42</v>
      </c>
      <c r="AI4496" t="str">
        <f>"66298939925063"</f>
        <v>66298939925063</v>
      </c>
      <c r="AJ4496" t="str">
        <f>"6306-ZNR-ICH"</f>
        <v>6306-ZNR-ICH</v>
      </c>
      <c r="AK4496" t="s">
        <v>46</v>
      </c>
      <c r="AL4496" s="1">
        <v>44816.562488425923</v>
      </c>
      <c r="AM4496" t="s">
        <v>44</v>
      </c>
    </row>
    <row r="4497" spans="1:39" x14ac:dyDescent="0.2">
      <c r="A4497" t="s">
        <v>4225</v>
      </c>
      <c r="B4497" t="s">
        <v>40</v>
      </c>
      <c r="C4497" t="s">
        <v>4157</v>
      </c>
      <c r="D4497" t="s">
        <v>42</v>
      </c>
      <c r="E4497" t="s">
        <v>43</v>
      </c>
      <c r="F4497" t="s">
        <v>44</v>
      </c>
      <c r="G4497" t="s">
        <v>45</v>
      </c>
      <c r="AH4497" t="s">
        <v>43</v>
      </c>
      <c r="AI4497" t="str">
        <f>"6207-C3-KOYO"</f>
        <v>6207-C3-KOYO</v>
      </c>
      <c r="AJ4497" t="str">
        <f>"6207-C3-KOYO"</f>
        <v>6207-C3-KOYO</v>
      </c>
      <c r="AK4497" t="s">
        <v>46</v>
      </c>
      <c r="AL4497" s="1">
        <v>44881.724351851852</v>
      </c>
      <c r="AM4497" t="s">
        <v>44</v>
      </c>
    </row>
    <row r="4498" spans="1:39" x14ac:dyDescent="0.2">
      <c r="A4498" t="s">
        <v>4226</v>
      </c>
      <c r="B4498" t="s">
        <v>40</v>
      </c>
      <c r="C4498" t="s">
        <v>4157</v>
      </c>
      <c r="D4498" t="s">
        <v>42</v>
      </c>
      <c r="E4498" t="s">
        <v>43</v>
      </c>
      <c r="F4498" t="s">
        <v>44</v>
      </c>
      <c r="G4498" t="s">
        <v>45</v>
      </c>
      <c r="AH4498" t="s">
        <v>42</v>
      </c>
      <c r="AI4498" t="str">
        <f>"6007-2RS-CN"</f>
        <v>6007-2RS-CN</v>
      </c>
      <c r="AJ4498" t="str">
        <f>"6007-2RS-CN"</f>
        <v>6007-2RS-CN</v>
      </c>
      <c r="AK4498" t="s">
        <v>46</v>
      </c>
      <c r="AL4498" s="1">
        <v>44952.618113425924</v>
      </c>
      <c r="AM4498" t="s">
        <v>44</v>
      </c>
    </row>
    <row r="4499" spans="1:39" x14ac:dyDescent="0.2">
      <c r="A4499" t="s">
        <v>4227</v>
      </c>
      <c r="B4499" t="s">
        <v>40</v>
      </c>
      <c r="C4499" t="s">
        <v>4157</v>
      </c>
      <c r="D4499" t="s">
        <v>42</v>
      </c>
      <c r="E4499" t="s">
        <v>43</v>
      </c>
      <c r="F4499" t="s">
        <v>44</v>
      </c>
      <c r="G4499" t="s">
        <v>45</v>
      </c>
      <c r="AH4499" t="s">
        <v>42</v>
      </c>
      <c r="AI4499" t="str">
        <f>"66298939967055"</f>
        <v>66298939967055</v>
      </c>
      <c r="AJ4499" t="str">
        <f>"6207-2RSC3"</f>
        <v>6207-2RSC3</v>
      </c>
      <c r="AK4499" t="s">
        <v>46</v>
      </c>
      <c r="AL4499" s="1">
        <v>44816.562488425923</v>
      </c>
      <c r="AM4499" t="s">
        <v>44</v>
      </c>
    </row>
    <row r="4500" spans="1:39" x14ac:dyDescent="0.2">
      <c r="A4500" t="s">
        <v>4228</v>
      </c>
      <c r="B4500" t="s">
        <v>40</v>
      </c>
      <c r="C4500" t="s">
        <v>4157</v>
      </c>
      <c r="D4500" t="s">
        <v>42</v>
      </c>
      <c r="E4500" t="s">
        <v>43</v>
      </c>
      <c r="F4500" t="s">
        <v>44</v>
      </c>
      <c r="G4500" t="s">
        <v>45</v>
      </c>
      <c r="AH4500" t="s">
        <v>42</v>
      </c>
      <c r="AI4500" t="str">
        <f>"66298940439238"</f>
        <v>66298940439238</v>
      </c>
      <c r="AJ4500" t="str">
        <f>"6207-C3"</f>
        <v>6207-C3</v>
      </c>
      <c r="AK4500" t="s">
        <v>46</v>
      </c>
      <c r="AL4500" s="1">
        <v>44816.5625462963</v>
      </c>
      <c r="AM4500" t="s">
        <v>44</v>
      </c>
    </row>
    <row r="4501" spans="1:39" x14ac:dyDescent="0.2">
      <c r="A4501" t="s">
        <v>4229</v>
      </c>
      <c r="B4501" t="s">
        <v>40</v>
      </c>
      <c r="C4501" t="s">
        <v>4157</v>
      </c>
      <c r="D4501" t="s">
        <v>42</v>
      </c>
      <c r="E4501" t="s">
        <v>43</v>
      </c>
      <c r="F4501" t="s">
        <v>44</v>
      </c>
      <c r="G4501" t="s">
        <v>45</v>
      </c>
      <c r="AH4501" t="s">
        <v>42</v>
      </c>
      <c r="AI4501" t="str">
        <f>"66298940019351"</f>
        <v>66298940019351</v>
      </c>
      <c r="AJ4501" t="str">
        <f>"6307-ZNR-ICHBN"</f>
        <v>6307-ZNR-ICHBN</v>
      </c>
      <c r="AK4501" t="s">
        <v>46</v>
      </c>
      <c r="AL4501" s="1">
        <v>44816.5625</v>
      </c>
      <c r="AM4501" t="s">
        <v>44</v>
      </c>
    </row>
    <row r="4502" spans="1:39" x14ac:dyDescent="0.2">
      <c r="A4502" t="s">
        <v>4230</v>
      </c>
      <c r="B4502" t="s">
        <v>40</v>
      </c>
      <c r="C4502" t="s">
        <v>4157</v>
      </c>
      <c r="D4502" t="s">
        <v>42</v>
      </c>
      <c r="E4502" t="s">
        <v>43</v>
      </c>
      <c r="F4502" t="s">
        <v>44</v>
      </c>
      <c r="G4502" t="s">
        <v>45</v>
      </c>
      <c r="H4502" t="s">
        <v>4231</v>
      </c>
      <c r="AH4502" t="s">
        <v>42</v>
      </c>
      <c r="AI4502" t="str">
        <f>"6908ZZCM"</f>
        <v>6908ZZCM</v>
      </c>
      <c r="AJ4502" t="str">
        <f>"6908ZZCM"</f>
        <v>6908ZZCM</v>
      </c>
      <c r="AK4502" t="s">
        <v>46</v>
      </c>
      <c r="AL4502" s="1">
        <v>44816.5625</v>
      </c>
      <c r="AM4502" t="s">
        <v>44</v>
      </c>
    </row>
    <row r="4503" spans="1:39" x14ac:dyDescent="0.2">
      <c r="A4503" t="s">
        <v>4232</v>
      </c>
      <c r="B4503" t="s">
        <v>40</v>
      </c>
      <c r="C4503" t="s">
        <v>4157</v>
      </c>
      <c r="D4503" t="s">
        <v>42</v>
      </c>
      <c r="E4503" t="s">
        <v>43</v>
      </c>
      <c r="F4503" t="s">
        <v>44</v>
      </c>
      <c r="G4503" t="s">
        <v>45</v>
      </c>
      <c r="AH4503" t="s">
        <v>42</v>
      </c>
      <c r="AI4503" t="str">
        <f>"6008-2RS"</f>
        <v>6008-2RS</v>
      </c>
      <c r="AJ4503" t="str">
        <f>"6008-2RS"</f>
        <v>6008-2RS</v>
      </c>
      <c r="AK4503" t="s">
        <v>46</v>
      </c>
      <c r="AL4503" s="1">
        <v>44952.541087962964</v>
      </c>
      <c r="AM4503" t="s">
        <v>44</v>
      </c>
    </row>
    <row r="4504" spans="1:39" x14ac:dyDescent="0.2">
      <c r="A4504" t="s">
        <v>4233</v>
      </c>
      <c r="B4504" t="s">
        <v>40</v>
      </c>
      <c r="C4504" t="s">
        <v>4157</v>
      </c>
      <c r="D4504" t="s">
        <v>42</v>
      </c>
      <c r="E4504" t="s">
        <v>43</v>
      </c>
      <c r="F4504" t="s">
        <v>44</v>
      </c>
      <c r="G4504" t="s">
        <v>45</v>
      </c>
      <c r="AH4504" t="s">
        <v>42</v>
      </c>
      <c r="AI4504" t="str">
        <f>"66298940101219"</f>
        <v>66298940101219</v>
      </c>
      <c r="AJ4504" t="str">
        <f>"DG-4070-A"</f>
        <v>DG-4070-A</v>
      </c>
      <c r="AK4504" t="s">
        <v>46</v>
      </c>
      <c r="AL4504" s="1">
        <v>44816.562511574077</v>
      </c>
      <c r="AM4504" t="s">
        <v>44</v>
      </c>
    </row>
    <row r="4505" spans="1:39" x14ac:dyDescent="0.2">
      <c r="A4505" t="s">
        <v>4234</v>
      </c>
      <c r="B4505" t="s">
        <v>40</v>
      </c>
      <c r="C4505" t="s">
        <v>4157</v>
      </c>
      <c r="D4505" t="s">
        <v>42</v>
      </c>
      <c r="E4505" t="s">
        <v>43</v>
      </c>
      <c r="F4505" t="s">
        <v>44</v>
      </c>
      <c r="G4505" t="s">
        <v>45</v>
      </c>
      <c r="AH4505" t="s">
        <v>42</v>
      </c>
      <c r="AI4505" t="str">
        <f>"66298940188147"</f>
        <v>66298940188147</v>
      </c>
      <c r="AJ4505" t="str">
        <f>"30208-CN"</f>
        <v>30208-CN</v>
      </c>
      <c r="AK4505" t="s">
        <v>46</v>
      </c>
      <c r="AL4505" s="1">
        <v>44816.562511574077</v>
      </c>
      <c r="AM4505" t="s">
        <v>44</v>
      </c>
    </row>
    <row r="4506" spans="1:39" x14ac:dyDescent="0.2">
      <c r="A4506" t="s">
        <v>4235</v>
      </c>
      <c r="B4506" t="s">
        <v>40</v>
      </c>
      <c r="C4506" t="s">
        <v>50</v>
      </c>
      <c r="D4506" t="s">
        <v>42</v>
      </c>
      <c r="E4506" t="s">
        <v>43</v>
      </c>
      <c r="F4506" t="s">
        <v>44</v>
      </c>
      <c r="G4506" t="s">
        <v>45</v>
      </c>
      <c r="AH4506" t="s">
        <v>42</v>
      </c>
      <c r="AI4506" t="str">
        <f>"66298940829368"</f>
        <v>66298940829368</v>
      </c>
      <c r="AJ4506" t="str">
        <f>"817"</f>
        <v>817</v>
      </c>
      <c r="AK4506" t="s">
        <v>46</v>
      </c>
      <c r="AL4506" s="1">
        <v>44816.562592592592</v>
      </c>
      <c r="AM4506" t="s">
        <v>44</v>
      </c>
    </row>
    <row r="4507" spans="1:39" x14ac:dyDescent="0.2">
      <c r="A4507" t="s">
        <v>4236</v>
      </c>
      <c r="B4507" t="s">
        <v>40</v>
      </c>
      <c r="C4507" t="s">
        <v>50</v>
      </c>
      <c r="D4507" t="s">
        <v>42</v>
      </c>
      <c r="E4507" t="s">
        <v>43</v>
      </c>
      <c r="F4507" t="s">
        <v>44</v>
      </c>
      <c r="G4507" t="s">
        <v>45</v>
      </c>
      <c r="AH4507" t="s">
        <v>42</v>
      </c>
      <c r="AI4507" t="str">
        <f>"66298940874552"</f>
        <v>66298940874552</v>
      </c>
      <c r="AJ4507" t="str">
        <f>"1382"</f>
        <v>1382</v>
      </c>
      <c r="AK4507" t="s">
        <v>46</v>
      </c>
      <c r="AL4507" s="1">
        <v>44816.562592592592</v>
      </c>
      <c r="AM4507" t="s">
        <v>44</v>
      </c>
    </row>
    <row r="4508" spans="1:39" x14ac:dyDescent="0.2">
      <c r="A4508" t="s">
        <v>4237</v>
      </c>
      <c r="B4508" t="s">
        <v>40</v>
      </c>
      <c r="C4508" t="s">
        <v>50</v>
      </c>
      <c r="D4508" t="s">
        <v>42</v>
      </c>
      <c r="E4508" t="s">
        <v>43</v>
      </c>
      <c r="F4508" t="s">
        <v>44</v>
      </c>
      <c r="G4508" t="s">
        <v>45</v>
      </c>
      <c r="AH4508" t="s">
        <v>42</v>
      </c>
      <c r="AI4508" t="str">
        <f>"66298940922228"</f>
        <v>66298940922228</v>
      </c>
      <c r="AJ4508" t="str">
        <f>"4158"</f>
        <v>4158</v>
      </c>
      <c r="AK4508" t="s">
        <v>46</v>
      </c>
      <c r="AL4508" s="1">
        <v>44816.562604166669</v>
      </c>
      <c r="AM4508" t="s">
        <v>44</v>
      </c>
    </row>
    <row r="4509" spans="1:39" x14ac:dyDescent="0.2">
      <c r="A4509" t="s">
        <v>4237</v>
      </c>
      <c r="B4509" t="s">
        <v>40</v>
      </c>
      <c r="C4509" t="s">
        <v>50</v>
      </c>
      <c r="D4509" t="s">
        <v>42</v>
      </c>
      <c r="E4509" t="s">
        <v>43</v>
      </c>
      <c r="F4509" t="s">
        <v>44</v>
      </c>
      <c r="G4509" t="s">
        <v>45</v>
      </c>
      <c r="AH4509" t="s">
        <v>42</v>
      </c>
      <c r="AI4509" t="str">
        <f>"WA032"</f>
        <v>WA032</v>
      </c>
      <c r="AJ4509" t="str">
        <f>"WA032"</f>
        <v>WA032</v>
      </c>
      <c r="AK4509" t="s">
        <v>46</v>
      </c>
      <c r="AL4509" s="1">
        <v>45093.895648148151</v>
      </c>
      <c r="AM4509" t="s">
        <v>44</v>
      </c>
    </row>
    <row r="4510" spans="1:39" x14ac:dyDescent="0.2">
      <c r="A4510" t="s">
        <v>4238</v>
      </c>
      <c r="B4510" t="s">
        <v>40</v>
      </c>
      <c r="C4510" t="s">
        <v>50</v>
      </c>
      <c r="D4510" t="s">
        <v>42</v>
      </c>
      <c r="E4510" t="s">
        <v>43</v>
      </c>
      <c r="F4510" t="s">
        <v>44</v>
      </c>
      <c r="G4510" t="s">
        <v>45</v>
      </c>
      <c r="AH4510" t="s">
        <v>42</v>
      </c>
      <c r="AI4510" t="str">
        <f>"66298940787514"</f>
        <v>66298940787514</v>
      </c>
      <c r="AJ4510" t="str">
        <f>"1365"</f>
        <v>1365</v>
      </c>
      <c r="AK4510" t="s">
        <v>46</v>
      </c>
      <c r="AL4510" s="1">
        <v>44816.562581018516</v>
      </c>
      <c r="AM4510" t="s">
        <v>44</v>
      </c>
    </row>
    <row r="4511" spans="1:39" x14ac:dyDescent="0.2">
      <c r="A4511" t="s">
        <v>4239</v>
      </c>
      <c r="B4511" t="s">
        <v>40</v>
      </c>
      <c r="C4511" t="s">
        <v>50</v>
      </c>
      <c r="D4511" t="s">
        <v>42</v>
      </c>
      <c r="E4511" t="s">
        <v>43</v>
      </c>
      <c r="F4511" t="s">
        <v>44</v>
      </c>
      <c r="G4511" t="s">
        <v>45</v>
      </c>
      <c r="AH4511" t="s">
        <v>42</v>
      </c>
      <c r="AI4511" t="str">
        <f>"66298940962453"</f>
        <v>66298940962453</v>
      </c>
      <c r="AJ4511" t="str">
        <f>"WA055-AMARILLO"</f>
        <v>WA055-AMARILLO</v>
      </c>
      <c r="AK4511" t="s">
        <v>46</v>
      </c>
      <c r="AL4511" s="1">
        <v>44816.562604166669</v>
      </c>
      <c r="AM4511" t="s">
        <v>44</v>
      </c>
    </row>
    <row r="4512" spans="1:39" x14ac:dyDescent="0.2">
      <c r="A4512" t="s">
        <v>4240</v>
      </c>
      <c r="B4512" t="s">
        <v>40</v>
      </c>
      <c r="C4512" t="s">
        <v>50</v>
      </c>
      <c r="D4512" t="s">
        <v>42</v>
      </c>
      <c r="E4512" t="s">
        <v>43</v>
      </c>
      <c r="F4512" t="s">
        <v>44</v>
      </c>
      <c r="G4512" t="s">
        <v>45</v>
      </c>
      <c r="AH4512" t="s">
        <v>42</v>
      </c>
      <c r="AI4512" t="str">
        <f>"66298941005248"</f>
        <v>66298941005248</v>
      </c>
      <c r="AJ4512" t="str">
        <f>"WA055-BLANCO"</f>
        <v>WA055-BLANCO</v>
      </c>
      <c r="AK4512" t="s">
        <v>46</v>
      </c>
      <c r="AL4512" s="1">
        <v>44816.562615740739</v>
      </c>
      <c r="AM4512" t="s">
        <v>44</v>
      </c>
    </row>
    <row r="4513" spans="1:39" x14ac:dyDescent="0.2">
      <c r="A4513" t="s">
        <v>4241</v>
      </c>
      <c r="B4513" t="s">
        <v>40</v>
      </c>
      <c r="C4513" t="s">
        <v>50</v>
      </c>
      <c r="D4513" t="s">
        <v>42</v>
      </c>
      <c r="E4513" t="s">
        <v>43</v>
      </c>
      <c r="F4513" t="s">
        <v>44</v>
      </c>
      <c r="G4513" t="s">
        <v>45</v>
      </c>
      <c r="AH4513" t="s">
        <v>42</v>
      </c>
      <c r="AI4513" t="str">
        <f>"66298941044965"</f>
        <v>66298941044965</v>
      </c>
      <c r="AJ4513" t="str">
        <f>"WA055-CELESTE"</f>
        <v>WA055-CELESTE</v>
      </c>
      <c r="AK4513" t="s">
        <v>46</v>
      </c>
      <c r="AL4513" s="1">
        <v>44816.562615740739</v>
      </c>
      <c r="AM4513" t="s">
        <v>44</v>
      </c>
    </row>
    <row r="4514" spans="1:39" x14ac:dyDescent="0.2">
      <c r="A4514" t="s">
        <v>4242</v>
      </c>
      <c r="B4514" t="s">
        <v>40</v>
      </c>
      <c r="C4514" t="s">
        <v>129</v>
      </c>
      <c r="D4514" t="s">
        <v>42</v>
      </c>
      <c r="E4514" t="s">
        <v>43</v>
      </c>
      <c r="F4514" t="s">
        <v>44</v>
      </c>
      <c r="G4514" t="s">
        <v>45</v>
      </c>
      <c r="AH4514" t="s">
        <v>42</v>
      </c>
      <c r="AI4514" t="str">
        <f>"66298941087470"</f>
        <v>66298941087470</v>
      </c>
      <c r="AJ4514" t="str">
        <f>"400769"</f>
        <v>400769</v>
      </c>
      <c r="AK4514" t="s">
        <v>46</v>
      </c>
      <c r="AL4514" s="1">
        <v>44816.562615740739</v>
      </c>
      <c r="AM4514" t="s">
        <v>44</v>
      </c>
    </row>
    <row r="4515" spans="1:39" x14ac:dyDescent="0.2">
      <c r="A4515" t="s">
        <v>4243</v>
      </c>
      <c r="B4515" t="s">
        <v>40</v>
      </c>
      <c r="C4515" t="s">
        <v>129</v>
      </c>
      <c r="D4515" t="s">
        <v>42</v>
      </c>
      <c r="E4515" t="s">
        <v>43</v>
      </c>
      <c r="F4515" t="s">
        <v>44</v>
      </c>
      <c r="G4515" t="s">
        <v>45</v>
      </c>
      <c r="AH4515" t="s">
        <v>42</v>
      </c>
      <c r="AI4515" t="str">
        <f>"66298941132041"</f>
        <v>66298941132041</v>
      </c>
      <c r="AJ4515" t="str">
        <f>"B095B"</f>
        <v>B095B</v>
      </c>
      <c r="AK4515" t="s">
        <v>46</v>
      </c>
      <c r="AL4515" s="1">
        <v>44816.562627314815</v>
      </c>
      <c r="AM4515" t="s">
        <v>44</v>
      </c>
    </row>
    <row r="4516" spans="1:39" x14ac:dyDescent="0.2">
      <c r="A4516" t="s">
        <v>4244</v>
      </c>
      <c r="B4516" t="s">
        <v>40</v>
      </c>
      <c r="C4516" t="s">
        <v>129</v>
      </c>
      <c r="D4516" t="s">
        <v>42</v>
      </c>
      <c r="E4516" t="s">
        <v>43</v>
      </c>
      <c r="F4516" t="s">
        <v>44</v>
      </c>
      <c r="G4516" t="s">
        <v>45</v>
      </c>
      <c r="AH4516" t="s">
        <v>42</v>
      </c>
      <c r="AI4516" t="str">
        <f>"B095"</f>
        <v>B095</v>
      </c>
      <c r="AJ4516" t="str">
        <f>"B095"</f>
        <v>B095</v>
      </c>
      <c r="AK4516" t="s">
        <v>46</v>
      </c>
      <c r="AL4516" s="1">
        <v>44816.562627314815</v>
      </c>
      <c r="AM4516" t="s">
        <v>44</v>
      </c>
    </row>
    <row r="4517" spans="1:39" x14ac:dyDescent="0.2">
      <c r="A4517" t="s">
        <v>4245</v>
      </c>
      <c r="B4517" t="s">
        <v>40</v>
      </c>
      <c r="C4517" t="s">
        <v>129</v>
      </c>
      <c r="D4517" t="s">
        <v>42</v>
      </c>
      <c r="E4517" t="s">
        <v>43</v>
      </c>
      <c r="F4517" t="s">
        <v>44</v>
      </c>
      <c r="G4517" t="s">
        <v>45</v>
      </c>
      <c r="AH4517" t="s">
        <v>42</v>
      </c>
      <c r="AI4517" t="str">
        <f>"66298941223294"</f>
        <v>66298941223294</v>
      </c>
      <c r="AJ4517" t="str">
        <f>"400768"</f>
        <v>400768</v>
      </c>
      <c r="AK4517" t="s">
        <v>46</v>
      </c>
      <c r="AL4517" s="1">
        <v>44816.562638888892</v>
      </c>
      <c r="AM4517" t="s">
        <v>44</v>
      </c>
    </row>
    <row r="4518" spans="1:39" x14ac:dyDescent="0.2">
      <c r="A4518" t="s">
        <v>4246</v>
      </c>
      <c r="B4518" t="s">
        <v>40</v>
      </c>
      <c r="C4518" t="s">
        <v>129</v>
      </c>
      <c r="D4518" t="s">
        <v>42</v>
      </c>
      <c r="E4518" t="s">
        <v>43</v>
      </c>
      <c r="F4518" t="s">
        <v>44</v>
      </c>
      <c r="G4518" t="s">
        <v>45</v>
      </c>
      <c r="AH4518" t="s">
        <v>42</v>
      </c>
      <c r="AI4518" t="str">
        <f>"66298941264145"</f>
        <v>66298941264145</v>
      </c>
      <c r="AJ4518" t="str">
        <f>"CP013"</f>
        <v>CP013</v>
      </c>
      <c r="AK4518" t="s">
        <v>46</v>
      </c>
      <c r="AL4518" s="1">
        <v>44816.562638888892</v>
      </c>
      <c r="AM4518" t="s">
        <v>44</v>
      </c>
    </row>
    <row r="4519" spans="1:39" x14ac:dyDescent="0.2">
      <c r="A4519" t="s">
        <v>4247</v>
      </c>
      <c r="B4519" t="s">
        <v>40</v>
      </c>
      <c r="C4519" t="s">
        <v>4248</v>
      </c>
      <c r="D4519" t="s">
        <v>42</v>
      </c>
      <c r="E4519" t="s">
        <v>43</v>
      </c>
      <c r="F4519" t="s">
        <v>44</v>
      </c>
      <c r="G4519" t="s">
        <v>45</v>
      </c>
      <c r="AH4519" t="s">
        <v>42</v>
      </c>
      <c r="AI4519" t="str">
        <f>"CMST2201-0331"</f>
        <v>CMST2201-0331</v>
      </c>
      <c r="AJ4519" t="str">
        <f>"CMST2201-0331"</f>
        <v>CMST2201-0331</v>
      </c>
      <c r="AK4519" t="s">
        <v>46</v>
      </c>
      <c r="AL4519" s="1">
        <v>45073.709652777776</v>
      </c>
      <c r="AM4519" t="s">
        <v>44</v>
      </c>
    </row>
    <row r="4520" spans="1:39" x14ac:dyDescent="0.2">
      <c r="A4520" t="s">
        <v>4249</v>
      </c>
      <c r="B4520" t="s">
        <v>40</v>
      </c>
      <c r="C4520" t="s">
        <v>4250</v>
      </c>
      <c r="D4520" t="s">
        <v>42</v>
      </c>
      <c r="E4520" t="s">
        <v>43</v>
      </c>
      <c r="F4520" t="s">
        <v>44</v>
      </c>
      <c r="G4520" t="s">
        <v>45</v>
      </c>
      <c r="AH4520" t="s">
        <v>42</v>
      </c>
      <c r="AI4520" t="str">
        <f>"NB007"</f>
        <v>NB007</v>
      </c>
      <c r="AJ4520" t="str">
        <f>"NB007"</f>
        <v>NB007</v>
      </c>
      <c r="AK4520" t="s">
        <v>46</v>
      </c>
      <c r="AL4520" s="1">
        <v>45093.896817129629</v>
      </c>
      <c r="AM4520" t="s">
        <v>44</v>
      </c>
    </row>
    <row r="4521" spans="1:39" x14ac:dyDescent="0.2">
      <c r="A4521" t="s">
        <v>4251</v>
      </c>
      <c r="B4521" t="s">
        <v>40</v>
      </c>
      <c r="C4521" t="s">
        <v>129</v>
      </c>
      <c r="D4521" t="s">
        <v>42</v>
      </c>
      <c r="E4521" t="s">
        <v>43</v>
      </c>
      <c r="F4521" t="s">
        <v>44</v>
      </c>
      <c r="G4521" t="s">
        <v>45</v>
      </c>
      <c r="AH4521" t="s">
        <v>42</v>
      </c>
      <c r="AI4521" t="str">
        <f>"66298941302631"</f>
        <v>66298941302631</v>
      </c>
      <c r="AJ4521" t="str">
        <f>"NB009"</f>
        <v>NB009</v>
      </c>
      <c r="AK4521" t="s">
        <v>46</v>
      </c>
      <c r="AL4521" s="1">
        <v>44816.562650462962</v>
      </c>
      <c r="AM4521" t="s">
        <v>44</v>
      </c>
    </row>
    <row r="4522" spans="1:39" x14ac:dyDescent="0.2">
      <c r="A4522" t="s">
        <v>4252</v>
      </c>
      <c r="B4522" t="s">
        <v>40</v>
      </c>
      <c r="C4522" t="s">
        <v>129</v>
      </c>
      <c r="D4522" t="s">
        <v>42</v>
      </c>
      <c r="E4522" t="s">
        <v>43</v>
      </c>
      <c r="F4522" t="s">
        <v>44</v>
      </c>
      <c r="G4522" t="s">
        <v>45</v>
      </c>
      <c r="AH4522" t="s">
        <v>42</v>
      </c>
      <c r="AI4522" t="str">
        <f>"66298941348939"</f>
        <v>66298941348939</v>
      </c>
      <c r="AJ4522" t="str">
        <f>"84905"</f>
        <v>84905</v>
      </c>
      <c r="AK4522" t="s">
        <v>46</v>
      </c>
      <c r="AL4522" s="1">
        <v>44816.562650462962</v>
      </c>
      <c r="AM4522" t="s">
        <v>44</v>
      </c>
    </row>
    <row r="4523" spans="1:39" x14ac:dyDescent="0.2">
      <c r="A4523" t="s">
        <v>4253</v>
      </c>
      <c r="B4523" t="s">
        <v>40</v>
      </c>
      <c r="C4523" t="s">
        <v>129</v>
      </c>
      <c r="D4523" t="s">
        <v>42</v>
      </c>
      <c r="E4523" t="s">
        <v>43</v>
      </c>
      <c r="F4523" t="s">
        <v>44</v>
      </c>
      <c r="G4523" t="s">
        <v>45</v>
      </c>
      <c r="AH4523" t="s">
        <v>42</v>
      </c>
      <c r="AI4523" t="str">
        <f>"66298941399997"</f>
        <v>66298941399997</v>
      </c>
      <c r="AJ4523" t="str">
        <f>"NB001"</f>
        <v>NB001</v>
      </c>
      <c r="AK4523" t="s">
        <v>46</v>
      </c>
      <c r="AL4523" s="1">
        <v>44816.562662037039</v>
      </c>
      <c r="AM4523" t="s">
        <v>44</v>
      </c>
    </row>
    <row r="4524" spans="1:39" x14ac:dyDescent="0.2">
      <c r="A4524" t="s">
        <v>4253</v>
      </c>
      <c r="B4524" t="s">
        <v>40</v>
      </c>
      <c r="C4524" t="s">
        <v>4250</v>
      </c>
      <c r="D4524" t="s">
        <v>42</v>
      </c>
      <c r="E4524" t="s">
        <v>43</v>
      </c>
      <c r="F4524" t="s">
        <v>44</v>
      </c>
      <c r="G4524" t="s">
        <v>45</v>
      </c>
      <c r="AH4524" t="s">
        <v>42</v>
      </c>
      <c r="AI4524" t="str">
        <f>"NB006"</f>
        <v>NB006</v>
      </c>
      <c r="AJ4524" t="str">
        <f>"NB006"</f>
        <v>NB006</v>
      </c>
      <c r="AK4524" t="s">
        <v>46</v>
      </c>
      <c r="AL4524" s="1">
        <v>45093.897199074076</v>
      </c>
      <c r="AM4524" t="s">
        <v>44</v>
      </c>
    </row>
    <row r="4525" spans="1:39" x14ac:dyDescent="0.2">
      <c r="A4525" t="s">
        <v>4254</v>
      </c>
      <c r="B4525" t="s">
        <v>40</v>
      </c>
      <c r="C4525" t="s">
        <v>129</v>
      </c>
      <c r="D4525" t="s">
        <v>42</v>
      </c>
      <c r="E4525" t="s">
        <v>43</v>
      </c>
      <c r="F4525" t="s">
        <v>44</v>
      </c>
      <c r="G4525" t="s">
        <v>45</v>
      </c>
      <c r="AH4525" t="s">
        <v>42</v>
      </c>
      <c r="AI4525" t="str">
        <f>"66298941439805"</f>
        <v>66298941439805</v>
      </c>
      <c r="AJ4525" t="str">
        <f>"23802-KAE-870BR"</f>
        <v>23802-KAE-870BR</v>
      </c>
      <c r="AK4525" t="s">
        <v>46</v>
      </c>
      <c r="AL4525" s="1">
        <v>44816.562662037039</v>
      </c>
      <c r="AM4525" t="s">
        <v>44</v>
      </c>
    </row>
    <row r="4526" spans="1:39" x14ac:dyDescent="0.2">
      <c r="A4526" t="s">
        <v>4255</v>
      </c>
      <c r="B4526" t="s">
        <v>40</v>
      </c>
      <c r="C4526" t="s">
        <v>129</v>
      </c>
      <c r="D4526" t="s">
        <v>42</v>
      </c>
      <c r="E4526" t="s">
        <v>43</v>
      </c>
      <c r="F4526" t="s">
        <v>44</v>
      </c>
      <c r="G4526" t="s">
        <v>45</v>
      </c>
      <c r="AH4526" t="s">
        <v>42</v>
      </c>
      <c r="AI4526" t="str">
        <f>"66298941482242"</f>
        <v>66298941482242</v>
      </c>
      <c r="AJ4526" t="str">
        <f>"NB002"</f>
        <v>NB002</v>
      </c>
      <c r="AK4526" t="s">
        <v>46</v>
      </c>
      <c r="AL4526" s="1">
        <v>44816.562662037039</v>
      </c>
      <c r="AM4526" t="s">
        <v>44</v>
      </c>
    </row>
    <row r="4527" spans="1:39" x14ac:dyDescent="0.2">
      <c r="A4527" t="s">
        <v>4256</v>
      </c>
      <c r="B4527" t="s">
        <v>40</v>
      </c>
      <c r="C4527" t="s">
        <v>4250</v>
      </c>
      <c r="D4527" t="s">
        <v>42</v>
      </c>
      <c r="E4527" t="s">
        <v>43</v>
      </c>
      <c r="F4527" t="s">
        <v>44</v>
      </c>
      <c r="G4527" t="s">
        <v>45</v>
      </c>
      <c r="AH4527" t="s">
        <v>42</v>
      </c>
      <c r="AI4527" t="str">
        <f>"BR470.16"</f>
        <v>BR470.16</v>
      </c>
      <c r="AJ4527" t="str">
        <f>"BR470.16"</f>
        <v>BR470.16</v>
      </c>
      <c r="AK4527" t="s">
        <v>46</v>
      </c>
      <c r="AL4527" s="1">
        <v>45090.882662037038</v>
      </c>
      <c r="AM4527" t="s">
        <v>44</v>
      </c>
    </row>
    <row r="4528" spans="1:39" x14ac:dyDescent="0.2">
      <c r="A4528" t="s">
        <v>4257</v>
      </c>
      <c r="B4528" t="s">
        <v>40</v>
      </c>
      <c r="C4528" t="s">
        <v>129</v>
      </c>
      <c r="D4528" t="s">
        <v>42</v>
      </c>
      <c r="E4528" t="s">
        <v>43</v>
      </c>
      <c r="F4528" t="s">
        <v>44</v>
      </c>
      <c r="G4528" t="s">
        <v>45</v>
      </c>
      <c r="AH4528" t="s">
        <v>42</v>
      </c>
      <c r="AI4528" t="str">
        <f>"66298941523654"</f>
        <v>66298941523654</v>
      </c>
      <c r="AJ4528" t="str">
        <f>"NB008"</f>
        <v>NB008</v>
      </c>
      <c r="AK4528" t="s">
        <v>46</v>
      </c>
      <c r="AL4528" s="1">
        <v>44816.562673611108</v>
      </c>
      <c r="AM4528" t="s">
        <v>44</v>
      </c>
    </row>
    <row r="4529" spans="1:39" x14ac:dyDescent="0.2">
      <c r="A4529" t="s">
        <v>4258</v>
      </c>
      <c r="B4529" t="s">
        <v>40</v>
      </c>
      <c r="C4529" t="s">
        <v>4250</v>
      </c>
      <c r="D4529" t="s">
        <v>42</v>
      </c>
      <c r="E4529" t="s">
        <v>43</v>
      </c>
      <c r="F4529" t="s">
        <v>44</v>
      </c>
      <c r="G4529" t="s">
        <v>45</v>
      </c>
      <c r="AH4529" t="s">
        <v>42</v>
      </c>
      <c r="AI4529" t="str">
        <f>"49CC75"</f>
        <v>49CC75</v>
      </c>
      <c r="AJ4529" t="str">
        <f>"49CC75"</f>
        <v>49CC75</v>
      </c>
      <c r="AK4529" t="s">
        <v>46</v>
      </c>
      <c r="AL4529" s="1">
        <v>45093.900208333333</v>
      </c>
      <c r="AM4529" t="s">
        <v>44</v>
      </c>
    </row>
    <row r="4530" spans="1:39" x14ac:dyDescent="0.2">
      <c r="A4530" t="s">
        <v>4259</v>
      </c>
      <c r="B4530" t="s">
        <v>40</v>
      </c>
      <c r="C4530" t="s">
        <v>129</v>
      </c>
      <c r="D4530" t="s">
        <v>42</v>
      </c>
      <c r="E4530" t="s">
        <v>43</v>
      </c>
      <c r="F4530" t="s">
        <v>44</v>
      </c>
      <c r="G4530" t="s">
        <v>45</v>
      </c>
      <c r="AH4530" t="s">
        <v>42</v>
      </c>
      <c r="AI4530" t="str">
        <f>"66298941566597"</f>
        <v>66298941566597</v>
      </c>
      <c r="AJ4530" t="str">
        <f>"83028"</f>
        <v>83028</v>
      </c>
      <c r="AK4530" t="s">
        <v>46</v>
      </c>
      <c r="AL4530" s="1">
        <v>44816.562673611108</v>
      </c>
      <c r="AM4530" t="s">
        <v>44</v>
      </c>
    </row>
    <row r="4531" spans="1:39" x14ac:dyDescent="0.2">
      <c r="A4531" t="s">
        <v>4260</v>
      </c>
      <c r="B4531" t="s">
        <v>40</v>
      </c>
      <c r="C4531" t="s">
        <v>129</v>
      </c>
      <c r="D4531" t="s">
        <v>42</v>
      </c>
      <c r="E4531" t="s">
        <v>43</v>
      </c>
      <c r="F4531" t="s">
        <v>44</v>
      </c>
      <c r="G4531" t="s">
        <v>45</v>
      </c>
      <c r="AH4531" t="s">
        <v>42</v>
      </c>
      <c r="AI4531" t="str">
        <f>"66298941608595"</f>
        <v>66298941608595</v>
      </c>
      <c r="AJ4531" t="str">
        <f>"S-500"</f>
        <v>S-500</v>
      </c>
      <c r="AK4531" t="s">
        <v>46</v>
      </c>
      <c r="AL4531" s="1">
        <v>44816.562685185185</v>
      </c>
      <c r="AM4531" t="s">
        <v>44</v>
      </c>
    </row>
    <row r="4532" spans="1:39" x14ac:dyDescent="0.2">
      <c r="A4532" t="s">
        <v>4261</v>
      </c>
      <c r="B4532" t="s">
        <v>40</v>
      </c>
      <c r="C4532" t="s">
        <v>4047</v>
      </c>
      <c r="D4532" t="s">
        <v>42</v>
      </c>
      <c r="E4532" t="s">
        <v>43</v>
      </c>
      <c r="F4532" t="s">
        <v>44</v>
      </c>
      <c r="G4532" t="s">
        <v>45</v>
      </c>
      <c r="AH4532" t="s">
        <v>42</v>
      </c>
      <c r="AI4532" t="str">
        <f>"38BE211900JP"</f>
        <v>38BE211900JP</v>
      </c>
      <c r="AJ4532" t="str">
        <f>"38BE211900JP"</f>
        <v>38BE211900JP</v>
      </c>
      <c r="AK4532" t="s">
        <v>46</v>
      </c>
      <c r="AL4532" s="1">
        <v>45020.913842592592</v>
      </c>
      <c r="AM4532" t="s">
        <v>44</v>
      </c>
    </row>
    <row r="4533" spans="1:39" x14ac:dyDescent="0.2">
      <c r="A4533" t="s">
        <v>4262</v>
      </c>
      <c r="B4533" t="s">
        <v>40</v>
      </c>
      <c r="C4533" t="s">
        <v>129</v>
      </c>
      <c r="D4533" t="s">
        <v>42</v>
      </c>
      <c r="E4533" t="s">
        <v>43</v>
      </c>
      <c r="F4533" t="s">
        <v>44</v>
      </c>
      <c r="G4533" t="s">
        <v>45</v>
      </c>
      <c r="AH4533" t="s">
        <v>42</v>
      </c>
      <c r="AI4533" t="str">
        <f>"66298941656387"</f>
        <v>66298941656387</v>
      </c>
      <c r="AJ4533" t="str">
        <f>"5H0-12119-00JP"</f>
        <v>5H0-12119-00JP</v>
      </c>
      <c r="AK4533" t="s">
        <v>46</v>
      </c>
      <c r="AL4533" s="1">
        <v>44816.562685185185</v>
      </c>
      <c r="AM4533" t="s">
        <v>44</v>
      </c>
    </row>
    <row r="4534" spans="1:39" x14ac:dyDescent="0.2">
      <c r="A4534" t="s">
        <v>4263</v>
      </c>
      <c r="B4534" t="s">
        <v>40</v>
      </c>
      <c r="C4534" t="s">
        <v>129</v>
      </c>
      <c r="D4534" t="s">
        <v>42</v>
      </c>
      <c r="E4534" t="s">
        <v>43</v>
      </c>
      <c r="F4534" t="s">
        <v>44</v>
      </c>
      <c r="G4534" t="s">
        <v>45</v>
      </c>
      <c r="AH4534" t="s">
        <v>42</v>
      </c>
      <c r="AI4534" t="str">
        <f>"66298941700772"</f>
        <v>66298941700772</v>
      </c>
      <c r="AJ4534" t="str">
        <f>"12208-413-003JP"</f>
        <v>12208-413-003JP</v>
      </c>
      <c r="AK4534" t="s">
        <v>46</v>
      </c>
      <c r="AL4534" s="1">
        <v>44816.562696759262</v>
      </c>
      <c r="AM4534" t="s">
        <v>44</v>
      </c>
    </row>
    <row r="4535" spans="1:39" x14ac:dyDescent="0.2">
      <c r="A4535" t="s">
        <v>4263</v>
      </c>
      <c r="B4535" t="s">
        <v>40</v>
      </c>
      <c r="C4535" t="s">
        <v>4264</v>
      </c>
      <c r="D4535" t="s">
        <v>42</v>
      </c>
      <c r="E4535" t="s">
        <v>43</v>
      </c>
      <c r="F4535" t="s">
        <v>44</v>
      </c>
      <c r="G4535" t="s">
        <v>45</v>
      </c>
      <c r="AH4535" t="s">
        <v>42</v>
      </c>
      <c r="AI4535" t="str">
        <f>"CR008-A"</f>
        <v>CR008-A</v>
      </c>
      <c r="AJ4535" t="str">
        <f>"CR008-A"</f>
        <v>CR008-A</v>
      </c>
      <c r="AK4535" t="s">
        <v>46</v>
      </c>
      <c r="AL4535" s="1">
        <v>45093.897766203707</v>
      </c>
      <c r="AM4535" t="s">
        <v>44</v>
      </c>
    </row>
    <row r="4536" spans="1:39" x14ac:dyDescent="0.2">
      <c r="A4536" t="s">
        <v>4265</v>
      </c>
      <c r="B4536" t="s">
        <v>40</v>
      </c>
      <c r="C4536" t="s">
        <v>129</v>
      </c>
      <c r="D4536" t="s">
        <v>42</v>
      </c>
      <c r="E4536" t="s">
        <v>43</v>
      </c>
      <c r="F4536" t="s">
        <v>44</v>
      </c>
      <c r="G4536" t="s">
        <v>45</v>
      </c>
      <c r="AH4536" t="s">
        <v>42</v>
      </c>
      <c r="AI4536" t="str">
        <f>"66298941741496"</f>
        <v>66298941741496</v>
      </c>
      <c r="AJ4536" t="str">
        <f>"5ER-E2119-00JP"</f>
        <v>5ER-E2119-00JP</v>
      </c>
      <c r="AK4536" t="s">
        <v>46</v>
      </c>
      <c r="AL4536" s="1">
        <v>44816.562696759262</v>
      </c>
      <c r="AM4536" t="s">
        <v>44</v>
      </c>
    </row>
    <row r="4537" spans="1:39" x14ac:dyDescent="0.2">
      <c r="A4537" t="s">
        <v>4266</v>
      </c>
      <c r="B4537" t="s">
        <v>40</v>
      </c>
      <c r="C4537" t="s">
        <v>129</v>
      </c>
      <c r="D4537" t="s">
        <v>42</v>
      </c>
      <c r="E4537" t="s">
        <v>43</v>
      </c>
      <c r="F4537" t="s">
        <v>44</v>
      </c>
      <c r="G4537" t="s">
        <v>45</v>
      </c>
      <c r="AH4537" t="s">
        <v>42</v>
      </c>
      <c r="AI4537" t="str">
        <f>"66298941833931"</f>
        <v>66298941833931</v>
      </c>
      <c r="AJ4537" t="str">
        <f>"09289-05015JP"</f>
        <v>09289-05015JP</v>
      </c>
      <c r="AK4537" t="s">
        <v>46</v>
      </c>
      <c r="AL4537" s="1">
        <v>44816.562708333331</v>
      </c>
      <c r="AM4537" t="s">
        <v>44</v>
      </c>
    </row>
    <row r="4538" spans="1:39" x14ac:dyDescent="0.2">
      <c r="A4538" t="s">
        <v>4267</v>
      </c>
      <c r="B4538" t="s">
        <v>40</v>
      </c>
      <c r="C4538" t="s">
        <v>4047</v>
      </c>
      <c r="D4538" t="s">
        <v>42</v>
      </c>
      <c r="E4538" t="s">
        <v>43</v>
      </c>
      <c r="F4538" t="s">
        <v>44</v>
      </c>
      <c r="G4538" t="s">
        <v>45</v>
      </c>
      <c r="AH4538" t="s">
        <v>42</v>
      </c>
      <c r="AI4538" t="str">
        <f>"66298941785269"</f>
        <v>66298941785269</v>
      </c>
      <c r="AJ4538" t="str">
        <f>"09289-05011JP"</f>
        <v>09289-05011JP</v>
      </c>
      <c r="AK4538" t="s">
        <v>46</v>
      </c>
      <c r="AL4538" s="1">
        <v>44816.562696759262</v>
      </c>
      <c r="AM4538" t="s">
        <v>44</v>
      </c>
    </row>
    <row r="4539" spans="1:39" x14ac:dyDescent="0.2">
      <c r="A4539" t="s">
        <v>4268</v>
      </c>
      <c r="B4539" t="s">
        <v>40</v>
      </c>
      <c r="C4539" t="s">
        <v>129</v>
      </c>
      <c r="D4539" t="s">
        <v>42</v>
      </c>
      <c r="E4539" t="s">
        <v>43</v>
      </c>
      <c r="F4539" t="s">
        <v>44</v>
      </c>
      <c r="G4539" t="s">
        <v>45</v>
      </c>
      <c r="AH4539" t="s">
        <v>42</v>
      </c>
      <c r="AI4539" t="str">
        <f>"66298941873932"</f>
        <v>66298941873932</v>
      </c>
      <c r="AJ4539" t="str">
        <f>"39-2017-19"</f>
        <v>39-2017-19</v>
      </c>
      <c r="AK4539" t="s">
        <v>46</v>
      </c>
      <c r="AL4539" s="1">
        <v>44816.562708333331</v>
      </c>
      <c r="AM4539" t="s">
        <v>44</v>
      </c>
    </row>
    <row r="4540" spans="1:39" x14ac:dyDescent="0.2">
      <c r="A4540" t="s">
        <v>4269</v>
      </c>
      <c r="B4540" t="s">
        <v>40</v>
      </c>
      <c r="C4540" t="s">
        <v>129</v>
      </c>
      <c r="D4540" t="s">
        <v>42</v>
      </c>
      <c r="E4540" t="s">
        <v>43</v>
      </c>
      <c r="F4540" t="s">
        <v>44</v>
      </c>
      <c r="G4540" t="s">
        <v>45</v>
      </c>
      <c r="AH4540" t="s">
        <v>42</v>
      </c>
      <c r="AI4540" t="str">
        <f>"66298941915655"</f>
        <v>66298941915655</v>
      </c>
      <c r="AJ4540" t="str">
        <f>"33M-12119-00GY"</f>
        <v>33M-12119-00GY</v>
      </c>
      <c r="AK4540" t="s">
        <v>46</v>
      </c>
      <c r="AL4540" s="1">
        <v>44816.562719907408</v>
      </c>
      <c r="AM4540" t="s">
        <v>44</v>
      </c>
    </row>
    <row r="4541" spans="1:39" x14ac:dyDescent="0.2">
      <c r="A4541" t="s">
        <v>4270</v>
      </c>
      <c r="B4541" t="s">
        <v>40</v>
      </c>
      <c r="C4541" t="s">
        <v>129</v>
      </c>
      <c r="D4541" t="s">
        <v>42</v>
      </c>
      <c r="E4541" t="s">
        <v>43</v>
      </c>
      <c r="F4541" t="s">
        <v>44</v>
      </c>
      <c r="G4541" t="s">
        <v>45</v>
      </c>
      <c r="AH4541" t="s">
        <v>42</v>
      </c>
      <c r="AI4541" t="str">
        <f>"66298941963736"</f>
        <v>66298941963736</v>
      </c>
      <c r="AJ4541" t="str">
        <f>"12209-GB4-681JP"</f>
        <v>12209-GB4-681JP</v>
      </c>
      <c r="AK4541" t="s">
        <v>46</v>
      </c>
      <c r="AL4541" s="1">
        <v>44816.562719907408</v>
      </c>
      <c r="AM4541" t="s">
        <v>44</v>
      </c>
    </row>
    <row r="4542" spans="1:39" x14ac:dyDescent="0.2">
      <c r="A4542" t="s">
        <v>4271</v>
      </c>
      <c r="B4542" t="s">
        <v>40</v>
      </c>
      <c r="C4542" t="s">
        <v>129</v>
      </c>
      <c r="D4542" t="s">
        <v>42</v>
      </c>
      <c r="E4542" t="s">
        <v>43</v>
      </c>
      <c r="F4542" t="s">
        <v>44</v>
      </c>
      <c r="G4542" t="s">
        <v>45</v>
      </c>
      <c r="AH4542" t="s">
        <v>42</v>
      </c>
      <c r="AI4542" t="str">
        <f>"66298942014364"</f>
        <v>66298942014364</v>
      </c>
      <c r="AJ4542" t="str">
        <f>"12209-MN1-671JP"</f>
        <v>12209-MN1-671JP</v>
      </c>
      <c r="AK4542" t="s">
        <v>46</v>
      </c>
      <c r="AL4542" s="1">
        <v>44816.562731481485</v>
      </c>
      <c r="AM4542" t="s">
        <v>44</v>
      </c>
    </row>
    <row r="4543" spans="1:39" x14ac:dyDescent="0.2">
      <c r="A4543" t="s">
        <v>4272</v>
      </c>
      <c r="B4543" t="s">
        <v>40</v>
      </c>
      <c r="C4543" t="s">
        <v>129</v>
      </c>
      <c r="D4543" t="s">
        <v>42</v>
      </c>
      <c r="E4543" t="s">
        <v>43</v>
      </c>
      <c r="F4543" t="s">
        <v>44</v>
      </c>
      <c r="G4543" t="s">
        <v>45</v>
      </c>
      <c r="AH4543" t="s">
        <v>42</v>
      </c>
      <c r="AI4543" t="str">
        <f>"66298942056942"</f>
        <v>66298942056942</v>
      </c>
      <c r="AJ4543" t="str">
        <f>"4LS-E2119-00JP"</f>
        <v>4LS-E2119-00JP</v>
      </c>
      <c r="AK4543" t="s">
        <v>46</v>
      </c>
      <c r="AL4543" s="1">
        <v>44816.562731481485</v>
      </c>
      <c r="AM4543" t="s">
        <v>44</v>
      </c>
    </row>
    <row r="4544" spans="1:39" x14ac:dyDescent="0.2">
      <c r="A4544" t="s">
        <v>4273</v>
      </c>
      <c r="B4544" t="s">
        <v>40</v>
      </c>
      <c r="C4544" t="s">
        <v>4264</v>
      </c>
      <c r="D4544" t="s">
        <v>42</v>
      </c>
      <c r="E4544" t="s">
        <v>43</v>
      </c>
      <c r="F4544" t="s">
        <v>44</v>
      </c>
      <c r="G4544" t="s">
        <v>45</v>
      </c>
      <c r="AH4544" t="s">
        <v>42</v>
      </c>
      <c r="AI4544" t="str">
        <f>"44BBN-J"</f>
        <v>44BBN-J</v>
      </c>
      <c r="AJ4544" t="str">
        <f>"44BBN-J"</f>
        <v>44BBN-J</v>
      </c>
      <c r="AK4544" t="s">
        <v>46</v>
      </c>
      <c r="AL4544" s="1">
        <v>45093.899421296293</v>
      </c>
      <c r="AM4544" t="s">
        <v>44</v>
      </c>
    </row>
    <row r="4545" spans="1:39" x14ac:dyDescent="0.2">
      <c r="A4545" t="s">
        <v>4274</v>
      </c>
      <c r="B4545" t="s">
        <v>40</v>
      </c>
      <c r="C4545" t="s">
        <v>129</v>
      </c>
      <c r="D4545" t="s">
        <v>42</v>
      </c>
      <c r="E4545" t="s">
        <v>43</v>
      </c>
      <c r="F4545" t="s">
        <v>44</v>
      </c>
      <c r="G4545" t="s">
        <v>45</v>
      </c>
      <c r="AH4545" t="s">
        <v>42</v>
      </c>
      <c r="AI4545" t="str">
        <f>"66298942100278"</f>
        <v>66298942100278</v>
      </c>
      <c r="AJ4545" t="str">
        <f>"LX180-F7-9"</f>
        <v>LX180-F7-9</v>
      </c>
      <c r="AK4545" t="s">
        <v>46</v>
      </c>
      <c r="AL4545" s="1">
        <v>44816.562743055554</v>
      </c>
      <c r="AM4545" t="s">
        <v>44</v>
      </c>
    </row>
    <row r="4546" spans="1:39" x14ac:dyDescent="0.2">
      <c r="A4546" t="s">
        <v>4275</v>
      </c>
      <c r="B4546" t="s">
        <v>40</v>
      </c>
      <c r="C4546" t="s">
        <v>129</v>
      </c>
      <c r="D4546" t="s">
        <v>42</v>
      </c>
      <c r="E4546" t="s">
        <v>43</v>
      </c>
      <c r="F4546" t="s">
        <v>44</v>
      </c>
      <c r="G4546" t="s">
        <v>45</v>
      </c>
      <c r="AH4546" t="s">
        <v>42</v>
      </c>
      <c r="AI4546" t="str">
        <f>"66298942145949"</f>
        <v>66298942145949</v>
      </c>
      <c r="AJ4546" t="str">
        <f>"CD002"</f>
        <v>CD002</v>
      </c>
      <c r="AK4546" t="s">
        <v>46</v>
      </c>
      <c r="AL4546" s="1">
        <v>44816.562743055554</v>
      </c>
      <c r="AM4546" t="s">
        <v>44</v>
      </c>
    </row>
    <row r="4547" spans="1:39" x14ac:dyDescent="0.2">
      <c r="A4547" t="s">
        <v>4276</v>
      </c>
      <c r="B4547" t="s">
        <v>40</v>
      </c>
      <c r="C4547" t="s">
        <v>129</v>
      </c>
      <c r="D4547" t="s">
        <v>42</v>
      </c>
      <c r="E4547" t="s">
        <v>43</v>
      </c>
      <c r="F4547" t="s">
        <v>44</v>
      </c>
      <c r="G4547" t="s">
        <v>45</v>
      </c>
      <c r="AH4547" t="s">
        <v>42</v>
      </c>
      <c r="AI4547" t="str">
        <f>"66298942185031"</f>
        <v>66298942185031</v>
      </c>
      <c r="AJ4547" t="str">
        <f>"83034"</f>
        <v>83034</v>
      </c>
      <c r="AK4547" t="s">
        <v>46</v>
      </c>
      <c r="AL4547" s="1">
        <v>44816.562743055554</v>
      </c>
      <c r="AM4547" t="s">
        <v>44</v>
      </c>
    </row>
    <row r="4548" spans="1:39" x14ac:dyDescent="0.2">
      <c r="A4548" t="s">
        <v>4277</v>
      </c>
      <c r="B4548" t="s">
        <v>40</v>
      </c>
      <c r="C4548" t="s">
        <v>129</v>
      </c>
      <c r="D4548" t="s">
        <v>42</v>
      </c>
      <c r="E4548" t="s">
        <v>43</v>
      </c>
      <c r="F4548" t="s">
        <v>44</v>
      </c>
      <c r="G4548" t="s">
        <v>45</v>
      </c>
      <c r="AH4548" t="s">
        <v>42</v>
      </c>
      <c r="AI4548" t="str">
        <f>"66298942224288"</f>
        <v>66298942224288</v>
      </c>
      <c r="AJ4548" t="str">
        <f>"84912"</f>
        <v>84912</v>
      </c>
      <c r="AK4548" t="s">
        <v>46</v>
      </c>
      <c r="AL4548" s="1">
        <v>44816.562754629631</v>
      </c>
      <c r="AM4548" t="s">
        <v>44</v>
      </c>
    </row>
    <row r="4549" spans="1:39" x14ac:dyDescent="0.2">
      <c r="A4549" t="s">
        <v>4278</v>
      </c>
      <c r="B4549" t="s">
        <v>40</v>
      </c>
      <c r="C4549" t="s">
        <v>41</v>
      </c>
      <c r="D4549" t="s">
        <v>42</v>
      </c>
      <c r="E4549" t="s">
        <v>43</v>
      </c>
      <c r="F4549" t="s">
        <v>44</v>
      </c>
      <c r="G4549" t="s">
        <v>45</v>
      </c>
      <c r="AH4549" t="s">
        <v>42</v>
      </c>
      <c r="AI4549" t="str">
        <f>"10503"</f>
        <v>10503</v>
      </c>
      <c r="AJ4549" t="str">
        <f>"10503"</f>
        <v>10503</v>
      </c>
      <c r="AK4549" t="s">
        <v>46</v>
      </c>
      <c r="AL4549" s="1">
        <v>45054.792175925926</v>
      </c>
      <c r="AM4549" t="s">
        <v>44</v>
      </c>
    </row>
    <row r="4550" spans="1:39" x14ac:dyDescent="0.2">
      <c r="A4550" t="s">
        <v>4279</v>
      </c>
      <c r="B4550" t="s">
        <v>40</v>
      </c>
      <c r="C4550" t="s">
        <v>41</v>
      </c>
      <c r="D4550" t="s">
        <v>42</v>
      </c>
      <c r="E4550" t="s">
        <v>43</v>
      </c>
      <c r="F4550" t="s">
        <v>44</v>
      </c>
      <c r="G4550" t="s">
        <v>45</v>
      </c>
      <c r="AH4550" t="s">
        <v>42</v>
      </c>
      <c r="AI4550" t="str">
        <f>"66298942265594"</f>
        <v>66298942265594</v>
      </c>
      <c r="AJ4550" t="str">
        <f>"H177"</f>
        <v>H177</v>
      </c>
      <c r="AK4550" t="s">
        <v>46</v>
      </c>
      <c r="AL4550" s="1">
        <v>44816.562754629631</v>
      </c>
      <c r="AM4550" t="s">
        <v>44</v>
      </c>
    </row>
    <row r="4551" spans="1:39" x14ac:dyDescent="0.2">
      <c r="A4551" t="s">
        <v>4280</v>
      </c>
      <c r="B4551" t="s">
        <v>40</v>
      </c>
      <c r="C4551" t="s">
        <v>41</v>
      </c>
      <c r="D4551" t="s">
        <v>42</v>
      </c>
      <c r="E4551" t="s">
        <v>43</v>
      </c>
      <c r="F4551" t="s">
        <v>44</v>
      </c>
      <c r="G4551" t="s">
        <v>45</v>
      </c>
      <c r="AH4551" t="s">
        <v>42</v>
      </c>
      <c r="AI4551" t="str">
        <f>"999"</f>
        <v>999</v>
      </c>
      <c r="AJ4551" t="str">
        <f>"999"</f>
        <v>999</v>
      </c>
      <c r="AK4551" t="s">
        <v>46</v>
      </c>
      <c r="AL4551" s="1">
        <v>45093.90079861111</v>
      </c>
      <c r="AM4551" t="s">
        <v>44</v>
      </c>
    </row>
    <row r="4552" spans="1:39" x14ac:dyDescent="0.2">
      <c r="A4552" t="s">
        <v>4281</v>
      </c>
      <c r="B4552" t="s">
        <v>40</v>
      </c>
      <c r="C4552" t="s">
        <v>41</v>
      </c>
      <c r="D4552" t="s">
        <v>42</v>
      </c>
      <c r="E4552" t="s">
        <v>43</v>
      </c>
      <c r="F4552" t="s">
        <v>44</v>
      </c>
      <c r="G4552" t="s">
        <v>45</v>
      </c>
      <c r="AH4552" t="s">
        <v>42</v>
      </c>
      <c r="AI4552" t="str">
        <f>"11738"</f>
        <v>11738</v>
      </c>
      <c r="AJ4552" t="str">
        <f>"11738"</f>
        <v>11738</v>
      </c>
      <c r="AK4552" t="s">
        <v>46</v>
      </c>
      <c r="AL4552" s="1">
        <v>45054.782835648148</v>
      </c>
      <c r="AM4552" t="s">
        <v>44</v>
      </c>
    </row>
    <row r="4553" spans="1:39" x14ac:dyDescent="0.2">
      <c r="A4553" t="s">
        <v>4282</v>
      </c>
      <c r="B4553" t="s">
        <v>40</v>
      </c>
      <c r="C4553" t="s">
        <v>41</v>
      </c>
      <c r="D4553" t="s">
        <v>42</v>
      </c>
      <c r="E4553" t="s">
        <v>43</v>
      </c>
      <c r="F4553" t="s">
        <v>44</v>
      </c>
      <c r="G4553" t="s">
        <v>45</v>
      </c>
      <c r="AH4553" t="s">
        <v>42</v>
      </c>
      <c r="AI4553" t="str">
        <f>"11739"</f>
        <v>11739</v>
      </c>
      <c r="AJ4553" t="str">
        <f>"11739"</f>
        <v>11739</v>
      </c>
      <c r="AK4553" t="s">
        <v>46</v>
      </c>
      <c r="AL4553" s="1">
        <v>45054.783912037034</v>
      </c>
      <c r="AM4553" t="s">
        <v>44</v>
      </c>
    </row>
    <row r="4554" spans="1:39" x14ac:dyDescent="0.2">
      <c r="A4554" t="s">
        <v>4283</v>
      </c>
      <c r="B4554" t="s">
        <v>40</v>
      </c>
      <c r="C4554" t="s">
        <v>129</v>
      </c>
      <c r="D4554" t="s">
        <v>42</v>
      </c>
      <c r="E4554" t="s">
        <v>43</v>
      </c>
      <c r="F4554" t="s">
        <v>44</v>
      </c>
      <c r="G4554" t="s">
        <v>45</v>
      </c>
      <c r="AH4554" t="s">
        <v>42</v>
      </c>
      <c r="AI4554" t="str">
        <f>"66298942304165"</f>
        <v>66298942304165</v>
      </c>
      <c r="AJ4554" t="str">
        <f>"569"</f>
        <v>569</v>
      </c>
      <c r="AK4554" t="s">
        <v>46</v>
      </c>
      <c r="AL4554" s="1">
        <v>44816.5627662037</v>
      </c>
      <c r="AM4554" t="s">
        <v>44</v>
      </c>
    </row>
    <row r="4555" spans="1:39" x14ac:dyDescent="0.2">
      <c r="A4555" t="s">
        <v>4284</v>
      </c>
      <c r="B4555" t="s">
        <v>40</v>
      </c>
      <c r="C4555" t="s">
        <v>129</v>
      </c>
      <c r="D4555" t="s">
        <v>42</v>
      </c>
      <c r="E4555" t="s">
        <v>43</v>
      </c>
      <c r="F4555" t="s">
        <v>44</v>
      </c>
      <c r="G4555" t="s">
        <v>45</v>
      </c>
      <c r="AH4555" t="s">
        <v>42</v>
      </c>
      <c r="AI4555" t="str">
        <f>"66298942344793"</f>
        <v>66298942344793</v>
      </c>
      <c r="AJ4555" t="str">
        <f>"QB007"</f>
        <v>QB007</v>
      </c>
      <c r="AK4555" t="s">
        <v>46</v>
      </c>
      <c r="AL4555" s="1">
        <v>44816.5627662037</v>
      </c>
      <c r="AM4555" t="s">
        <v>44</v>
      </c>
    </row>
    <row r="4556" spans="1:39" x14ac:dyDescent="0.2">
      <c r="A4556" t="s">
        <v>4285</v>
      </c>
      <c r="B4556" t="s">
        <v>40</v>
      </c>
      <c r="C4556" t="s">
        <v>129</v>
      </c>
      <c r="D4556" t="s">
        <v>42</v>
      </c>
      <c r="E4556" t="s">
        <v>43</v>
      </c>
      <c r="F4556" t="s">
        <v>44</v>
      </c>
      <c r="G4556" t="s">
        <v>45</v>
      </c>
      <c r="AH4556" t="s">
        <v>42</v>
      </c>
      <c r="AI4556" t="str">
        <f>"66298942385060"</f>
        <v>66298942385060</v>
      </c>
      <c r="AJ4556" t="str">
        <f>"R035-B"</f>
        <v>R035-B</v>
      </c>
      <c r="AK4556" t="s">
        <v>46</v>
      </c>
      <c r="AL4556" s="1">
        <v>44816.5627662037</v>
      </c>
      <c r="AM4556" t="s">
        <v>44</v>
      </c>
    </row>
    <row r="4557" spans="1:39" x14ac:dyDescent="0.2">
      <c r="A4557" t="s">
        <v>4286</v>
      </c>
      <c r="B4557" t="s">
        <v>40</v>
      </c>
      <c r="C4557" t="s">
        <v>239</v>
      </c>
      <c r="D4557" t="s">
        <v>42</v>
      </c>
      <c r="E4557" t="s">
        <v>43</v>
      </c>
      <c r="F4557" t="s">
        <v>44</v>
      </c>
      <c r="G4557" t="s">
        <v>45</v>
      </c>
      <c r="AH4557" t="s">
        <v>42</v>
      </c>
      <c r="AI4557" t="str">
        <f>"66298942428893"</f>
        <v>66298942428893</v>
      </c>
      <c r="AJ4557" t="str">
        <f>"400974"</f>
        <v>400974</v>
      </c>
      <c r="AK4557" t="s">
        <v>46</v>
      </c>
      <c r="AL4557" s="1">
        <v>44816.562777777777</v>
      </c>
      <c r="AM4557" t="s">
        <v>44</v>
      </c>
    </row>
    <row r="4558" spans="1:39" x14ac:dyDescent="0.2">
      <c r="A4558" t="s">
        <v>4287</v>
      </c>
      <c r="B4558" t="s">
        <v>40</v>
      </c>
      <c r="C4558" t="s">
        <v>239</v>
      </c>
      <c r="D4558" t="s">
        <v>42</v>
      </c>
      <c r="E4558" t="s">
        <v>43</v>
      </c>
      <c r="F4558" t="s">
        <v>44</v>
      </c>
      <c r="G4558" t="s">
        <v>45</v>
      </c>
      <c r="AH4558" t="s">
        <v>42</v>
      </c>
      <c r="AI4558" t="str">
        <f>"66298942536211"</f>
        <v>66298942536211</v>
      </c>
      <c r="AJ4558" t="str">
        <f>"400975"</f>
        <v>400975</v>
      </c>
      <c r="AK4558" t="s">
        <v>46</v>
      </c>
      <c r="AL4558" s="1">
        <v>44816.562789351854</v>
      </c>
      <c r="AM4558" t="s">
        <v>44</v>
      </c>
    </row>
    <row r="4559" spans="1:39" x14ac:dyDescent="0.2">
      <c r="A4559" t="s">
        <v>4288</v>
      </c>
      <c r="B4559" t="s">
        <v>40</v>
      </c>
      <c r="C4559" t="s">
        <v>239</v>
      </c>
      <c r="D4559" t="s">
        <v>42</v>
      </c>
      <c r="E4559" t="s">
        <v>43</v>
      </c>
      <c r="F4559" t="s">
        <v>44</v>
      </c>
      <c r="G4559" t="s">
        <v>45</v>
      </c>
      <c r="AH4559" t="s">
        <v>42</v>
      </c>
      <c r="AI4559" t="str">
        <f>"66298942473027"</f>
        <v>66298942473027</v>
      </c>
      <c r="AJ4559" t="str">
        <f>"PP-30105-999"</f>
        <v>PP-30105-999</v>
      </c>
      <c r="AK4559" t="s">
        <v>46</v>
      </c>
      <c r="AL4559" s="1">
        <v>44816.562777777777</v>
      </c>
      <c r="AM4559" t="s">
        <v>44</v>
      </c>
    </row>
    <row r="4560" spans="1:39" x14ac:dyDescent="0.2">
      <c r="A4560" t="s">
        <v>4288</v>
      </c>
      <c r="B4560" t="s">
        <v>40</v>
      </c>
      <c r="C4560" t="s">
        <v>239</v>
      </c>
      <c r="D4560" t="s">
        <v>42</v>
      </c>
      <c r="E4560" t="s">
        <v>43</v>
      </c>
      <c r="F4560" t="s">
        <v>44</v>
      </c>
      <c r="G4560" t="s">
        <v>45</v>
      </c>
      <c r="AH4560" t="s">
        <v>42</v>
      </c>
      <c r="AI4560" t="str">
        <f>"66298942478951"</f>
        <v>66298942478951</v>
      </c>
      <c r="AJ4560" t="str">
        <f>"M112"</f>
        <v>M112</v>
      </c>
      <c r="AK4560" t="s">
        <v>46</v>
      </c>
      <c r="AL4560" s="1">
        <v>44816.562777777777</v>
      </c>
      <c r="AM4560" t="s">
        <v>44</v>
      </c>
    </row>
    <row r="4561" spans="1:39" x14ac:dyDescent="0.2">
      <c r="A4561" t="s">
        <v>4289</v>
      </c>
      <c r="B4561" t="s">
        <v>40</v>
      </c>
      <c r="C4561" t="s">
        <v>239</v>
      </c>
      <c r="D4561" t="s">
        <v>42</v>
      </c>
      <c r="E4561" t="s">
        <v>43</v>
      </c>
      <c r="F4561" t="s">
        <v>44</v>
      </c>
      <c r="G4561" t="s">
        <v>45</v>
      </c>
      <c r="AH4561" t="s">
        <v>42</v>
      </c>
      <c r="AI4561" t="str">
        <f>"66298942578586"</f>
        <v>66298942578586</v>
      </c>
      <c r="AJ4561" t="str">
        <f>"400976"</f>
        <v>400976</v>
      </c>
      <c r="AK4561" t="s">
        <v>46</v>
      </c>
      <c r="AL4561" s="1">
        <v>44816.562789351854</v>
      </c>
      <c r="AM4561" t="s">
        <v>44</v>
      </c>
    </row>
    <row r="4562" spans="1:39" x14ac:dyDescent="0.2">
      <c r="A4562" t="s">
        <v>4290</v>
      </c>
      <c r="B4562" t="s">
        <v>40</v>
      </c>
      <c r="C4562" t="s">
        <v>2388</v>
      </c>
      <c r="D4562" t="s">
        <v>42</v>
      </c>
      <c r="E4562" t="s">
        <v>43</v>
      </c>
      <c r="F4562" t="s">
        <v>44</v>
      </c>
      <c r="G4562" t="s">
        <v>45</v>
      </c>
      <c r="AH4562" t="s">
        <v>42</v>
      </c>
      <c r="AI4562" t="str">
        <f>"66298942618895"</f>
        <v>66298942618895</v>
      </c>
      <c r="AJ4562" t="str">
        <f>"R019"</f>
        <v>R019</v>
      </c>
      <c r="AK4562" t="s">
        <v>46</v>
      </c>
      <c r="AL4562" s="1">
        <v>44816.562800925924</v>
      </c>
      <c r="AM4562" t="s">
        <v>44</v>
      </c>
    </row>
    <row r="4563" spans="1:39" x14ac:dyDescent="0.2">
      <c r="A4563" t="s">
        <v>4291</v>
      </c>
      <c r="B4563" t="s">
        <v>40</v>
      </c>
      <c r="C4563" t="s">
        <v>50</v>
      </c>
      <c r="D4563" t="s">
        <v>42</v>
      </c>
      <c r="E4563" t="s">
        <v>43</v>
      </c>
      <c r="F4563" t="s">
        <v>44</v>
      </c>
      <c r="G4563" t="s">
        <v>45</v>
      </c>
      <c r="H4563" t="s">
        <v>2037</v>
      </c>
      <c r="AH4563" t="s">
        <v>42</v>
      </c>
      <c r="AI4563" t="str">
        <f>"2513"</f>
        <v>2513</v>
      </c>
      <c r="AJ4563" t="str">
        <f>"2513"</f>
        <v>2513</v>
      </c>
      <c r="AK4563" t="s">
        <v>46</v>
      </c>
      <c r="AL4563" s="1">
        <v>45134.675405092596</v>
      </c>
      <c r="AM4563" t="s">
        <v>44</v>
      </c>
    </row>
    <row r="4564" spans="1:39" x14ac:dyDescent="0.2">
      <c r="A4564" t="s">
        <v>4292</v>
      </c>
      <c r="B4564" t="s">
        <v>40</v>
      </c>
      <c r="C4564" t="s">
        <v>3630</v>
      </c>
      <c r="D4564" t="s">
        <v>42</v>
      </c>
      <c r="E4564" t="s">
        <v>43</v>
      </c>
      <c r="F4564" t="s">
        <v>44</v>
      </c>
      <c r="G4564" t="s">
        <v>45</v>
      </c>
      <c r="AH4564" t="s">
        <v>42</v>
      </c>
      <c r="AI4564" t="str">
        <f>"66298942660722"</f>
        <v>66298942660722</v>
      </c>
      <c r="AJ4564" t="str">
        <f>"80909"</f>
        <v>80909</v>
      </c>
      <c r="AK4564" t="s">
        <v>46</v>
      </c>
      <c r="AL4564" s="1">
        <v>44816.562800925924</v>
      </c>
      <c r="AM4564" t="s">
        <v>44</v>
      </c>
    </row>
    <row r="4565" spans="1:39" x14ac:dyDescent="0.2">
      <c r="A4565" t="s">
        <v>4293</v>
      </c>
      <c r="B4565" t="s">
        <v>40</v>
      </c>
      <c r="C4565" t="s">
        <v>1518</v>
      </c>
      <c r="D4565" t="s">
        <v>42</v>
      </c>
      <c r="E4565" t="s">
        <v>43</v>
      </c>
      <c r="F4565" t="s">
        <v>44</v>
      </c>
      <c r="G4565" t="s">
        <v>45</v>
      </c>
      <c r="AH4565" t="s">
        <v>42</v>
      </c>
      <c r="AI4565" t="str">
        <f>"B97F1640000"</f>
        <v>B97F1640000</v>
      </c>
      <c r="AJ4565" t="str">
        <f>"B97F1640000"</f>
        <v>B97F1640000</v>
      </c>
      <c r="AK4565" t="s">
        <v>46</v>
      </c>
      <c r="AL4565" s="1">
        <v>45104.595891203702</v>
      </c>
      <c r="AM4565" t="s">
        <v>44</v>
      </c>
    </row>
    <row r="4566" spans="1:39" x14ac:dyDescent="0.2">
      <c r="A4566" t="s">
        <v>4294</v>
      </c>
      <c r="B4566" t="s">
        <v>40</v>
      </c>
      <c r="C4566" t="s">
        <v>129</v>
      </c>
      <c r="D4566" t="s">
        <v>42</v>
      </c>
      <c r="E4566" t="s">
        <v>43</v>
      </c>
      <c r="F4566" t="s">
        <v>44</v>
      </c>
      <c r="G4566" t="s">
        <v>45</v>
      </c>
      <c r="AH4566" t="s">
        <v>42</v>
      </c>
      <c r="AI4566" t="str">
        <f>"66298942707037"</f>
        <v>66298942707037</v>
      </c>
      <c r="AJ4566" t="str">
        <f>"Y295"</f>
        <v>Y295</v>
      </c>
      <c r="AK4566" t="s">
        <v>46</v>
      </c>
      <c r="AL4566" s="1">
        <v>44816.5628125</v>
      </c>
      <c r="AM4566" t="s">
        <v>44</v>
      </c>
    </row>
    <row r="4567" spans="1:39" x14ac:dyDescent="0.2">
      <c r="A4567" t="s">
        <v>4295</v>
      </c>
      <c r="B4567" t="s">
        <v>40</v>
      </c>
      <c r="C4567" t="s">
        <v>3630</v>
      </c>
      <c r="D4567" t="s">
        <v>42</v>
      </c>
      <c r="E4567" t="s">
        <v>43</v>
      </c>
      <c r="F4567" t="s">
        <v>44</v>
      </c>
      <c r="G4567" t="s">
        <v>45</v>
      </c>
      <c r="AH4567" t="s">
        <v>42</v>
      </c>
      <c r="AI4567" t="str">
        <f>"66298942747220"</f>
        <v>66298942747220</v>
      </c>
      <c r="AJ4567" t="str">
        <f>"84898"</f>
        <v>84898</v>
      </c>
      <c r="AK4567" t="s">
        <v>46</v>
      </c>
      <c r="AL4567" s="1">
        <v>44816.5628125</v>
      </c>
      <c r="AM4567" t="s">
        <v>44</v>
      </c>
    </row>
    <row r="4568" spans="1:39" x14ac:dyDescent="0.2">
      <c r="A4568" t="s">
        <v>4296</v>
      </c>
      <c r="B4568" t="s">
        <v>40</v>
      </c>
      <c r="C4568" t="s">
        <v>41</v>
      </c>
      <c r="D4568" t="s">
        <v>42</v>
      </c>
      <c r="E4568" t="s">
        <v>43</v>
      </c>
      <c r="F4568" t="s">
        <v>44</v>
      </c>
      <c r="G4568" t="s">
        <v>45</v>
      </c>
      <c r="AH4568" t="s">
        <v>42</v>
      </c>
      <c r="AI4568" t="str">
        <f>"66298942788554"</f>
        <v>66298942788554</v>
      </c>
      <c r="AJ4568" t="str">
        <f>"7836"</f>
        <v>7836</v>
      </c>
      <c r="AK4568" t="s">
        <v>46</v>
      </c>
      <c r="AL4568" s="1">
        <v>44816.5628125</v>
      </c>
      <c r="AM4568" t="s">
        <v>44</v>
      </c>
    </row>
    <row r="4569" spans="1:39" x14ac:dyDescent="0.2">
      <c r="A4569" t="s">
        <v>4297</v>
      </c>
      <c r="B4569" t="s">
        <v>40</v>
      </c>
      <c r="C4569" t="s">
        <v>41</v>
      </c>
      <c r="D4569" t="s">
        <v>42</v>
      </c>
      <c r="E4569" t="s">
        <v>43</v>
      </c>
      <c r="F4569" t="s">
        <v>44</v>
      </c>
      <c r="G4569" t="s">
        <v>45</v>
      </c>
      <c r="AH4569" t="s">
        <v>42</v>
      </c>
      <c r="AI4569" t="str">
        <f>"66298942834150"</f>
        <v>66298942834150</v>
      </c>
      <c r="AJ4569" t="str">
        <f>"1612"</f>
        <v>1612</v>
      </c>
      <c r="AK4569" t="s">
        <v>46</v>
      </c>
      <c r="AL4569" s="1">
        <v>44816.562824074077</v>
      </c>
      <c r="AM4569" t="s">
        <v>44</v>
      </c>
    </row>
    <row r="4570" spans="1:39" x14ac:dyDescent="0.2">
      <c r="A4570" t="s">
        <v>4298</v>
      </c>
      <c r="B4570" t="s">
        <v>40</v>
      </c>
      <c r="C4570" t="s">
        <v>41</v>
      </c>
      <c r="D4570" t="s">
        <v>42</v>
      </c>
      <c r="E4570" t="s">
        <v>43</v>
      </c>
      <c r="F4570" t="s">
        <v>44</v>
      </c>
      <c r="G4570" t="s">
        <v>45</v>
      </c>
      <c r="AH4570" t="s">
        <v>42</v>
      </c>
      <c r="AI4570" t="str">
        <f>"11630"</f>
        <v>11630</v>
      </c>
      <c r="AJ4570" t="str">
        <f>"11630"</f>
        <v>11630</v>
      </c>
      <c r="AK4570" t="s">
        <v>46</v>
      </c>
      <c r="AL4570" s="1">
        <v>44950.670682870368</v>
      </c>
      <c r="AM4570" t="s">
        <v>44</v>
      </c>
    </row>
    <row r="4571" spans="1:39" x14ac:dyDescent="0.2">
      <c r="A4571" t="s">
        <v>4299</v>
      </c>
      <c r="B4571" t="s">
        <v>40</v>
      </c>
      <c r="C4571" t="s">
        <v>41</v>
      </c>
      <c r="D4571" t="s">
        <v>42</v>
      </c>
      <c r="E4571" t="s">
        <v>43</v>
      </c>
      <c r="F4571" t="s">
        <v>44</v>
      </c>
      <c r="G4571" t="s">
        <v>45</v>
      </c>
      <c r="AH4571" t="s">
        <v>42</v>
      </c>
      <c r="AI4571" t="str">
        <f>"800649"</f>
        <v>800649</v>
      </c>
      <c r="AJ4571" t="str">
        <f>"800649"</f>
        <v>800649</v>
      </c>
      <c r="AK4571" t="s">
        <v>46</v>
      </c>
      <c r="AL4571" s="1">
        <v>45093.913124999999</v>
      </c>
      <c r="AM4571" t="s">
        <v>44</v>
      </c>
    </row>
    <row r="4572" spans="1:39" x14ac:dyDescent="0.2">
      <c r="A4572" t="s">
        <v>4300</v>
      </c>
      <c r="B4572" t="s">
        <v>40</v>
      </c>
      <c r="C4572" t="s">
        <v>41</v>
      </c>
      <c r="D4572" t="s">
        <v>42</v>
      </c>
      <c r="E4572" t="s">
        <v>43</v>
      </c>
      <c r="F4572" t="s">
        <v>44</v>
      </c>
      <c r="G4572" t="s">
        <v>45</v>
      </c>
      <c r="AH4572" t="s">
        <v>42</v>
      </c>
      <c r="AI4572" t="str">
        <f>"66298942873927"</f>
        <v>66298942873927</v>
      </c>
      <c r="AJ4572" t="str">
        <f>"1602"</f>
        <v>1602</v>
      </c>
      <c r="AK4572" t="s">
        <v>46</v>
      </c>
      <c r="AL4572" s="1">
        <v>44816.562824074077</v>
      </c>
      <c r="AM4572" t="s">
        <v>44</v>
      </c>
    </row>
    <row r="4573" spans="1:39" x14ac:dyDescent="0.2">
      <c r="A4573" t="s">
        <v>4301</v>
      </c>
      <c r="B4573" t="s">
        <v>40</v>
      </c>
      <c r="C4573" t="s">
        <v>41</v>
      </c>
      <c r="D4573" t="s">
        <v>42</v>
      </c>
      <c r="E4573" t="s">
        <v>43</v>
      </c>
      <c r="F4573" t="s">
        <v>44</v>
      </c>
      <c r="G4573" t="s">
        <v>45</v>
      </c>
      <c r="AH4573" t="s">
        <v>42</v>
      </c>
      <c r="AI4573" t="str">
        <f>"RPP9007ZPC"</f>
        <v>RPP9007ZPC</v>
      </c>
      <c r="AJ4573" t="str">
        <f>"RPP9007ZPC"</f>
        <v>RPP9007ZPC</v>
      </c>
      <c r="AK4573" t="s">
        <v>46</v>
      </c>
      <c r="AL4573" s="1">
        <v>44862.785914351851</v>
      </c>
      <c r="AM4573" t="s">
        <v>44</v>
      </c>
    </row>
    <row r="4574" spans="1:39" x14ac:dyDescent="0.2">
      <c r="A4574" t="s">
        <v>4302</v>
      </c>
      <c r="B4574" t="s">
        <v>40</v>
      </c>
      <c r="C4574" t="s">
        <v>41</v>
      </c>
      <c r="D4574" t="s">
        <v>42</v>
      </c>
      <c r="E4574" t="s">
        <v>43</v>
      </c>
      <c r="F4574" t="s">
        <v>44</v>
      </c>
      <c r="G4574" t="s">
        <v>45</v>
      </c>
      <c r="AH4574" t="s">
        <v>42</v>
      </c>
      <c r="AI4574" t="str">
        <f>"66298942914550"</f>
        <v>66298942914550</v>
      </c>
      <c r="AJ4574" t="str">
        <f>"716C98"</f>
        <v>716C98</v>
      </c>
      <c r="AK4574" t="s">
        <v>46</v>
      </c>
      <c r="AL4574" s="1">
        <v>44816.562835648147</v>
      </c>
      <c r="AM4574" t="s">
        <v>44</v>
      </c>
    </row>
    <row r="4575" spans="1:39" x14ac:dyDescent="0.2">
      <c r="A4575" t="s">
        <v>4303</v>
      </c>
      <c r="B4575" t="s">
        <v>40</v>
      </c>
      <c r="C4575" t="s">
        <v>41</v>
      </c>
      <c r="D4575" t="s">
        <v>42</v>
      </c>
      <c r="E4575" t="s">
        <v>43</v>
      </c>
      <c r="F4575" t="s">
        <v>44</v>
      </c>
      <c r="G4575" t="s">
        <v>45</v>
      </c>
      <c r="AH4575" t="s">
        <v>42</v>
      </c>
      <c r="AI4575" t="str">
        <f>"12147"</f>
        <v>12147</v>
      </c>
      <c r="AJ4575" t="str">
        <f>"12147"</f>
        <v>12147</v>
      </c>
      <c r="AK4575" t="s">
        <v>46</v>
      </c>
      <c r="AL4575" s="1">
        <v>45054.789259259262</v>
      </c>
      <c r="AM4575" t="s">
        <v>44</v>
      </c>
    </row>
    <row r="4576" spans="1:39" x14ac:dyDescent="0.2">
      <c r="A4576" t="s">
        <v>4304</v>
      </c>
      <c r="B4576" t="s">
        <v>40</v>
      </c>
      <c r="C4576" t="s">
        <v>41</v>
      </c>
      <c r="D4576" t="s">
        <v>42</v>
      </c>
      <c r="E4576" t="s">
        <v>43</v>
      </c>
      <c r="F4576" t="s">
        <v>44</v>
      </c>
      <c r="G4576" t="s">
        <v>45</v>
      </c>
      <c r="AH4576" t="s">
        <v>42</v>
      </c>
      <c r="AI4576" t="str">
        <f>"H047"</f>
        <v>H047</v>
      </c>
      <c r="AJ4576" t="str">
        <f>"H047"</f>
        <v>H047</v>
      </c>
      <c r="AK4576" t="s">
        <v>46</v>
      </c>
      <c r="AL4576" s="1">
        <v>44855.817106481481</v>
      </c>
      <c r="AM4576" t="s">
        <v>44</v>
      </c>
    </row>
    <row r="4577" spans="1:39" x14ac:dyDescent="0.2">
      <c r="A4577" t="s">
        <v>4305</v>
      </c>
      <c r="B4577" t="s">
        <v>40</v>
      </c>
      <c r="C4577" t="s">
        <v>41</v>
      </c>
      <c r="D4577" t="s">
        <v>42</v>
      </c>
      <c r="E4577" t="s">
        <v>43</v>
      </c>
      <c r="F4577" t="s">
        <v>44</v>
      </c>
      <c r="G4577" t="s">
        <v>45</v>
      </c>
      <c r="AH4577" t="s">
        <v>42</v>
      </c>
      <c r="AI4577" t="str">
        <f>"66298942958238"</f>
        <v>66298942958238</v>
      </c>
      <c r="AJ4577" t="str">
        <f>"702003"</f>
        <v>702003</v>
      </c>
      <c r="AK4577" t="s">
        <v>46</v>
      </c>
      <c r="AL4577" s="1">
        <v>44816.562835648147</v>
      </c>
      <c r="AM4577" t="s">
        <v>44</v>
      </c>
    </row>
    <row r="4578" spans="1:39" x14ac:dyDescent="0.2">
      <c r="A4578" t="s">
        <v>4306</v>
      </c>
      <c r="B4578" t="s">
        <v>40</v>
      </c>
      <c r="C4578" t="s">
        <v>41</v>
      </c>
      <c r="D4578" t="s">
        <v>42</v>
      </c>
      <c r="E4578" t="s">
        <v>43</v>
      </c>
      <c r="F4578" t="s">
        <v>44</v>
      </c>
      <c r="G4578" t="s">
        <v>45</v>
      </c>
      <c r="AH4578" t="s">
        <v>42</v>
      </c>
      <c r="AI4578" t="str">
        <f>"66298942997297"</f>
        <v>66298942997297</v>
      </c>
      <c r="AJ4578" t="str">
        <f>"3394"</f>
        <v>3394</v>
      </c>
      <c r="AK4578" t="s">
        <v>46</v>
      </c>
      <c r="AL4578" s="1">
        <v>44816.562835648147</v>
      </c>
      <c r="AM4578" t="s">
        <v>44</v>
      </c>
    </row>
    <row r="4579" spans="1:39" x14ac:dyDescent="0.2">
      <c r="A4579" t="s">
        <v>4307</v>
      </c>
      <c r="B4579" t="s">
        <v>40</v>
      </c>
      <c r="C4579" t="s">
        <v>41</v>
      </c>
      <c r="D4579" t="s">
        <v>42</v>
      </c>
      <c r="E4579" t="s">
        <v>43</v>
      </c>
      <c r="F4579" t="s">
        <v>44</v>
      </c>
      <c r="G4579" t="s">
        <v>45</v>
      </c>
      <c r="AH4579" t="s">
        <v>42</v>
      </c>
      <c r="AI4579" t="str">
        <f>"11609"</f>
        <v>11609</v>
      </c>
      <c r="AJ4579" t="str">
        <f>"11609"</f>
        <v>11609</v>
      </c>
      <c r="AK4579" t="s">
        <v>46</v>
      </c>
      <c r="AL4579" s="1">
        <v>45054.758796296293</v>
      </c>
      <c r="AM4579" t="s">
        <v>44</v>
      </c>
    </row>
    <row r="4580" spans="1:39" x14ac:dyDescent="0.2">
      <c r="A4580" t="s">
        <v>4308</v>
      </c>
      <c r="B4580" t="s">
        <v>40</v>
      </c>
      <c r="C4580" t="s">
        <v>41</v>
      </c>
      <c r="D4580" t="s">
        <v>42</v>
      </c>
      <c r="E4580" t="s">
        <v>43</v>
      </c>
      <c r="F4580" t="s">
        <v>44</v>
      </c>
      <c r="G4580" t="s">
        <v>45</v>
      </c>
      <c r="AH4580" t="s">
        <v>42</v>
      </c>
      <c r="AI4580" t="str">
        <f>"11962"</f>
        <v>11962</v>
      </c>
      <c r="AJ4580" t="str">
        <f>"11962"</f>
        <v>11962</v>
      </c>
      <c r="AK4580" t="s">
        <v>46</v>
      </c>
      <c r="AL4580" s="1">
        <v>45054.762106481481</v>
      </c>
      <c r="AM4580" t="s">
        <v>44</v>
      </c>
    </row>
    <row r="4581" spans="1:39" x14ac:dyDescent="0.2">
      <c r="A4581" t="s">
        <v>4309</v>
      </c>
      <c r="B4581" t="s">
        <v>40</v>
      </c>
      <c r="C4581" t="s">
        <v>41</v>
      </c>
      <c r="D4581" t="s">
        <v>42</v>
      </c>
      <c r="E4581" t="s">
        <v>43</v>
      </c>
      <c r="F4581" t="s">
        <v>44</v>
      </c>
      <c r="G4581" t="s">
        <v>45</v>
      </c>
      <c r="AH4581" t="s">
        <v>42</v>
      </c>
      <c r="AI4581" t="str">
        <f>"66298943038571"</f>
        <v>66298943038571</v>
      </c>
      <c r="AJ4581" t="str">
        <f>"800657"</f>
        <v>800657</v>
      </c>
      <c r="AK4581" t="s">
        <v>46</v>
      </c>
      <c r="AL4581" s="1">
        <v>44816.562847222223</v>
      </c>
      <c r="AM4581" t="s">
        <v>44</v>
      </c>
    </row>
    <row r="4582" spans="1:39" x14ac:dyDescent="0.2">
      <c r="A4582" t="s">
        <v>4310</v>
      </c>
      <c r="B4582" t="s">
        <v>40</v>
      </c>
      <c r="C4582" t="s">
        <v>41</v>
      </c>
      <c r="D4582" t="s">
        <v>42</v>
      </c>
      <c r="E4582" t="s">
        <v>43</v>
      </c>
      <c r="F4582" t="s">
        <v>44</v>
      </c>
      <c r="G4582" t="s">
        <v>45</v>
      </c>
      <c r="AH4582" t="s">
        <v>42</v>
      </c>
      <c r="AI4582" t="str">
        <f>"66298943078471"</f>
        <v>66298943078471</v>
      </c>
      <c r="AJ4582" t="str">
        <f>"1579"</f>
        <v>1579</v>
      </c>
      <c r="AK4582" t="s">
        <v>46</v>
      </c>
      <c r="AL4582" s="1">
        <v>44816.562847222223</v>
      </c>
      <c r="AM4582" t="s">
        <v>44</v>
      </c>
    </row>
    <row r="4583" spans="1:39" x14ac:dyDescent="0.2">
      <c r="A4583" t="s">
        <v>4311</v>
      </c>
      <c r="B4583" t="s">
        <v>40</v>
      </c>
      <c r="C4583" t="s">
        <v>41</v>
      </c>
      <c r="D4583" t="s">
        <v>42</v>
      </c>
      <c r="E4583" t="s">
        <v>43</v>
      </c>
      <c r="F4583" t="s">
        <v>44</v>
      </c>
      <c r="G4583" t="s">
        <v>45</v>
      </c>
      <c r="AH4583" t="s">
        <v>42</v>
      </c>
      <c r="AI4583" t="str">
        <f>"11627"</f>
        <v>11627</v>
      </c>
      <c r="AJ4583" t="str">
        <f>"11627"</f>
        <v>11627</v>
      </c>
      <c r="AK4583" t="s">
        <v>46</v>
      </c>
      <c r="AL4583" s="1">
        <v>44950.670138888891</v>
      </c>
      <c r="AM4583" t="s">
        <v>44</v>
      </c>
    </row>
    <row r="4584" spans="1:39" x14ac:dyDescent="0.2">
      <c r="A4584" t="s">
        <v>4312</v>
      </c>
      <c r="B4584" t="s">
        <v>40</v>
      </c>
      <c r="C4584" t="s">
        <v>41</v>
      </c>
      <c r="D4584" t="s">
        <v>42</v>
      </c>
      <c r="E4584" t="s">
        <v>43</v>
      </c>
      <c r="F4584" t="s">
        <v>44</v>
      </c>
      <c r="G4584" t="s">
        <v>45</v>
      </c>
      <c r="AH4584" t="s">
        <v>42</v>
      </c>
      <c r="AI4584" t="str">
        <f>"18524"</f>
        <v>18524</v>
      </c>
      <c r="AJ4584" t="str">
        <f>"18524"</f>
        <v>18524</v>
      </c>
      <c r="AK4584" t="s">
        <v>46</v>
      </c>
      <c r="AL4584" s="1">
        <v>45093.914131944446</v>
      </c>
      <c r="AM4584" t="s">
        <v>44</v>
      </c>
    </row>
    <row r="4585" spans="1:39" x14ac:dyDescent="0.2">
      <c r="A4585" t="s">
        <v>4313</v>
      </c>
      <c r="B4585" t="s">
        <v>40</v>
      </c>
      <c r="C4585" t="s">
        <v>129</v>
      </c>
      <c r="D4585" t="s">
        <v>42</v>
      </c>
      <c r="E4585" t="s">
        <v>43</v>
      </c>
      <c r="F4585" t="s">
        <v>44</v>
      </c>
      <c r="G4585" t="s">
        <v>45</v>
      </c>
      <c r="AH4585" t="s">
        <v>42</v>
      </c>
      <c r="AI4585" t="str">
        <f>"66298943120254"</f>
        <v>66298943120254</v>
      </c>
      <c r="AJ4585" t="str">
        <f>"81771"</f>
        <v>81771</v>
      </c>
      <c r="AK4585" t="s">
        <v>46</v>
      </c>
      <c r="AL4585" s="1">
        <v>44816.562858796293</v>
      </c>
      <c r="AM4585" t="s">
        <v>44</v>
      </c>
    </row>
    <row r="4586" spans="1:39" x14ac:dyDescent="0.2">
      <c r="A4586" t="s">
        <v>4314</v>
      </c>
      <c r="B4586" t="s">
        <v>40</v>
      </c>
      <c r="C4586" t="s">
        <v>129</v>
      </c>
      <c r="D4586" t="s">
        <v>42</v>
      </c>
      <c r="E4586" t="s">
        <v>43</v>
      </c>
      <c r="F4586" t="s">
        <v>44</v>
      </c>
      <c r="G4586" t="s">
        <v>45</v>
      </c>
      <c r="AH4586" t="s">
        <v>42</v>
      </c>
      <c r="AI4586" t="str">
        <f>"66298943172358"</f>
        <v>66298943172358</v>
      </c>
      <c r="AJ4586" t="str">
        <f>"QH002"</f>
        <v>QH002</v>
      </c>
      <c r="AK4586" t="s">
        <v>46</v>
      </c>
      <c r="AL4586" s="1">
        <v>44816.562858796293</v>
      </c>
      <c r="AM4586" t="s">
        <v>44</v>
      </c>
    </row>
    <row r="4587" spans="1:39" x14ac:dyDescent="0.2">
      <c r="A4587" t="s">
        <v>4315</v>
      </c>
      <c r="B4587" t="s">
        <v>40</v>
      </c>
      <c r="C4587" t="s">
        <v>129</v>
      </c>
      <c r="D4587" t="s">
        <v>42</v>
      </c>
      <c r="E4587" t="s">
        <v>43</v>
      </c>
      <c r="F4587" t="s">
        <v>44</v>
      </c>
      <c r="G4587" t="s">
        <v>45</v>
      </c>
      <c r="AH4587" t="s">
        <v>42</v>
      </c>
      <c r="AI4587" t="str">
        <f>"66298943228023"</f>
        <v>66298943228023</v>
      </c>
      <c r="AJ4587" t="str">
        <f>"2FB-H2917-00"</f>
        <v>2FB-H2917-00</v>
      </c>
      <c r="AK4587" t="s">
        <v>46</v>
      </c>
      <c r="AL4587" s="1">
        <v>44816.56287037037</v>
      </c>
      <c r="AM4587" t="s">
        <v>44</v>
      </c>
    </row>
    <row r="4588" spans="1:39" x14ac:dyDescent="0.2">
      <c r="A4588" t="s">
        <v>4316</v>
      </c>
      <c r="B4588" t="s">
        <v>40</v>
      </c>
      <c r="C4588" t="s">
        <v>129</v>
      </c>
      <c r="D4588" t="s">
        <v>42</v>
      </c>
      <c r="E4588" t="s">
        <v>43</v>
      </c>
      <c r="F4588" t="s">
        <v>44</v>
      </c>
      <c r="G4588" t="s">
        <v>45</v>
      </c>
      <c r="AH4588" t="s">
        <v>42</v>
      </c>
      <c r="AI4588" t="str">
        <f>"66298943275647"</f>
        <v>66298943275647</v>
      </c>
      <c r="AJ4588" t="str">
        <f>"80310"</f>
        <v>80310</v>
      </c>
      <c r="AK4588" t="s">
        <v>46</v>
      </c>
      <c r="AL4588" s="1">
        <v>44816.56287037037</v>
      </c>
      <c r="AM4588" t="s">
        <v>44</v>
      </c>
    </row>
    <row r="4589" spans="1:39" x14ac:dyDescent="0.2">
      <c r="A4589" t="s">
        <v>4317</v>
      </c>
      <c r="B4589" t="s">
        <v>40</v>
      </c>
      <c r="C4589" t="s">
        <v>129</v>
      </c>
      <c r="D4589" t="s">
        <v>42</v>
      </c>
      <c r="E4589" t="s">
        <v>43</v>
      </c>
      <c r="F4589" t="s">
        <v>44</v>
      </c>
      <c r="G4589" t="s">
        <v>45</v>
      </c>
      <c r="AH4589" t="s">
        <v>42</v>
      </c>
      <c r="AI4589" t="str">
        <f>"66298943319692"</f>
        <v>66298943319692</v>
      </c>
      <c r="AJ4589" t="str">
        <f>"QH001"</f>
        <v>QH001</v>
      </c>
      <c r="AK4589" t="s">
        <v>46</v>
      </c>
      <c r="AL4589" s="1">
        <v>44816.562881944446</v>
      </c>
      <c r="AM4589" t="s">
        <v>44</v>
      </c>
    </row>
    <row r="4590" spans="1:39" x14ac:dyDescent="0.2">
      <c r="A4590" t="s">
        <v>4318</v>
      </c>
      <c r="B4590" t="s">
        <v>40</v>
      </c>
      <c r="C4590" t="s">
        <v>129</v>
      </c>
      <c r="D4590" t="s">
        <v>42</v>
      </c>
      <c r="E4590" t="s">
        <v>43</v>
      </c>
      <c r="F4590" t="s">
        <v>44</v>
      </c>
      <c r="G4590" t="s">
        <v>45</v>
      </c>
      <c r="AH4590" t="s">
        <v>42</v>
      </c>
      <c r="AI4590" t="str">
        <f>"66298943361183"</f>
        <v>66298943361183</v>
      </c>
      <c r="AJ4590" t="str">
        <f>"80312"</f>
        <v>80312</v>
      </c>
      <c r="AK4590" t="s">
        <v>46</v>
      </c>
      <c r="AL4590" s="1">
        <v>44816.562881944446</v>
      </c>
      <c r="AM4590" t="s">
        <v>44</v>
      </c>
    </row>
    <row r="4591" spans="1:39" x14ac:dyDescent="0.2">
      <c r="A4591" t="s">
        <v>4319</v>
      </c>
      <c r="B4591" t="s">
        <v>40</v>
      </c>
      <c r="C4591" t="s">
        <v>129</v>
      </c>
      <c r="D4591" t="s">
        <v>42</v>
      </c>
      <c r="E4591" t="s">
        <v>43</v>
      </c>
      <c r="F4591" t="s">
        <v>44</v>
      </c>
      <c r="G4591" t="s">
        <v>45</v>
      </c>
      <c r="AH4591" t="s">
        <v>42</v>
      </c>
      <c r="AI4591" t="str">
        <f>"66298943610666"</f>
        <v>66298943610666</v>
      </c>
      <c r="AJ4591" t="str">
        <f>"BG001"</f>
        <v>BG001</v>
      </c>
      <c r="AK4591" t="s">
        <v>46</v>
      </c>
      <c r="AL4591" s="1">
        <v>44816.562916666669</v>
      </c>
      <c r="AM4591" t="s">
        <v>44</v>
      </c>
    </row>
    <row r="4592" spans="1:39" x14ac:dyDescent="0.2">
      <c r="A4592" t="s">
        <v>4319</v>
      </c>
      <c r="B4592" t="s">
        <v>40</v>
      </c>
      <c r="C4592" t="s">
        <v>4320</v>
      </c>
      <c r="D4592" t="s">
        <v>42</v>
      </c>
      <c r="E4592" t="s">
        <v>43</v>
      </c>
      <c r="F4592" t="s">
        <v>44</v>
      </c>
      <c r="G4592" t="s">
        <v>45</v>
      </c>
      <c r="AH4592" t="s">
        <v>42</v>
      </c>
      <c r="AI4592" t="str">
        <f>"QG007"</f>
        <v>QG007</v>
      </c>
      <c r="AJ4592" t="str">
        <f>"QG007"</f>
        <v>QG007</v>
      </c>
      <c r="AK4592" t="s">
        <v>46</v>
      </c>
      <c r="AL4592" s="1">
        <v>45093.915324074071</v>
      </c>
      <c r="AM4592" t="s">
        <v>44</v>
      </c>
    </row>
    <row r="4593" spans="1:39" x14ac:dyDescent="0.2">
      <c r="A4593" t="s">
        <v>4321</v>
      </c>
      <c r="B4593" t="s">
        <v>40</v>
      </c>
      <c r="C4593" t="s">
        <v>129</v>
      </c>
      <c r="D4593" t="s">
        <v>42</v>
      </c>
      <c r="E4593" t="s">
        <v>43</v>
      </c>
      <c r="F4593" t="s">
        <v>44</v>
      </c>
      <c r="G4593" t="s">
        <v>45</v>
      </c>
      <c r="AH4593" t="s">
        <v>42</v>
      </c>
      <c r="AI4593" t="str">
        <f>"66298943404653"</f>
        <v>66298943404653</v>
      </c>
      <c r="AJ4593" t="str">
        <f>"BG002"</f>
        <v>BG002</v>
      </c>
      <c r="AK4593" t="s">
        <v>46</v>
      </c>
      <c r="AL4593" s="1">
        <v>44816.562893518516</v>
      </c>
      <c r="AM4593" t="s">
        <v>44</v>
      </c>
    </row>
    <row r="4594" spans="1:39" x14ac:dyDescent="0.2">
      <c r="A4594" t="s">
        <v>4322</v>
      </c>
      <c r="B4594" t="s">
        <v>40</v>
      </c>
      <c r="C4594" t="s">
        <v>129</v>
      </c>
      <c r="D4594" t="s">
        <v>42</v>
      </c>
      <c r="E4594" t="s">
        <v>43</v>
      </c>
      <c r="F4594" t="s">
        <v>44</v>
      </c>
      <c r="G4594" t="s">
        <v>45</v>
      </c>
      <c r="AH4594" t="s">
        <v>42</v>
      </c>
      <c r="AI4594" t="str">
        <f>"66298943445925"</f>
        <v>66298943445925</v>
      </c>
      <c r="AJ4594" t="str">
        <f>"80313"</f>
        <v>80313</v>
      </c>
      <c r="AK4594" t="s">
        <v>46</v>
      </c>
      <c r="AL4594" s="1">
        <v>44816.562893518516</v>
      </c>
      <c r="AM4594" t="s">
        <v>44</v>
      </c>
    </row>
    <row r="4595" spans="1:39" x14ac:dyDescent="0.2">
      <c r="A4595" t="s">
        <v>4323</v>
      </c>
      <c r="B4595" t="s">
        <v>40</v>
      </c>
      <c r="C4595" t="s">
        <v>129</v>
      </c>
      <c r="D4595" t="s">
        <v>42</v>
      </c>
      <c r="E4595" t="s">
        <v>43</v>
      </c>
      <c r="F4595" t="s">
        <v>44</v>
      </c>
      <c r="G4595" t="s">
        <v>45</v>
      </c>
      <c r="AH4595" t="s">
        <v>42</v>
      </c>
      <c r="AI4595" t="str">
        <f>"66298943486698"</f>
        <v>66298943486698</v>
      </c>
      <c r="AJ4595" t="str">
        <f>"QH003"</f>
        <v>QH003</v>
      </c>
      <c r="AK4595" t="s">
        <v>46</v>
      </c>
      <c r="AL4595" s="1">
        <v>44816.562893518516</v>
      </c>
      <c r="AM4595" t="s">
        <v>44</v>
      </c>
    </row>
    <row r="4596" spans="1:39" x14ac:dyDescent="0.2">
      <c r="A4596" t="s">
        <v>4324</v>
      </c>
      <c r="B4596" t="s">
        <v>40</v>
      </c>
      <c r="C4596" t="s">
        <v>129</v>
      </c>
      <c r="D4596" t="s">
        <v>42</v>
      </c>
      <c r="E4596" t="s">
        <v>43</v>
      </c>
      <c r="F4596" t="s">
        <v>44</v>
      </c>
      <c r="G4596" t="s">
        <v>45</v>
      </c>
      <c r="AH4596" t="s">
        <v>42</v>
      </c>
      <c r="AI4596" t="str">
        <f>"66298943565420"</f>
        <v>66298943565420</v>
      </c>
      <c r="AJ4596" t="str">
        <f>"BG005"</f>
        <v>BG005</v>
      </c>
      <c r="AK4596" t="s">
        <v>46</v>
      </c>
      <c r="AL4596" s="1">
        <v>44816.562905092593</v>
      </c>
      <c r="AM4596" t="s">
        <v>44</v>
      </c>
    </row>
    <row r="4597" spans="1:39" x14ac:dyDescent="0.2">
      <c r="A4597" t="s">
        <v>4325</v>
      </c>
      <c r="B4597" t="s">
        <v>40</v>
      </c>
      <c r="C4597" t="s">
        <v>129</v>
      </c>
      <c r="D4597" t="s">
        <v>42</v>
      </c>
      <c r="E4597" t="s">
        <v>43</v>
      </c>
      <c r="F4597" t="s">
        <v>44</v>
      </c>
      <c r="G4597" t="s">
        <v>45</v>
      </c>
      <c r="AH4597" t="s">
        <v>42</v>
      </c>
      <c r="AI4597" t="str">
        <f>"66298943522776"</f>
        <v>66298943522776</v>
      </c>
      <c r="AJ4597" t="str">
        <f>"BG006"</f>
        <v>BG006</v>
      </c>
      <c r="AK4597" t="s">
        <v>46</v>
      </c>
      <c r="AL4597" s="1">
        <v>44816.562905092593</v>
      </c>
      <c r="AM4597" t="s">
        <v>44</v>
      </c>
    </row>
    <row r="4598" spans="1:39" x14ac:dyDescent="0.2">
      <c r="A4598" t="s">
        <v>4326</v>
      </c>
      <c r="B4598" t="s">
        <v>40</v>
      </c>
      <c r="C4598" t="s">
        <v>4327</v>
      </c>
      <c r="D4598" t="s">
        <v>42</v>
      </c>
      <c r="E4598" t="s">
        <v>43</v>
      </c>
      <c r="F4598" t="s">
        <v>44</v>
      </c>
      <c r="G4598" t="s">
        <v>45</v>
      </c>
      <c r="AH4598" t="s">
        <v>42</v>
      </c>
      <c r="AI4598" t="str">
        <f>"82852"</f>
        <v>82852</v>
      </c>
      <c r="AJ4598" t="str">
        <f>"82852"</f>
        <v>82852</v>
      </c>
      <c r="AK4598" t="s">
        <v>46</v>
      </c>
      <c r="AL4598" s="1">
        <v>44817.866261574076</v>
      </c>
      <c r="AM4598" t="s">
        <v>44</v>
      </c>
    </row>
    <row r="4599" spans="1:39" x14ac:dyDescent="0.2">
      <c r="A4599" t="s">
        <v>4328</v>
      </c>
      <c r="B4599" t="s">
        <v>40</v>
      </c>
      <c r="C4599" t="s">
        <v>4327</v>
      </c>
      <c r="D4599" t="s">
        <v>42</v>
      </c>
      <c r="E4599" t="s">
        <v>43</v>
      </c>
      <c r="F4599" t="s">
        <v>44</v>
      </c>
      <c r="G4599" t="s">
        <v>45</v>
      </c>
      <c r="AH4599" t="s">
        <v>42</v>
      </c>
      <c r="AI4599" t="str">
        <f>"SWITCH-CR"</f>
        <v>SWITCH-CR</v>
      </c>
      <c r="AJ4599" t="str">
        <f>"SWITCH-CR"</f>
        <v>SWITCH-CR</v>
      </c>
      <c r="AK4599" t="s">
        <v>46</v>
      </c>
      <c r="AL4599" s="1">
        <v>45000.870497685188</v>
      </c>
      <c r="AM4599" t="s">
        <v>44</v>
      </c>
    </row>
    <row r="4600" spans="1:39" x14ac:dyDescent="0.2">
      <c r="A4600" t="s">
        <v>4328</v>
      </c>
      <c r="B4600" t="s">
        <v>40</v>
      </c>
      <c r="C4600" t="s">
        <v>4320</v>
      </c>
      <c r="D4600" t="s">
        <v>42</v>
      </c>
      <c r="E4600" t="s">
        <v>43</v>
      </c>
      <c r="F4600" t="s">
        <v>44</v>
      </c>
      <c r="G4600" t="s">
        <v>45</v>
      </c>
      <c r="AH4600" t="s">
        <v>42</v>
      </c>
      <c r="AI4600" t="str">
        <f>"80311"</f>
        <v>80311</v>
      </c>
      <c r="AJ4600" t="str">
        <f>"80311"</f>
        <v>80311</v>
      </c>
      <c r="AK4600" t="s">
        <v>46</v>
      </c>
      <c r="AL4600" s="1">
        <v>45059.66479166667</v>
      </c>
      <c r="AM4600" t="s">
        <v>44</v>
      </c>
    </row>
    <row r="4601" spans="1:39" x14ac:dyDescent="0.2">
      <c r="A4601" t="s">
        <v>4329</v>
      </c>
      <c r="B4601" t="s">
        <v>40</v>
      </c>
      <c r="C4601" t="s">
        <v>129</v>
      </c>
      <c r="D4601" t="s">
        <v>42</v>
      </c>
      <c r="E4601" t="s">
        <v>43</v>
      </c>
      <c r="F4601" t="s">
        <v>44</v>
      </c>
      <c r="G4601" t="s">
        <v>45</v>
      </c>
      <c r="AH4601" t="s">
        <v>42</v>
      </c>
      <c r="AI4601" t="str">
        <f>"66298943650584"</f>
        <v>66298943650584</v>
      </c>
      <c r="AJ4601" t="str">
        <f>"400445"</f>
        <v>400445</v>
      </c>
      <c r="AK4601" t="s">
        <v>46</v>
      </c>
      <c r="AL4601" s="1">
        <v>44816.562916666669</v>
      </c>
      <c r="AM4601" t="s">
        <v>44</v>
      </c>
    </row>
    <row r="4602" spans="1:39" x14ac:dyDescent="0.2">
      <c r="A4602" t="s">
        <v>4330</v>
      </c>
      <c r="B4602" t="s">
        <v>40</v>
      </c>
      <c r="C4602" t="s">
        <v>129</v>
      </c>
      <c r="D4602" t="s">
        <v>42</v>
      </c>
      <c r="E4602" t="s">
        <v>43</v>
      </c>
      <c r="F4602" t="s">
        <v>44</v>
      </c>
      <c r="G4602" t="s">
        <v>45</v>
      </c>
      <c r="AH4602" t="s">
        <v>42</v>
      </c>
      <c r="AI4602" t="str">
        <f>"66298943687679"</f>
        <v>66298943687679</v>
      </c>
      <c r="AJ4602" t="str">
        <f>"35750-GS3-003JP"</f>
        <v>35750-GS3-003JP</v>
      </c>
      <c r="AK4602" t="s">
        <v>46</v>
      </c>
      <c r="AL4602" s="1">
        <v>44816.562916666669</v>
      </c>
      <c r="AM4602" t="s">
        <v>44</v>
      </c>
    </row>
    <row r="4603" spans="1:39" x14ac:dyDescent="0.2">
      <c r="A4603" t="s">
        <v>4331</v>
      </c>
      <c r="B4603" t="s">
        <v>40</v>
      </c>
      <c r="C4603" t="s">
        <v>4332</v>
      </c>
      <c r="D4603" t="s">
        <v>42</v>
      </c>
      <c r="E4603" t="s">
        <v>43</v>
      </c>
      <c r="F4603" t="s">
        <v>44</v>
      </c>
      <c r="G4603" t="s">
        <v>45</v>
      </c>
      <c r="AH4603" t="s">
        <v>42</v>
      </c>
      <c r="AI4603" t="str">
        <f>"66298943727021"</f>
        <v>66298943727021</v>
      </c>
      <c r="AJ4603" t="str">
        <f>"49CC03"</f>
        <v>49CC03</v>
      </c>
      <c r="AK4603" t="s">
        <v>46</v>
      </c>
      <c r="AL4603" s="1">
        <v>44816.562928240739</v>
      </c>
      <c r="AM4603" t="s">
        <v>44</v>
      </c>
    </row>
    <row r="4604" spans="1:39" x14ac:dyDescent="0.2">
      <c r="A4604" t="s">
        <v>4333</v>
      </c>
      <c r="B4604" t="s">
        <v>40</v>
      </c>
      <c r="C4604" t="s">
        <v>4332</v>
      </c>
      <c r="D4604" t="s">
        <v>42</v>
      </c>
      <c r="E4604" t="s">
        <v>43</v>
      </c>
      <c r="F4604" t="s">
        <v>44</v>
      </c>
      <c r="G4604" t="s">
        <v>45</v>
      </c>
      <c r="AH4604" t="s">
        <v>42</v>
      </c>
      <c r="AI4604" t="str">
        <f>"66298943770297"</f>
        <v>66298943770297</v>
      </c>
      <c r="AJ4604" t="str">
        <f>"82111"</f>
        <v>82111</v>
      </c>
      <c r="AK4604" t="s">
        <v>46</v>
      </c>
      <c r="AL4604" s="1">
        <v>44816.562928240739</v>
      </c>
      <c r="AM4604" t="s">
        <v>44</v>
      </c>
    </row>
    <row r="4605" spans="1:39" x14ac:dyDescent="0.2">
      <c r="A4605" t="s">
        <v>4334</v>
      </c>
      <c r="B4605" t="s">
        <v>40</v>
      </c>
      <c r="C4605" t="s">
        <v>4332</v>
      </c>
      <c r="D4605" t="s">
        <v>42</v>
      </c>
      <c r="E4605" t="s">
        <v>43</v>
      </c>
      <c r="F4605" t="s">
        <v>44</v>
      </c>
      <c r="G4605" t="s">
        <v>45</v>
      </c>
      <c r="AH4605" t="s">
        <v>42</v>
      </c>
      <c r="AI4605" t="str">
        <f>"B202"</f>
        <v>B202</v>
      </c>
      <c r="AJ4605" t="str">
        <f>"B202"</f>
        <v>B202</v>
      </c>
      <c r="AK4605" t="s">
        <v>46</v>
      </c>
      <c r="AL4605" s="1">
        <v>44995.7421412037</v>
      </c>
      <c r="AM4605" t="s">
        <v>44</v>
      </c>
    </row>
    <row r="4606" spans="1:39" x14ac:dyDescent="0.2">
      <c r="A4606" t="s">
        <v>4335</v>
      </c>
      <c r="B4606" t="s">
        <v>40</v>
      </c>
      <c r="C4606" t="s">
        <v>4332</v>
      </c>
      <c r="D4606" t="s">
        <v>42</v>
      </c>
      <c r="E4606" t="s">
        <v>43</v>
      </c>
      <c r="F4606" t="s">
        <v>44</v>
      </c>
      <c r="G4606" t="s">
        <v>45</v>
      </c>
      <c r="AH4606" t="s">
        <v>42</v>
      </c>
      <c r="AI4606" t="str">
        <f>"B214"</f>
        <v>B214</v>
      </c>
      <c r="AJ4606" t="str">
        <f>"B214"</f>
        <v>B214</v>
      </c>
      <c r="AK4606" t="s">
        <v>46</v>
      </c>
      <c r="AL4606" s="1">
        <v>44970.855532407404</v>
      </c>
      <c r="AM4606" t="s">
        <v>44</v>
      </c>
    </row>
    <row r="4607" spans="1:39" x14ac:dyDescent="0.2">
      <c r="A4607" t="s">
        <v>4336</v>
      </c>
      <c r="B4607" t="s">
        <v>40</v>
      </c>
      <c r="C4607" t="s">
        <v>4332</v>
      </c>
      <c r="D4607" t="s">
        <v>42</v>
      </c>
      <c r="E4607" t="s">
        <v>43</v>
      </c>
      <c r="F4607" t="s">
        <v>44</v>
      </c>
      <c r="G4607" t="s">
        <v>45</v>
      </c>
      <c r="AH4607" t="s">
        <v>42</v>
      </c>
      <c r="AI4607" t="str">
        <f>"B204"</f>
        <v>B204</v>
      </c>
      <c r="AJ4607" t="str">
        <f>"B204"</f>
        <v>B204</v>
      </c>
      <c r="AK4607" t="s">
        <v>46</v>
      </c>
      <c r="AL4607" s="1">
        <v>44858.805520833332</v>
      </c>
      <c r="AM4607" t="s">
        <v>44</v>
      </c>
    </row>
    <row r="4608" spans="1:39" x14ac:dyDescent="0.2">
      <c r="A4608" t="s">
        <v>4337</v>
      </c>
      <c r="B4608" t="s">
        <v>40</v>
      </c>
      <c r="C4608" t="s">
        <v>4332</v>
      </c>
      <c r="D4608" t="s">
        <v>42</v>
      </c>
      <c r="E4608" t="s">
        <v>43</v>
      </c>
      <c r="F4608" t="s">
        <v>44</v>
      </c>
      <c r="G4608" t="s">
        <v>45</v>
      </c>
      <c r="AH4608" t="s">
        <v>42</v>
      </c>
      <c r="AI4608" t="str">
        <f>"66298943811165"</f>
        <v>66298943811165</v>
      </c>
      <c r="AJ4608" t="str">
        <f>"C021"</f>
        <v>C021</v>
      </c>
      <c r="AK4608" t="s">
        <v>46</v>
      </c>
      <c r="AL4608" s="1">
        <v>44816.562939814816</v>
      </c>
      <c r="AM4608" t="s">
        <v>44</v>
      </c>
    </row>
    <row r="4609" spans="1:39" x14ac:dyDescent="0.2">
      <c r="A4609" t="s">
        <v>4338</v>
      </c>
      <c r="B4609" t="s">
        <v>40</v>
      </c>
      <c r="C4609" t="s">
        <v>4332</v>
      </c>
      <c r="D4609" t="s">
        <v>42</v>
      </c>
      <c r="E4609" t="s">
        <v>43</v>
      </c>
      <c r="F4609" t="s">
        <v>44</v>
      </c>
      <c r="G4609" t="s">
        <v>45</v>
      </c>
      <c r="AH4609" t="s">
        <v>42</v>
      </c>
      <c r="AI4609" t="str">
        <f>"66298943855473"</f>
        <v>66298943855473</v>
      </c>
      <c r="AJ4609" t="str">
        <f>"B217"</f>
        <v>B217</v>
      </c>
      <c r="AK4609" t="s">
        <v>46</v>
      </c>
      <c r="AL4609" s="1">
        <v>44816.562939814816</v>
      </c>
      <c r="AM4609" t="s">
        <v>44</v>
      </c>
    </row>
    <row r="4610" spans="1:39" x14ac:dyDescent="0.2">
      <c r="A4610" t="s">
        <v>4339</v>
      </c>
      <c r="B4610" t="s">
        <v>40</v>
      </c>
      <c r="C4610" t="s">
        <v>4332</v>
      </c>
      <c r="D4610" t="s">
        <v>42</v>
      </c>
      <c r="E4610" t="s">
        <v>43</v>
      </c>
      <c r="F4610" t="s">
        <v>44</v>
      </c>
      <c r="G4610" t="s">
        <v>45</v>
      </c>
      <c r="AH4610" t="s">
        <v>42</v>
      </c>
      <c r="AI4610" t="str">
        <f>"66298943899663"</f>
        <v>66298943899663</v>
      </c>
      <c r="AJ4610" t="str">
        <f>"83168"</f>
        <v>83168</v>
      </c>
      <c r="AK4610" t="s">
        <v>46</v>
      </c>
      <c r="AL4610" s="1">
        <v>44816.562939814816</v>
      </c>
      <c r="AM4610" t="s">
        <v>44</v>
      </c>
    </row>
    <row r="4611" spans="1:39" x14ac:dyDescent="0.2">
      <c r="A4611" t="s">
        <v>4340</v>
      </c>
      <c r="B4611" t="s">
        <v>40</v>
      </c>
      <c r="C4611" t="s">
        <v>4332</v>
      </c>
      <c r="D4611" t="s">
        <v>42</v>
      </c>
      <c r="E4611" t="s">
        <v>43</v>
      </c>
      <c r="F4611" t="s">
        <v>44</v>
      </c>
      <c r="G4611" t="s">
        <v>45</v>
      </c>
      <c r="AH4611" t="s">
        <v>42</v>
      </c>
      <c r="AI4611" t="str">
        <f>"66298943946033"</f>
        <v>66298943946033</v>
      </c>
      <c r="AJ4611" t="str">
        <f>"82874"</f>
        <v>82874</v>
      </c>
      <c r="AK4611" t="s">
        <v>46</v>
      </c>
      <c r="AL4611" s="1">
        <v>44816.562951388885</v>
      </c>
      <c r="AM4611" t="s">
        <v>44</v>
      </c>
    </row>
    <row r="4612" spans="1:39" x14ac:dyDescent="0.2">
      <c r="A4612" t="s">
        <v>4341</v>
      </c>
      <c r="B4612" t="s">
        <v>40</v>
      </c>
      <c r="C4612" t="s">
        <v>4332</v>
      </c>
      <c r="D4612" t="s">
        <v>42</v>
      </c>
      <c r="E4612" t="s">
        <v>43</v>
      </c>
      <c r="F4612" t="s">
        <v>44</v>
      </c>
      <c r="G4612" t="s">
        <v>45</v>
      </c>
      <c r="AH4612" t="s">
        <v>42</v>
      </c>
      <c r="AI4612" t="str">
        <f>"66298943998590"</f>
        <v>66298943998590</v>
      </c>
      <c r="AJ4612" t="str">
        <f>"B215"</f>
        <v>B215</v>
      </c>
      <c r="AK4612" t="s">
        <v>46</v>
      </c>
      <c r="AL4612" s="1">
        <v>44816.562951388885</v>
      </c>
      <c r="AM4612" t="s">
        <v>44</v>
      </c>
    </row>
    <row r="4613" spans="1:39" x14ac:dyDescent="0.2">
      <c r="A4613" t="s">
        <v>4342</v>
      </c>
      <c r="B4613" t="s">
        <v>40</v>
      </c>
      <c r="C4613" t="s">
        <v>4332</v>
      </c>
      <c r="D4613" t="s">
        <v>42</v>
      </c>
      <c r="E4613" t="s">
        <v>43</v>
      </c>
      <c r="F4613" t="s">
        <v>44</v>
      </c>
      <c r="G4613" t="s">
        <v>45</v>
      </c>
      <c r="AH4613" t="s">
        <v>42</v>
      </c>
      <c r="AI4613" t="str">
        <f>"B226"</f>
        <v>B226</v>
      </c>
      <c r="AJ4613" t="str">
        <f>"B226"</f>
        <v>B226</v>
      </c>
      <c r="AK4613" t="s">
        <v>46</v>
      </c>
      <c r="AL4613" s="1">
        <v>44972.569571759261</v>
      </c>
      <c r="AM4613" t="s">
        <v>44</v>
      </c>
    </row>
    <row r="4614" spans="1:39" x14ac:dyDescent="0.2">
      <c r="A4614" t="s">
        <v>4343</v>
      </c>
      <c r="B4614" t="s">
        <v>40</v>
      </c>
      <c r="C4614" t="s">
        <v>4332</v>
      </c>
      <c r="D4614" t="s">
        <v>42</v>
      </c>
      <c r="E4614" t="s">
        <v>43</v>
      </c>
      <c r="F4614" t="s">
        <v>44</v>
      </c>
      <c r="G4614" t="s">
        <v>45</v>
      </c>
      <c r="AH4614" t="s">
        <v>42</v>
      </c>
      <c r="AI4614" t="str">
        <f>"TAB-UNIV"</f>
        <v>TAB-UNIV</v>
      </c>
      <c r="AJ4614" t="str">
        <f>"TAB-UNIV"</f>
        <v>TAB-UNIV</v>
      </c>
      <c r="AK4614" t="s">
        <v>46</v>
      </c>
      <c r="AL4614" s="1">
        <v>45000.831793981481</v>
      </c>
      <c r="AM4614" t="s">
        <v>44</v>
      </c>
    </row>
    <row r="4615" spans="1:39" x14ac:dyDescent="0.2">
      <c r="A4615" t="s">
        <v>4344</v>
      </c>
      <c r="B4615" t="s">
        <v>40</v>
      </c>
      <c r="C4615" t="s">
        <v>4332</v>
      </c>
      <c r="D4615" t="s">
        <v>42</v>
      </c>
      <c r="E4615" t="s">
        <v>43</v>
      </c>
      <c r="F4615" t="s">
        <v>44</v>
      </c>
      <c r="G4615" t="s">
        <v>45</v>
      </c>
      <c r="AH4615" t="s">
        <v>42</v>
      </c>
      <c r="AI4615" t="str">
        <f>"B231"</f>
        <v>B231</v>
      </c>
      <c r="AJ4615" t="str">
        <f>"B231"</f>
        <v>B231</v>
      </c>
      <c r="AK4615" t="s">
        <v>46</v>
      </c>
      <c r="AL4615" s="1">
        <v>44972.5700462963</v>
      </c>
      <c r="AM4615" t="s">
        <v>44</v>
      </c>
    </row>
    <row r="4616" spans="1:39" x14ac:dyDescent="0.2">
      <c r="A4616" t="s">
        <v>4345</v>
      </c>
      <c r="B4616" t="s">
        <v>40</v>
      </c>
      <c r="C4616" t="s">
        <v>4332</v>
      </c>
      <c r="D4616" t="s">
        <v>42</v>
      </c>
      <c r="E4616" t="s">
        <v>43</v>
      </c>
      <c r="F4616" t="s">
        <v>44</v>
      </c>
      <c r="G4616" t="s">
        <v>45</v>
      </c>
      <c r="AH4616" t="s">
        <v>42</v>
      </c>
      <c r="AI4616" t="str">
        <f>"TAB-YBR"</f>
        <v>TAB-YBR</v>
      </c>
      <c r="AJ4616" t="str">
        <f>"TAB-YBR"</f>
        <v>TAB-YBR</v>
      </c>
      <c r="AK4616" t="s">
        <v>46</v>
      </c>
      <c r="AL4616" s="1">
        <v>45000.871099537035</v>
      </c>
      <c r="AM4616" t="s">
        <v>44</v>
      </c>
    </row>
    <row r="4617" spans="1:39" x14ac:dyDescent="0.2">
      <c r="A4617" t="s">
        <v>4346</v>
      </c>
      <c r="B4617" t="s">
        <v>40</v>
      </c>
      <c r="C4617" t="s">
        <v>4347</v>
      </c>
      <c r="D4617" t="s">
        <v>42</v>
      </c>
      <c r="E4617" t="s">
        <v>43</v>
      </c>
      <c r="F4617" t="s">
        <v>44</v>
      </c>
      <c r="G4617" t="s">
        <v>45</v>
      </c>
      <c r="AH4617" t="s">
        <v>42</v>
      </c>
      <c r="AI4617" t="str">
        <f>"66298944046725"</f>
        <v>66298944046725</v>
      </c>
      <c r="AJ4617" t="str">
        <f>"001413"</f>
        <v>001413</v>
      </c>
      <c r="AK4617" t="s">
        <v>46</v>
      </c>
      <c r="AL4617" s="1">
        <v>44816.562962962962</v>
      </c>
      <c r="AM4617" t="s">
        <v>44</v>
      </c>
    </row>
    <row r="4618" spans="1:39" x14ac:dyDescent="0.2">
      <c r="A4618" t="s">
        <v>4348</v>
      </c>
      <c r="B4618" t="s">
        <v>40</v>
      </c>
      <c r="C4618" t="s">
        <v>4347</v>
      </c>
      <c r="D4618" t="s">
        <v>42</v>
      </c>
      <c r="E4618" t="s">
        <v>43</v>
      </c>
      <c r="F4618" t="s">
        <v>44</v>
      </c>
      <c r="G4618" t="s">
        <v>45</v>
      </c>
      <c r="AH4618" t="s">
        <v>42</v>
      </c>
      <c r="AI4618" t="str">
        <f>"66298944089486"</f>
        <v>66298944089486</v>
      </c>
      <c r="AJ4618" t="str">
        <f>"Y291"</f>
        <v>Y291</v>
      </c>
      <c r="AK4618" t="s">
        <v>46</v>
      </c>
      <c r="AL4618" s="1">
        <v>44816.562962962962</v>
      </c>
      <c r="AM4618" t="s">
        <v>44</v>
      </c>
    </row>
    <row r="4619" spans="1:39" x14ac:dyDescent="0.2">
      <c r="A4619" t="s">
        <v>4349</v>
      </c>
      <c r="B4619" t="s">
        <v>40</v>
      </c>
      <c r="C4619" t="s">
        <v>4347</v>
      </c>
      <c r="D4619" t="s">
        <v>42</v>
      </c>
      <c r="E4619" t="s">
        <v>43</v>
      </c>
      <c r="F4619" t="s">
        <v>44</v>
      </c>
      <c r="G4619" t="s">
        <v>45</v>
      </c>
      <c r="AH4619" t="s">
        <v>42</v>
      </c>
      <c r="AI4619" t="str">
        <f>"66298944132304"</f>
        <v>66298944132304</v>
      </c>
      <c r="AJ4619" t="str">
        <f>"Y290"</f>
        <v>Y290</v>
      </c>
      <c r="AK4619" t="s">
        <v>46</v>
      </c>
      <c r="AL4619" s="1">
        <v>44816.562974537039</v>
      </c>
      <c r="AM4619" t="s">
        <v>44</v>
      </c>
    </row>
    <row r="4620" spans="1:39" x14ac:dyDescent="0.2">
      <c r="A4620" t="s">
        <v>4350</v>
      </c>
      <c r="B4620" t="s">
        <v>40</v>
      </c>
      <c r="C4620" t="s">
        <v>4347</v>
      </c>
      <c r="D4620" t="s">
        <v>42</v>
      </c>
      <c r="E4620" t="s">
        <v>43</v>
      </c>
      <c r="F4620" t="s">
        <v>44</v>
      </c>
      <c r="G4620" t="s">
        <v>45</v>
      </c>
      <c r="AH4620" t="s">
        <v>42</v>
      </c>
      <c r="AI4620" t="str">
        <f>"Y246"</f>
        <v>Y246</v>
      </c>
      <c r="AJ4620" t="str">
        <f>"Y246"</f>
        <v>Y246</v>
      </c>
      <c r="AK4620" t="s">
        <v>46</v>
      </c>
      <c r="AL4620" s="1">
        <v>45001.671261574076</v>
      </c>
      <c r="AM4620" t="s">
        <v>44</v>
      </c>
    </row>
    <row r="4621" spans="1:39" x14ac:dyDescent="0.2">
      <c r="A4621" t="s">
        <v>4351</v>
      </c>
      <c r="B4621" t="s">
        <v>40</v>
      </c>
      <c r="C4621" t="s">
        <v>4347</v>
      </c>
      <c r="D4621" t="s">
        <v>42</v>
      </c>
      <c r="E4621" t="s">
        <v>43</v>
      </c>
      <c r="F4621" t="s">
        <v>44</v>
      </c>
      <c r="G4621" t="s">
        <v>45</v>
      </c>
      <c r="H4621" t="s">
        <v>2037</v>
      </c>
      <c r="AH4621" t="s">
        <v>42</v>
      </c>
      <c r="AI4621" t="str">
        <f>"Y049-NEGRO"</f>
        <v>Y049-NEGRO</v>
      </c>
      <c r="AJ4621" t="str">
        <f>"Y049-NEGRO"</f>
        <v>Y049-NEGRO</v>
      </c>
      <c r="AK4621" t="s">
        <v>46</v>
      </c>
      <c r="AL4621" s="1">
        <v>44881.649340277778</v>
      </c>
      <c r="AM4621" t="s">
        <v>44</v>
      </c>
    </row>
    <row r="4622" spans="1:39" x14ac:dyDescent="0.2">
      <c r="A4622" t="s">
        <v>4351</v>
      </c>
      <c r="B4622" t="s">
        <v>40</v>
      </c>
      <c r="C4622" t="s">
        <v>4347</v>
      </c>
      <c r="D4622" t="s">
        <v>42</v>
      </c>
      <c r="E4622" t="s">
        <v>43</v>
      </c>
      <c r="F4622" t="s">
        <v>44</v>
      </c>
      <c r="G4622" t="s">
        <v>45</v>
      </c>
      <c r="H4622" t="s">
        <v>1123</v>
      </c>
      <c r="AH4622" t="s">
        <v>42</v>
      </c>
      <c r="AI4622" t="str">
        <f>"Y049-ROJO"</f>
        <v>Y049-ROJO</v>
      </c>
      <c r="AJ4622" t="str">
        <f>"Y049-ROJO"</f>
        <v>Y049-ROJO</v>
      </c>
      <c r="AK4622" t="s">
        <v>46</v>
      </c>
      <c r="AL4622" s="1">
        <v>44881.649502314816</v>
      </c>
      <c r="AM4622" t="s">
        <v>44</v>
      </c>
    </row>
    <row r="4623" spans="1:39" x14ac:dyDescent="0.2">
      <c r="A4623" t="s">
        <v>4352</v>
      </c>
      <c r="B4623" t="s">
        <v>40</v>
      </c>
      <c r="C4623" t="s">
        <v>4347</v>
      </c>
      <c r="D4623" t="s">
        <v>42</v>
      </c>
      <c r="E4623" t="s">
        <v>43</v>
      </c>
      <c r="F4623" t="s">
        <v>44</v>
      </c>
      <c r="G4623" t="s">
        <v>45</v>
      </c>
      <c r="AH4623" t="s">
        <v>42</v>
      </c>
      <c r="AI4623" t="str">
        <f>"EMHJ52200"</f>
        <v>EMHJ52200</v>
      </c>
      <c r="AJ4623" t="str">
        <f>"EMHJ52200"</f>
        <v>EMHJ52200</v>
      </c>
      <c r="AK4623" t="s">
        <v>46</v>
      </c>
      <c r="AL4623" s="1">
        <v>44929.894826388889</v>
      </c>
      <c r="AM4623" t="s">
        <v>44</v>
      </c>
    </row>
    <row r="4624" spans="1:39" x14ac:dyDescent="0.2">
      <c r="A4624" t="s">
        <v>4353</v>
      </c>
      <c r="B4624" t="s">
        <v>40</v>
      </c>
      <c r="C4624" t="s">
        <v>4347</v>
      </c>
      <c r="D4624" t="s">
        <v>42</v>
      </c>
      <c r="E4624" t="s">
        <v>43</v>
      </c>
      <c r="F4624" t="s">
        <v>44</v>
      </c>
      <c r="G4624" t="s">
        <v>45</v>
      </c>
      <c r="AH4624" t="s">
        <v>42</v>
      </c>
      <c r="AI4624" t="str">
        <f>"66298944171873"</f>
        <v>66298944171873</v>
      </c>
      <c r="AJ4624" t="str">
        <f>"72-0186"</f>
        <v>72-0186</v>
      </c>
      <c r="AK4624" t="s">
        <v>46</v>
      </c>
      <c r="AL4624" s="1">
        <v>44816.562974537039</v>
      </c>
      <c r="AM4624" t="s">
        <v>44</v>
      </c>
    </row>
    <row r="4625" spans="1:39" x14ac:dyDescent="0.2">
      <c r="A4625" t="s">
        <v>4354</v>
      </c>
      <c r="B4625" t="s">
        <v>40</v>
      </c>
      <c r="C4625" t="s">
        <v>4347</v>
      </c>
      <c r="D4625" t="s">
        <v>42</v>
      </c>
      <c r="E4625" t="s">
        <v>43</v>
      </c>
      <c r="F4625" t="s">
        <v>44</v>
      </c>
      <c r="G4625" t="s">
        <v>45</v>
      </c>
      <c r="AH4625" t="s">
        <v>42</v>
      </c>
      <c r="AI4625" t="str">
        <f>"Y067"</f>
        <v>Y067</v>
      </c>
      <c r="AJ4625" t="str">
        <f>"Y067"</f>
        <v>Y067</v>
      </c>
      <c r="AK4625" t="s">
        <v>46</v>
      </c>
      <c r="AL4625" s="1">
        <v>44881.651180555556</v>
      </c>
      <c r="AM4625" t="s">
        <v>44</v>
      </c>
    </row>
    <row r="4626" spans="1:39" x14ac:dyDescent="0.2">
      <c r="A4626" t="s">
        <v>4355</v>
      </c>
      <c r="B4626" t="s">
        <v>40</v>
      </c>
      <c r="C4626" t="s">
        <v>4347</v>
      </c>
      <c r="D4626" t="s">
        <v>42</v>
      </c>
      <c r="E4626" t="s">
        <v>43</v>
      </c>
      <c r="F4626" t="s">
        <v>44</v>
      </c>
      <c r="G4626" t="s">
        <v>45</v>
      </c>
      <c r="AH4626" t="s">
        <v>42</v>
      </c>
      <c r="AI4626" t="str">
        <f>"66298944208805"</f>
        <v>66298944208805</v>
      </c>
      <c r="AJ4626" t="str">
        <f>"Y124"</f>
        <v>Y124</v>
      </c>
      <c r="AK4626" t="s">
        <v>46</v>
      </c>
      <c r="AL4626" s="1">
        <v>44816.562986111108</v>
      </c>
      <c r="AM4626" t="s">
        <v>44</v>
      </c>
    </row>
    <row r="4627" spans="1:39" x14ac:dyDescent="0.2">
      <c r="A4627" t="s">
        <v>4356</v>
      </c>
      <c r="B4627" t="s">
        <v>40</v>
      </c>
      <c r="C4627" t="s">
        <v>4347</v>
      </c>
      <c r="D4627" t="s">
        <v>42</v>
      </c>
      <c r="E4627" t="s">
        <v>43</v>
      </c>
      <c r="F4627" t="s">
        <v>44</v>
      </c>
      <c r="G4627" t="s">
        <v>45</v>
      </c>
      <c r="AH4627" t="s">
        <v>42</v>
      </c>
      <c r="AI4627" t="str">
        <f>"66298944246502"</f>
        <v>66298944246502</v>
      </c>
      <c r="AJ4627" t="str">
        <f>"B12012374"</f>
        <v>B12012374</v>
      </c>
      <c r="AK4627" t="s">
        <v>46</v>
      </c>
      <c r="AL4627" s="1">
        <v>44816.562986111108</v>
      </c>
      <c r="AM4627" t="s">
        <v>44</v>
      </c>
    </row>
    <row r="4628" spans="1:39" x14ac:dyDescent="0.2">
      <c r="A4628" t="s">
        <v>4357</v>
      </c>
      <c r="B4628" t="s">
        <v>40</v>
      </c>
      <c r="C4628" t="s">
        <v>4347</v>
      </c>
      <c r="D4628" t="s">
        <v>42</v>
      </c>
      <c r="E4628" t="s">
        <v>43</v>
      </c>
      <c r="F4628" t="s">
        <v>44</v>
      </c>
      <c r="G4628" t="s">
        <v>45</v>
      </c>
      <c r="AH4628" t="s">
        <v>42</v>
      </c>
      <c r="AI4628" t="str">
        <f>"66298944282390"</f>
        <v>66298944282390</v>
      </c>
      <c r="AJ4628" t="str">
        <f>"B12012377"</f>
        <v>B12012377</v>
      </c>
      <c r="AK4628" t="s">
        <v>46</v>
      </c>
      <c r="AL4628" s="1">
        <v>44816.562986111108</v>
      </c>
      <c r="AM4628" t="s">
        <v>44</v>
      </c>
    </row>
    <row r="4629" spans="1:39" x14ac:dyDescent="0.2">
      <c r="A4629" t="s">
        <v>4358</v>
      </c>
      <c r="B4629" t="s">
        <v>40</v>
      </c>
      <c r="C4629" t="s">
        <v>1518</v>
      </c>
      <c r="D4629" t="s">
        <v>42</v>
      </c>
      <c r="E4629" t="s">
        <v>43</v>
      </c>
      <c r="F4629" t="s">
        <v>44</v>
      </c>
      <c r="G4629" t="s">
        <v>45</v>
      </c>
      <c r="AH4629" t="s">
        <v>42</v>
      </c>
      <c r="AI4629" t="str">
        <f>"66298842472019"</f>
        <v>66298842472019</v>
      </c>
      <c r="AJ4629" t="str">
        <f>"Y167"</f>
        <v>Y167</v>
      </c>
      <c r="AK4629" t="s">
        <v>46</v>
      </c>
      <c r="AL4629" s="1">
        <v>44816.551203703704</v>
      </c>
      <c r="AM4629" t="s">
        <v>44</v>
      </c>
    </row>
    <row r="4630" spans="1:39" x14ac:dyDescent="0.2">
      <c r="A4630" t="s">
        <v>4359</v>
      </c>
      <c r="B4630" t="s">
        <v>40</v>
      </c>
      <c r="C4630" t="s">
        <v>1518</v>
      </c>
      <c r="D4630" t="s">
        <v>42</v>
      </c>
      <c r="E4630" t="s">
        <v>43</v>
      </c>
      <c r="F4630" t="s">
        <v>44</v>
      </c>
      <c r="G4630" t="s">
        <v>45</v>
      </c>
      <c r="AH4630" t="s">
        <v>42</v>
      </c>
      <c r="AI4630" t="str">
        <f>"66298842514806"</f>
        <v>66298842514806</v>
      </c>
      <c r="AJ4630" t="str">
        <f>"Y170-1"</f>
        <v>Y170-1</v>
      </c>
      <c r="AK4630" t="s">
        <v>46</v>
      </c>
      <c r="AL4630" s="1">
        <v>44816.551215277781</v>
      </c>
      <c r="AM4630" t="s">
        <v>44</v>
      </c>
    </row>
    <row r="4631" spans="1:39" x14ac:dyDescent="0.2">
      <c r="A4631" t="s">
        <v>4360</v>
      </c>
      <c r="B4631" t="s">
        <v>40</v>
      </c>
      <c r="C4631" t="s">
        <v>4347</v>
      </c>
      <c r="D4631" t="s">
        <v>42</v>
      </c>
      <c r="E4631" t="s">
        <v>43</v>
      </c>
      <c r="F4631" t="s">
        <v>44</v>
      </c>
      <c r="G4631" t="s">
        <v>45</v>
      </c>
      <c r="AH4631" t="s">
        <v>42</v>
      </c>
      <c r="AI4631" t="str">
        <f>"66298944321722"</f>
        <v>66298944321722</v>
      </c>
      <c r="AJ4631" t="str">
        <f>"12088-NEGRO"</f>
        <v>12088-NEGRO</v>
      </c>
      <c r="AK4631" t="s">
        <v>46</v>
      </c>
      <c r="AL4631" s="1">
        <v>44816.562997685185</v>
      </c>
      <c r="AM4631" t="s">
        <v>44</v>
      </c>
    </row>
    <row r="4632" spans="1:39" x14ac:dyDescent="0.2">
      <c r="A4632" t="s">
        <v>4361</v>
      </c>
      <c r="B4632" t="s">
        <v>40</v>
      </c>
      <c r="C4632" t="s">
        <v>4347</v>
      </c>
      <c r="D4632" t="s">
        <v>42</v>
      </c>
      <c r="E4632" t="s">
        <v>43</v>
      </c>
      <c r="F4632" t="s">
        <v>44</v>
      </c>
      <c r="G4632" t="s">
        <v>45</v>
      </c>
      <c r="H4632" t="s">
        <v>2037</v>
      </c>
      <c r="AH4632" t="s">
        <v>42</v>
      </c>
      <c r="AI4632" t="str">
        <f>"Y068-NEGRO"</f>
        <v>Y068-NEGRO</v>
      </c>
      <c r="AJ4632" t="str">
        <f>"Y068-NEGRO"</f>
        <v>Y068-NEGRO</v>
      </c>
      <c r="AK4632" t="s">
        <v>46</v>
      </c>
      <c r="AL4632" s="1">
        <v>44881.651689814818</v>
      </c>
      <c r="AM4632" t="s">
        <v>44</v>
      </c>
    </row>
    <row r="4633" spans="1:39" x14ac:dyDescent="0.2">
      <c r="A4633" t="s">
        <v>4362</v>
      </c>
      <c r="B4633" t="s">
        <v>40</v>
      </c>
      <c r="C4633" t="s">
        <v>4347</v>
      </c>
      <c r="D4633" t="s">
        <v>42</v>
      </c>
      <c r="E4633" t="s">
        <v>43</v>
      </c>
      <c r="F4633" t="s">
        <v>44</v>
      </c>
      <c r="G4633" t="s">
        <v>45</v>
      </c>
      <c r="AH4633" t="s">
        <v>42</v>
      </c>
      <c r="AI4633" t="str">
        <f>"66298944361617"</f>
        <v>66298944361617</v>
      </c>
      <c r="AJ4633" t="str">
        <f>"Y084-B"</f>
        <v>Y084-B</v>
      </c>
      <c r="AK4633" t="s">
        <v>46</v>
      </c>
      <c r="AL4633" s="1">
        <v>44816.562997685185</v>
      </c>
      <c r="AM4633" t="s">
        <v>44</v>
      </c>
    </row>
    <row r="4634" spans="1:39" x14ac:dyDescent="0.2">
      <c r="A4634" t="s">
        <v>4363</v>
      </c>
      <c r="B4634" t="s">
        <v>40</v>
      </c>
      <c r="C4634" t="s">
        <v>4347</v>
      </c>
      <c r="D4634" t="s">
        <v>42</v>
      </c>
      <c r="E4634" t="s">
        <v>43</v>
      </c>
      <c r="F4634" t="s">
        <v>44</v>
      </c>
      <c r="G4634" t="s">
        <v>45</v>
      </c>
      <c r="AH4634" t="s">
        <v>42</v>
      </c>
      <c r="AI4634" t="str">
        <f>"66298944405914"</f>
        <v>66298944405914</v>
      </c>
      <c r="AJ4634" t="str">
        <f>"AA004"</f>
        <v>AA004</v>
      </c>
      <c r="AK4634" t="s">
        <v>46</v>
      </c>
      <c r="AL4634" s="1">
        <v>44816.563009259262</v>
      </c>
      <c r="AM4634" t="s">
        <v>44</v>
      </c>
    </row>
    <row r="4635" spans="1:39" x14ac:dyDescent="0.2">
      <c r="A4635" t="s">
        <v>4364</v>
      </c>
      <c r="B4635" t="s">
        <v>40</v>
      </c>
      <c r="C4635" t="s">
        <v>4347</v>
      </c>
      <c r="D4635" t="s">
        <v>42</v>
      </c>
      <c r="E4635" t="s">
        <v>43</v>
      </c>
      <c r="F4635" t="s">
        <v>44</v>
      </c>
      <c r="G4635" t="s">
        <v>45</v>
      </c>
      <c r="AH4635" t="s">
        <v>42</v>
      </c>
      <c r="AI4635" t="str">
        <f>"66298944447797"</f>
        <v>66298944447797</v>
      </c>
      <c r="AJ4635" t="str">
        <f>"AA012"</f>
        <v>AA012</v>
      </c>
      <c r="AK4635" t="s">
        <v>46</v>
      </c>
      <c r="AL4635" s="1">
        <v>44816.563009259262</v>
      </c>
      <c r="AM4635" t="s">
        <v>44</v>
      </c>
    </row>
    <row r="4636" spans="1:39" x14ac:dyDescent="0.2">
      <c r="A4636" t="s">
        <v>4365</v>
      </c>
      <c r="B4636" t="s">
        <v>40</v>
      </c>
      <c r="C4636" t="s">
        <v>4347</v>
      </c>
      <c r="D4636" t="s">
        <v>42</v>
      </c>
      <c r="E4636" t="s">
        <v>43</v>
      </c>
      <c r="F4636" t="s">
        <v>44</v>
      </c>
      <c r="G4636" t="s">
        <v>45</v>
      </c>
      <c r="AH4636" t="s">
        <v>42</v>
      </c>
      <c r="AI4636" t="str">
        <f>"66298944484968"</f>
        <v>66298944484968</v>
      </c>
      <c r="AJ4636" t="str">
        <f>"AA021"</f>
        <v>AA021</v>
      </c>
      <c r="AK4636" t="s">
        <v>46</v>
      </c>
      <c r="AL4636" s="1">
        <v>44816.563009259262</v>
      </c>
      <c r="AM4636" t="s">
        <v>44</v>
      </c>
    </row>
    <row r="4637" spans="1:39" x14ac:dyDescent="0.2">
      <c r="A4637" t="s">
        <v>4366</v>
      </c>
      <c r="B4637" t="s">
        <v>40</v>
      </c>
      <c r="C4637" t="s">
        <v>4347</v>
      </c>
      <c r="D4637" t="s">
        <v>42</v>
      </c>
      <c r="E4637" t="s">
        <v>43</v>
      </c>
      <c r="F4637" t="s">
        <v>44</v>
      </c>
      <c r="G4637" t="s">
        <v>45</v>
      </c>
      <c r="AH4637" t="s">
        <v>42</v>
      </c>
      <c r="AI4637" t="str">
        <f>"66298944526673"</f>
        <v>66298944526673</v>
      </c>
      <c r="AJ4637" t="str">
        <f>"400801"</f>
        <v>400801</v>
      </c>
      <c r="AK4637" t="s">
        <v>46</v>
      </c>
      <c r="AL4637" s="1">
        <v>44816.563020833331</v>
      </c>
      <c r="AM4637" t="s">
        <v>44</v>
      </c>
    </row>
    <row r="4638" spans="1:39" x14ac:dyDescent="0.2">
      <c r="A4638" t="s">
        <v>4367</v>
      </c>
      <c r="B4638" t="s">
        <v>40</v>
      </c>
      <c r="C4638" t="s">
        <v>4347</v>
      </c>
      <c r="D4638" t="s">
        <v>42</v>
      </c>
      <c r="E4638" t="s">
        <v>43</v>
      </c>
      <c r="F4638" t="s">
        <v>44</v>
      </c>
      <c r="G4638" t="s">
        <v>45</v>
      </c>
      <c r="AH4638" t="s">
        <v>42</v>
      </c>
      <c r="AI4638" t="str">
        <f>"66298944566458"</f>
        <v>66298944566458</v>
      </c>
      <c r="AJ4638" t="str">
        <f>"AA002-CHAPA"</f>
        <v>AA002-CHAPA</v>
      </c>
      <c r="AK4638" t="s">
        <v>46</v>
      </c>
      <c r="AL4638" s="1">
        <v>44816.563020833331</v>
      </c>
      <c r="AM4638" t="s">
        <v>44</v>
      </c>
    </row>
    <row r="4639" spans="1:39" x14ac:dyDescent="0.2">
      <c r="A4639" t="s">
        <v>4368</v>
      </c>
      <c r="B4639" t="s">
        <v>40</v>
      </c>
      <c r="C4639" t="s">
        <v>4347</v>
      </c>
      <c r="D4639" t="s">
        <v>42</v>
      </c>
      <c r="E4639" t="s">
        <v>43</v>
      </c>
      <c r="F4639" t="s">
        <v>44</v>
      </c>
      <c r="G4639" t="s">
        <v>45</v>
      </c>
      <c r="AH4639" t="s">
        <v>42</v>
      </c>
      <c r="AI4639" t="str">
        <f>"66298944606092"</f>
        <v>66298944606092</v>
      </c>
      <c r="AJ4639" t="str">
        <f>"AA005"</f>
        <v>AA005</v>
      </c>
      <c r="AK4639" t="s">
        <v>46</v>
      </c>
      <c r="AL4639" s="1">
        <v>44816.563032407408</v>
      </c>
      <c r="AM4639" t="s">
        <v>44</v>
      </c>
    </row>
    <row r="4640" spans="1:39" x14ac:dyDescent="0.2">
      <c r="A4640" t="s">
        <v>4369</v>
      </c>
      <c r="B4640" t="s">
        <v>40</v>
      </c>
      <c r="C4640" t="s">
        <v>4347</v>
      </c>
      <c r="D4640" t="s">
        <v>42</v>
      </c>
      <c r="E4640" t="s">
        <v>43</v>
      </c>
      <c r="F4640" t="s">
        <v>44</v>
      </c>
      <c r="G4640" t="s">
        <v>45</v>
      </c>
      <c r="AH4640" t="s">
        <v>42</v>
      </c>
      <c r="AI4640" t="str">
        <f>"66298944651816"</f>
        <v>66298944651816</v>
      </c>
      <c r="AJ4640" t="str">
        <f>"AA009"</f>
        <v>AA009</v>
      </c>
      <c r="AK4640" t="s">
        <v>46</v>
      </c>
      <c r="AL4640" s="1">
        <v>44816.563032407408</v>
      </c>
      <c r="AM4640" t="s">
        <v>44</v>
      </c>
    </row>
    <row r="4641" spans="1:39" x14ac:dyDescent="0.2">
      <c r="A4641" t="s">
        <v>4370</v>
      </c>
      <c r="B4641" t="s">
        <v>40</v>
      </c>
      <c r="C4641" t="s">
        <v>4347</v>
      </c>
      <c r="D4641" t="s">
        <v>42</v>
      </c>
      <c r="E4641" t="s">
        <v>43</v>
      </c>
      <c r="F4641" t="s">
        <v>44</v>
      </c>
      <c r="G4641" t="s">
        <v>45</v>
      </c>
      <c r="AH4641" t="s">
        <v>42</v>
      </c>
      <c r="AI4641" t="str">
        <f>"66298944693720"</f>
        <v>66298944693720</v>
      </c>
      <c r="AJ4641" t="str">
        <f>"400805"</f>
        <v>400805</v>
      </c>
      <c r="AK4641" t="s">
        <v>46</v>
      </c>
      <c r="AL4641" s="1">
        <v>44816.563032407408</v>
      </c>
      <c r="AM4641" t="s">
        <v>44</v>
      </c>
    </row>
    <row r="4642" spans="1:39" x14ac:dyDescent="0.2">
      <c r="A4642" t="s">
        <v>4371</v>
      </c>
      <c r="B4642" t="s">
        <v>40</v>
      </c>
      <c r="C4642" t="s">
        <v>4347</v>
      </c>
      <c r="D4642" t="s">
        <v>42</v>
      </c>
      <c r="E4642" t="s">
        <v>43</v>
      </c>
      <c r="F4642" t="s">
        <v>44</v>
      </c>
      <c r="G4642" t="s">
        <v>45</v>
      </c>
      <c r="AH4642" t="s">
        <v>42</v>
      </c>
      <c r="AI4642" t="str">
        <f>"66298944733232"</f>
        <v>66298944733232</v>
      </c>
      <c r="AJ4642" t="str">
        <f>"588023"</f>
        <v>588023</v>
      </c>
      <c r="AK4642" t="s">
        <v>46</v>
      </c>
      <c r="AL4642" s="1">
        <v>44816.563043981485</v>
      </c>
      <c r="AM4642" t="s">
        <v>44</v>
      </c>
    </row>
    <row r="4643" spans="1:39" x14ac:dyDescent="0.2">
      <c r="A4643" t="s">
        <v>4372</v>
      </c>
      <c r="B4643" t="s">
        <v>40</v>
      </c>
      <c r="C4643" t="s">
        <v>4347</v>
      </c>
      <c r="D4643" t="s">
        <v>42</v>
      </c>
      <c r="E4643" t="s">
        <v>43</v>
      </c>
      <c r="F4643" t="s">
        <v>44</v>
      </c>
      <c r="G4643" t="s">
        <v>45</v>
      </c>
      <c r="AH4643" t="s">
        <v>42</v>
      </c>
      <c r="AI4643" t="str">
        <f>"AA002"</f>
        <v>AA002</v>
      </c>
      <c r="AJ4643" t="str">
        <f>"AA002"</f>
        <v>AA002</v>
      </c>
      <c r="AK4643" t="s">
        <v>46</v>
      </c>
      <c r="AL4643" s="1">
        <v>44858.799849537034</v>
      </c>
      <c r="AM4643" t="s">
        <v>44</v>
      </c>
    </row>
    <row r="4644" spans="1:39" x14ac:dyDescent="0.2">
      <c r="A4644" t="s">
        <v>4373</v>
      </c>
      <c r="B4644" t="s">
        <v>40</v>
      </c>
      <c r="C4644" t="s">
        <v>4347</v>
      </c>
      <c r="D4644" t="s">
        <v>42</v>
      </c>
      <c r="E4644" t="s">
        <v>43</v>
      </c>
      <c r="F4644" t="s">
        <v>44</v>
      </c>
      <c r="G4644" t="s">
        <v>45</v>
      </c>
      <c r="AH4644" t="s">
        <v>42</v>
      </c>
      <c r="AI4644" t="str">
        <f>"66298944768833"</f>
        <v>66298944768833</v>
      </c>
      <c r="AJ4644" t="str">
        <f>"AA006"</f>
        <v>AA006</v>
      </c>
      <c r="AK4644" t="s">
        <v>46</v>
      </c>
      <c r="AL4644" s="1">
        <v>44816.563043981485</v>
      </c>
      <c r="AM4644" t="s">
        <v>44</v>
      </c>
    </row>
    <row r="4645" spans="1:39" x14ac:dyDescent="0.2">
      <c r="A4645" t="s">
        <v>4374</v>
      </c>
      <c r="B4645" t="s">
        <v>40</v>
      </c>
      <c r="C4645" t="s">
        <v>4347</v>
      </c>
      <c r="D4645" t="s">
        <v>42</v>
      </c>
      <c r="E4645" t="s">
        <v>43</v>
      </c>
      <c r="F4645" t="s">
        <v>44</v>
      </c>
      <c r="G4645" t="s">
        <v>45</v>
      </c>
      <c r="AH4645" t="s">
        <v>42</v>
      </c>
      <c r="AI4645" t="str">
        <f>"66298944810609"</f>
        <v>66298944810609</v>
      </c>
      <c r="AJ4645" t="str">
        <f>"AA008"</f>
        <v>AA008</v>
      </c>
      <c r="AK4645" t="s">
        <v>46</v>
      </c>
      <c r="AL4645" s="1">
        <v>44816.563055555554</v>
      </c>
      <c r="AM4645" t="s">
        <v>44</v>
      </c>
    </row>
    <row r="4646" spans="1:39" x14ac:dyDescent="0.2">
      <c r="A4646" t="s">
        <v>4375</v>
      </c>
      <c r="B4646" t="s">
        <v>40</v>
      </c>
      <c r="C4646" t="s">
        <v>4347</v>
      </c>
      <c r="D4646" t="s">
        <v>42</v>
      </c>
      <c r="E4646" t="s">
        <v>43</v>
      </c>
      <c r="F4646" t="s">
        <v>44</v>
      </c>
      <c r="G4646" t="s">
        <v>45</v>
      </c>
      <c r="AH4646" t="s">
        <v>42</v>
      </c>
      <c r="AI4646" t="str">
        <f>"66298944853640"</f>
        <v>66298944853640</v>
      </c>
      <c r="AJ4646" t="str">
        <f>"AA013"</f>
        <v>AA013</v>
      </c>
      <c r="AK4646" t="s">
        <v>46</v>
      </c>
      <c r="AL4646" s="1">
        <v>44816.563055555554</v>
      </c>
      <c r="AM4646" t="s">
        <v>44</v>
      </c>
    </row>
    <row r="4647" spans="1:39" x14ac:dyDescent="0.2">
      <c r="A4647" t="s">
        <v>4376</v>
      </c>
      <c r="B4647" t="s">
        <v>40</v>
      </c>
      <c r="C4647" t="s">
        <v>4347</v>
      </c>
      <c r="D4647" t="s">
        <v>42</v>
      </c>
      <c r="E4647" t="s">
        <v>43</v>
      </c>
      <c r="F4647" t="s">
        <v>44</v>
      </c>
      <c r="G4647" t="s">
        <v>45</v>
      </c>
      <c r="AH4647" t="s">
        <v>42</v>
      </c>
      <c r="AI4647" t="str">
        <f>"AA003"</f>
        <v>AA003</v>
      </c>
      <c r="AJ4647" t="str">
        <f>"AA003"</f>
        <v>AA003</v>
      </c>
      <c r="AK4647" t="s">
        <v>46</v>
      </c>
      <c r="AL4647" s="1">
        <v>44816.563055555554</v>
      </c>
      <c r="AM4647" t="s">
        <v>44</v>
      </c>
    </row>
    <row r="4648" spans="1:39" x14ac:dyDescent="0.2">
      <c r="A4648" t="s">
        <v>4376</v>
      </c>
      <c r="B4648" t="s">
        <v>40</v>
      </c>
      <c r="C4648" t="s">
        <v>4347</v>
      </c>
      <c r="D4648" t="s">
        <v>42</v>
      </c>
      <c r="E4648" t="s">
        <v>43</v>
      </c>
      <c r="F4648" t="s">
        <v>44</v>
      </c>
      <c r="G4648" t="s">
        <v>45</v>
      </c>
      <c r="AH4648" t="s">
        <v>42</v>
      </c>
      <c r="AI4648" t="str">
        <f>"AA001"</f>
        <v>AA001</v>
      </c>
      <c r="AJ4648" t="str">
        <f>"AA001"</f>
        <v>AA001</v>
      </c>
      <c r="AK4648" t="s">
        <v>46</v>
      </c>
      <c r="AL4648" s="1">
        <v>44816.563067129631</v>
      </c>
      <c r="AM4648" t="s">
        <v>44</v>
      </c>
    </row>
    <row r="4649" spans="1:39" x14ac:dyDescent="0.2">
      <c r="A4649" t="s">
        <v>4377</v>
      </c>
      <c r="B4649" t="s">
        <v>40</v>
      </c>
      <c r="C4649" t="s">
        <v>4347</v>
      </c>
      <c r="D4649" t="s">
        <v>42</v>
      </c>
      <c r="E4649" t="s">
        <v>43</v>
      </c>
      <c r="F4649" t="s">
        <v>44</v>
      </c>
      <c r="G4649" t="s">
        <v>45</v>
      </c>
      <c r="AH4649" t="s">
        <v>42</v>
      </c>
      <c r="AI4649" t="str">
        <f>"66298944961086"</f>
        <v>66298944961086</v>
      </c>
      <c r="AJ4649" t="str">
        <f>"C018"</f>
        <v>C018</v>
      </c>
      <c r="AK4649" t="s">
        <v>46</v>
      </c>
      <c r="AL4649" s="1">
        <v>44816.563067129631</v>
      </c>
      <c r="AM4649" t="s">
        <v>44</v>
      </c>
    </row>
    <row r="4650" spans="1:39" x14ac:dyDescent="0.2">
      <c r="A4650" t="s">
        <v>4378</v>
      </c>
      <c r="B4650" t="s">
        <v>40</v>
      </c>
      <c r="C4650" t="s">
        <v>4347</v>
      </c>
      <c r="D4650" t="s">
        <v>42</v>
      </c>
      <c r="E4650" t="s">
        <v>43</v>
      </c>
      <c r="F4650" t="s">
        <v>44</v>
      </c>
      <c r="G4650" t="s">
        <v>45</v>
      </c>
      <c r="AH4650" t="s">
        <v>42</v>
      </c>
      <c r="AI4650" t="str">
        <f>"AA007"</f>
        <v>AA007</v>
      </c>
      <c r="AJ4650" t="str">
        <f>"AA007"</f>
        <v>AA007</v>
      </c>
      <c r="AK4650" t="s">
        <v>46</v>
      </c>
      <c r="AL4650" s="1">
        <v>44816.563078703701</v>
      </c>
      <c r="AM4650" t="s">
        <v>44</v>
      </c>
    </row>
    <row r="4651" spans="1:39" x14ac:dyDescent="0.2">
      <c r="A4651" t="s">
        <v>4379</v>
      </c>
      <c r="B4651" t="s">
        <v>40</v>
      </c>
      <c r="C4651" t="s">
        <v>4347</v>
      </c>
      <c r="D4651" t="s">
        <v>42</v>
      </c>
      <c r="E4651" t="s">
        <v>43</v>
      </c>
      <c r="F4651" t="s">
        <v>44</v>
      </c>
      <c r="G4651" t="s">
        <v>45</v>
      </c>
      <c r="AH4651" t="s">
        <v>42</v>
      </c>
      <c r="AI4651" t="str">
        <f>"66298945044274"</f>
        <v>66298945044274</v>
      </c>
      <c r="AJ4651" t="str">
        <f>"400802"</f>
        <v>400802</v>
      </c>
      <c r="AK4651" t="s">
        <v>46</v>
      </c>
      <c r="AL4651" s="1">
        <v>44816.563078703701</v>
      </c>
      <c r="AM4651" t="s">
        <v>44</v>
      </c>
    </row>
    <row r="4652" spans="1:39" x14ac:dyDescent="0.2">
      <c r="A4652" t="s">
        <v>4380</v>
      </c>
      <c r="B4652" t="s">
        <v>40</v>
      </c>
      <c r="C4652" t="s">
        <v>4381</v>
      </c>
      <c r="D4652" t="s">
        <v>42</v>
      </c>
      <c r="E4652" t="s">
        <v>43</v>
      </c>
      <c r="F4652" t="s">
        <v>44</v>
      </c>
      <c r="G4652" t="s">
        <v>45</v>
      </c>
      <c r="AH4652" t="s">
        <v>42</v>
      </c>
      <c r="AI4652" t="str">
        <f>"AA018"</f>
        <v>AA018</v>
      </c>
      <c r="AJ4652" t="str">
        <f>"AA018"</f>
        <v>AA018</v>
      </c>
      <c r="AK4652" t="s">
        <v>46</v>
      </c>
      <c r="AL4652" s="1">
        <v>45093.952592592592</v>
      </c>
      <c r="AM4652" t="s">
        <v>44</v>
      </c>
    </row>
    <row r="4653" spans="1:39" x14ac:dyDescent="0.2">
      <c r="A4653" t="s">
        <v>4382</v>
      </c>
      <c r="B4653" t="s">
        <v>40</v>
      </c>
      <c r="C4653" t="s">
        <v>4347</v>
      </c>
      <c r="D4653" t="s">
        <v>42</v>
      </c>
      <c r="E4653" t="s">
        <v>43</v>
      </c>
      <c r="F4653" t="s">
        <v>44</v>
      </c>
      <c r="G4653" t="s">
        <v>45</v>
      </c>
      <c r="AH4653" t="s">
        <v>42</v>
      </c>
      <c r="AI4653" t="str">
        <f>"AA014"</f>
        <v>AA014</v>
      </c>
      <c r="AJ4653" t="str">
        <f>"AA014"</f>
        <v>AA014</v>
      </c>
      <c r="AK4653" t="s">
        <v>46</v>
      </c>
      <c r="AL4653" s="1">
        <v>44816.563078703701</v>
      </c>
      <c r="AM4653" t="s">
        <v>44</v>
      </c>
    </row>
    <row r="4654" spans="1:39" x14ac:dyDescent="0.2">
      <c r="A4654" t="s">
        <v>4383</v>
      </c>
      <c r="B4654" t="s">
        <v>40</v>
      </c>
      <c r="C4654" t="s">
        <v>4347</v>
      </c>
      <c r="D4654" t="s">
        <v>42</v>
      </c>
      <c r="E4654" t="s">
        <v>43</v>
      </c>
      <c r="F4654" t="s">
        <v>44</v>
      </c>
      <c r="G4654" t="s">
        <v>45</v>
      </c>
      <c r="AH4654" t="s">
        <v>42</v>
      </c>
      <c r="AI4654" t="str">
        <f>"66298945128669"</f>
        <v>66298945128669</v>
      </c>
      <c r="AJ4654" t="str">
        <f>"400767"</f>
        <v>400767</v>
      </c>
      <c r="AK4654" t="s">
        <v>46</v>
      </c>
      <c r="AL4654" s="1">
        <v>44816.563090277778</v>
      </c>
      <c r="AM4654" t="s">
        <v>44</v>
      </c>
    </row>
    <row r="4655" spans="1:39" x14ac:dyDescent="0.2">
      <c r="A4655" t="s">
        <v>4384</v>
      </c>
      <c r="B4655" t="s">
        <v>40</v>
      </c>
      <c r="C4655" t="s">
        <v>4347</v>
      </c>
      <c r="D4655" t="s">
        <v>42</v>
      </c>
      <c r="E4655" t="s">
        <v>43</v>
      </c>
      <c r="F4655" t="s">
        <v>44</v>
      </c>
      <c r="G4655" t="s">
        <v>45</v>
      </c>
      <c r="AH4655" t="s">
        <v>42</v>
      </c>
      <c r="AI4655" t="str">
        <f>"EMHJ52332"</f>
        <v>EMHJ52332</v>
      </c>
      <c r="AJ4655" t="str">
        <f>"EMHJ52332"</f>
        <v>EMHJ52332</v>
      </c>
      <c r="AK4655" t="s">
        <v>46</v>
      </c>
      <c r="AL4655" s="1">
        <v>44929.896192129629</v>
      </c>
      <c r="AM4655" t="s">
        <v>44</v>
      </c>
    </row>
    <row r="4656" spans="1:39" x14ac:dyDescent="0.2">
      <c r="A4656" t="s">
        <v>4385</v>
      </c>
      <c r="B4656" t="s">
        <v>40</v>
      </c>
      <c r="C4656" t="s">
        <v>4347</v>
      </c>
      <c r="D4656" t="s">
        <v>42</v>
      </c>
      <c r="E4656" t="s">
        <v>43</v>
      </c>
      <c r="F4656" t="s">
        <v>44</v>
      </c>
      <c r="G4656" t="s">
        <v>45</v>
      </c>
      <c r="AH4656" t="s">
        <v>42</v>
      </c>
      <c r="AI4656" t="str">
        <f>"EMHJ52151"</f>
        <v>EMHJ52151</v>
      </c>
      <c r="AJ4656" t="str">
        <f>"EMHJ52151"</f>
        <v>EMHJ52151</v>
      </c>
      <c r="AK4656" t="s">
        <v>46</v>
      </c>
      <c r="AL4656" s="1">
        <v>44929.897418981483</v>
      </c>
      <c r="AM4656" t="s">
        <v>44</v>
      </c>
    </row>
    <row r="4657" spans="1:39" x14ac:dyDescent="0.2">
      <c r="A4657" t="s">
        <v>4386</v>
      </c>
      <c r="B4657" t="s">
        <v>40</v>
      </c>
      <c r="C4657" t="s">
        <v>4347</v>
      </c>
      <c r="D4657" t="s">
        <v>42</v>
      </c>
      <c r="E4657" t="s">
        <v>43</v>
      </c>
      <c r="F4657" t="s">
        <v>44</v>
      </c>
      <c r="G4657" t="s">
        <v>45</v>
      </c>
      <c r="H4657" t="s">
        <v>2037</v>
      </c>
      <c r="AH4657" t="s">
        <v>42</v>
      </c>
      <c r="AI4657" t="str">
        <f>"EMHJ51837"</f>
        <v>EMHJ51837</v>
      </c>
      <c r="AJ4657" t="str">
        <f>"EMHJ51837"</f>
        <v>EMHJ51837</v>
      </c>
      <c r="AK4657" t="s">
        <v>46</v>
      </c>
      <c r="AL4657" s="1">
        <v>44902.609861111108</v>
      </c>
      <c r="AM4657" t="s">
        <v>44</v>
      </c>
    </row>
    <row r="4658" spans="1:39" x14ac:dyDescent="0.2">
      <c r="A4658" t="s">
        <v>4387</v>
      </c>
      <c r="B4658" t="s">
        <v>40</v>
      </c>
      <c r="C4658" t="s">
        <v>4347</v>
      </c>
      <c r="D4658" t="s">
        <v>42</v>
      </c>
      <c r="E4658" t="s">
        <v>43</v>
      </c>
      <c r="F4658" t="s">
        <v>44</v>
      </c>
      <c r="G4658" t="s">
        <v>45</v>
      </c>
      <c r="H4658" t="s">
        <v>2037</v>
      </c>
      <c r="AH4658" t="s">
        <v>42</v>
      </c>
      <c r="AI4658" t="str">
        <f>"EMHJ51810"</f>
        <v>EMHJ51810</v>
      </c>
      <c r="AJ4658" t="str">
        <f>"EMHJ51810"</f>
        <v>EMHJ51810</v>
      </c>
      <c r="AK4658" t="s">
        <v>46</v>
      </c>
      <c r="AL4658" s="1">
        <v>44902.610694444447</v>
      </c>
      <c r="AM4658" t="s">
        <v>44</v>
      </c>
    </row>
    <row r="4659" spans="1:39" x14ac:dyDescent="0.2">
      <c r="A4659" t="s">
        <v>4388</v>
      </c>
      <c r="B4659" t="s">
        <v>40</v>
      </c>
      <c r="C4659" t="s">
        <v>4347</v>
      </c>
      <c r="D4659" t="s">
        <v>42</v>
      </c>
      <c r="E4659" t="s">
        <v>43</v>
      </c>
      <c r="F4659" t="s">
        <v>44</v>
      </c>
      <c r="G4659" t="s">
        <v>45</v>
      </c>
      <c r="AH4659" t="s">
        <v>42</v>
      </c>
      <c r="AI4659" t="str">
        <f>"Y241"</f>
        <v>Y241</v>
      </c>
      <c r="AJ4659" t="str">
        <f>"Y241"</f>
        <v>Y241</v>
      </c>
      <c r="AK4659" t="s">
        <v>46</v>
      </c>
      <c r="AL4659" s="1">
        <v>45001.6718287037</v>
      </c>
      <c r="AM4659" t="s">
        <v>44</v>
      </c>
    </row>
    <row r="4660" spans="1:39" x14ac:dyDescent="0.2">
      <c r="A4660" t="s">
        <v>4389</v>
      </c>
      <c r="B4660" t="s">
        <v>40</v>
      </c>
      <c r="C4660" t="s">
        <v>4390</v>
      </c>
      <c r="D4660" t="s">
        <v>42</v>
      </c>
      <c r="E4660" t="s">
        <v>43</v>
      </c>
      <c r="F4660" t="s">
        <v>44</v>
      </c>
      <c r="G4660" t="s">
        <v>45</v>
      </c>
      <c r="AH4660" t="s">
        <v>42</v>
      </c>
      <c r="AI4660" t="str">
        <f>"66298945167666"</f>
        <v>66298945167666</v>
      </c>
      <c r="AJ4660" t="str">
        <f>"603"</f>
        <v>603</v>
      </c>
      <c r="AK4660" t="s">
        <v>46</v>
      </c>
      <c r="AL4660" s="1">
        <v>44816.563090277778</v>
      </c>
      <c r="AM4660" t="s">
        <v>44</v>
      </c>
    </row>
    <row r="4661" spans="1:39" x14ac:dyDescent="0.2">
      <c r="A4661" t="s">
        <v>4389</v>
      </c>
      <c r="B4661" t="s">
        <v>40</v>
      </c>
      <c r="C4661" t="s">
        <v>4390</v>
      </c>
      <c r="D4661" t="s">
        <v>42</v>
      </c>
      <c r="E4661" t="s">
        <v>43</v>
      </c>
      <c r="F4661" t="s">
        <v>44</v>
      </c>
      <c r="G4661" t="s">
        <v>45</v>
      </c>
      <c r="AH4661" t="s">
        <v>42</v>
      </c>
      <c r="AI4661" t="str">
        <f>"AA017"</f>
        <v>AA017</v>
      </c>
      <c r="AJ4661" t="str">
        <f>"AA017"</f>
        <v>AA017</v>
      </c>
      <c r="AK4661" t="s">
        <v>46</v>
      </c>
      <c r="AL4661" s="1">
        <v>45093.917430555557</v>
      </c>
      <c r="AM4661" t="s">
        <v>44</v>
      </c>
    </row>
    <row r="4662" spans="1:39" x14ac:dyDescent="0.2">
      <c r="A4662" t="s">
        <v>4391</v>
      </c>
      <c r="B4662" t="s">
        <v>40</v>
      </c>
      <c r="C4662" t="s">
        <v>4347</v>
      </c>
      <c r="D4662" t="s">
        <v>42</v>
      </c>
      <c r="E4662" t="s">
        <v>43</v>
      </c>
      <c r="F4662" t="s">
        <v>44</v>
      </c>
      <c r="G4662" t="s">
        <v>45</v>
      </c>
      <c r="AH4662" t="s">
        <v>42</v>
      </c>
      <c r="AI4662" t="str">
        <f>"66298945208123"</f>
        <v>66298945208123</v>
      </c>
      <c r="AJ4662" t="str">
        <f>"Y005"</f>
        <v>Y005</v>
      </c>
      <c r="AK4662" t="s">
        <v>46</v>
      </c>
      <c r="AL4662" s="1">
        <v>44816.563101851854</v>
      </c>
      <c r="AM4662" t="s">
        <v>44</v>
      </c>
    </row>
    <row r="4663" spans="1:39" x14ac:dyDescent="0.2">
      <c r="A4663" t="s">
        <v>4392</v>
      </c>
      <c r="B4663" t="s">
        <v>40</v>
      </c>
      <c r="C4663" t="s">
        <v>4347</v>
      </c>
      <c r="D4663" t="s">
        <v>42</v>
      </c>
      <c r="E4663" t="s">
        <v>43</v>
      </c>
      <c r="F4663" t="s">
        <v>44</v>
      </c>
      <c r="G4663" t="s">
        <v>45</v>
      </c>
      <c r="AH4663" t="s">
        <v>42</v>
      </c>
      <c r="AI4663" t="str">
        <f>"66298945251727"</f>
        <v>66298945251727</v>
      </c>
      <c r="AJ4663" t="str">
        <f>"61421H2C000H000"</f>
        <v>61421H2C000H000</v>
      </c>
      <c r="AK4663" t="s">
        <v>46</v>
      </c>
      <c r="AL4663" s="1">
        <v>44816.563101851854</v>
      </c>
      <c r="AM4663" t="s">
        <v>44</v>
      </c>
    </row>
    <row r="4664" spans="1:39" x14ac:dyDescent="0.2">
      <c r="A4664" t="s">
        <v>4393</v>
      </c>
      <c r="B4664" t="s">
        <v>40</v>
      </c>
      <c r="C4664" t="s">
        <v>1518</v>
      </c>
      <c r="D4664" t="s">
        <v>42</v>
      </c>
      <c r="E4664" t="s">
        <v>43</v>
      </c>
      <c r="F4664" t="s">
        <v>44</v>
      </c>
      <c r="G4664" t="s">
        <v>45</v>
      </c>
      <c r="AH4664" t="s">
        <v>42</v>
      </c>
      <c r="AI4664" t="str">
        <f>"12053"</f>
        <v>12053</v>
      </c>
      <c r="AJ4664" t="str">
        <f>"12053"</f>
        <v>12053</v>
      </c>
      <c r="AK4664" t="s">
        <v>46</v>
      </c>
      <c r="AL4664" s="1">
        <v>45036.716041666667</v>
      </c>
      <c r="AM4664" t="s">
        <v>44</v>
      </c>
    </row>
    <row r="4665" spans="1:39" x14ac:dyDescent="0.2">
      <c r="A4665" t="s">
        <v>4394</v>
      </c>
      <c r="B4665" t="s">
        <v>40</v>
      </c>
      <c r="C4665" t="s">
        <v>4347</v>
      </c>
      <c r="D4665" t="s">
        <v>42</v>
      </c>
      <c r="E4665" t="s">
        <v>43</v>
      </c>
      <c r="F4665" t="s">
        <v>44</v>
      </c>
      <c r="G4665" t="s">
        <v>45</v>
      </c>
      <c r="AH4665" t="s">
        <v>42</v>
      </c>
      <c r="AI4665" t="str">
        <f>"66298945294415"</f>
        <v>66298945294415</v>
      </c>
      <c r="AJ4665" t="str">
        <f>"R092-AZUL"</f>
        <v>R092-AZUL</v>
      </c>
      <c r="AK4665" t="s">
        <v>46</v>
      </c>
      <c r="AL4665" s="1">
        <v>44816.563101851854</v>
      </c>
      <c r="AM4665" t="s">
        <v>44</v>
      </c>
    </row>
    <row r="4666" spans="1:39" x14ac:dyDescent="0.2">
      <c r="A4666" t="s">
        <v>4395</v>
      </c>
      <c r="B4666" t="s">
        <v>40</v>
      </c>
      <c r="C4666" t="s">
        <v>4347</v>
      </c>
      <c r="D4666" t="s">
        <v>42</v>
      </c>
      <c r="E4666" t="s">
        <v>43</v>
      </c>
      <c r="F4666" t="s">
        <v>44</v>
      </c>
      <c r="G4666" t="s">
        <v>45</v>
      </c>
      <c r="AH4666" t="s">
        <v>42</v>
      </c>
      <c r="AI4666" t="str">
        <f>"66298945335969"</f>
        <v>66298945335969</v>
      </c>
      <c r="AJ4666" t="str">
        <f>"R092-CROMADO"</f>
        <v>R092-CROMADO</v>
      </c>
      <c r="AK4666" t="s">
        <v>46</v>
      </c>
      <c r="AL4666" s="1">
        <v>44816.563113425924</v>
      </c>
      <c r="AM4666" t="s">
        <v>44</v>
      </c>
    </row>
    <row r="4667" spans="1:39" x14ac:dyDescent="0.2">
      <c r="A4667" t="s">
        <v>4396</v>
      </c>
      <c r="B4667" t="s">
        <v>40</v>
      </c>
      <c r="C4667" t="s">
        <v>4347</v>
      </c>
      <c r="D4667" t="s">
        <v>42</v>
      </c>
      <c r="E4667" t="s">
        <v>43</v>
      </c>
      <c r="F4667" t="s">
        <v>44</v>
      </c>
      <c r="G4667" t="s">
        <v>45</v>
      </c>
      <c r="AH4667" t="s">
        <v>42</v>
      </c>
      <c r="AI4667" t="str">
        <f>"66298945374427"</f>
        <v>66298945374427</v>
      </c>
      <c r="AJ4667" t="str">
        <f>"R092-DORADO"</f>
        <v>R092-DORADO</v>
      </c>
      <c r="AK4667" t="s">
        <v>46</v>
      </c>
      <c r="AL4667" s="1">
        <v>44816.563113425924</v>
      </c>
      <c r="AM4667" t="s">
        <v>44</v>
      </c>
    </row>
    <row r="4668" spans="1:39" x14ac:dyDescent="0.2">
      <c r="A4668" t="s">
        <v>4397</v>
      </c>
      <c r="B4668" t="s">
        <v>40</v>
      </c>
      <c r="C4668" t="s">
        <v>4347</v>
      </c>
      <c r="D4668" t="s">
        <v>42</v>
      </c>
      <c r="E4668" t="s">
        <v>43</v>
      </c>
      <c r="F4668" t="s">
        <v>44</v>
      </c>
      <c r="G4668" t="s">
        <v>45</v>
      </c>
      <c r="AH4668" t="s">
        <v>42</v>
      </c>
      <c r="AI4668" t="str">
        <f>"66298945416982"</f>
        <v>66298945416982</v>
      </c>
      <c r="AJ4668" t="str">
        <f>"R092-NEGRO"</f>
        <v>R092-NEGRO</v>
      </c>
      <c r="AK4668" t="s">
        <v>46</v>
      </c>
      <c r="AL4668" s="1">
        <v>44816.563125000001</v>
      </c>
      <c r="AM4668" t="s">
        <v>44</v>
      </c>
    </row>
    <row r="4669" spans="1:39" x14ac:dyDescent="0.2">
      <c r="A4669" t="s">
        <v>4398</v>
      </c>
      <c r="B4669" t="s">
        <v>40</v>
      </c>
      <c r="C4669" t="s">
        <v>4347</v>
      </c>
      <c r="D4669" t="s">
        <v>42</v>
      </c>
      <c r="E4669" t="s">
        <v>43</v>
      </c>
      <c r="F4669" t="s">
        <v>44</v>
      </c>
      <c r="G4669" t="s">
        <v>45</v>
      </c>
      <c r="AH4669" t="s">
        <v>42</v>
      </c>
      <c r="AI4669" t="str">
        <f>"66298945458193"</f>
        <v>66298945458193</v>
      </c>
      <c r="AJ4669" t="str">
        <f>"R092-ROJO"</f>
        <v>R092-ROJO</v>
      </c>
      <c r="AK4669" t="s">
        <v>46</v>
      </c>
      <c r="AL4669" s="1">
        <v>44816.563125000001</v>
      </c>
      <c r="AM4669" t="s">
        <v>44</v>
      </c>
    </row>
    <row r="4670" spans="1:39" x14ac:dyDescent="0.2">
      <c r="A4670" t="s">
        <v>4399</v>
      </c>
      <c r="B4670" t="s">
        <v>40</v>
      </c>
      <c r="C4670" t="s">
        <v>4400</v>
      </c>
      <c r="D4670" t="s">
        <v>42</v>
      </c>
      <c r="E4670" t="s">
        <v>43</v>
      </c>
      <c r="F4670" t="s">
        <v>44</v>
      </c>
      <c r="G4670" t="s">
        <v>45</v>
      </c>
      <c r="H4670" t="s">
        <v>1114</v>
      </c>
      <c r="AH4670" t="s">
        <v>42</v>
      </c>
      <c r="AI4670" t="str">
        <f>"Y098-AZUL"</f>
        <v>Y098-AZUL</v>
      </c>
      <c r="AJ4670" t="str">
        <f>"Y098-AZUL"</f>
        <v>Y098-AZUL</v>
      </c>
      <c r="AK4670" t="s">
        <v>46</v>
      </c>
      <c r="AL4670" s="1">
        <v>44881.661041666666</v>
      </c>
      <c r="AM4670" t="s">
        <v>44</v>
      </c>
    </row>
    <row r="4671" spans="1:39" x14ac:dyDescent="0.2">
      <c r="A4671" t="s">
        <v>4399</v>
      </c>
      <c r="B4671" t="s">
        <v>40</v>
      </c>
      <c r="C4671" t="s">
        <v>4400</v>
      </c>
      <c r="D4671" t="s">
        <v>42</v>
      </c>
      <c r="E4671" t="s">
        <v>43</v>
      </c>
      <c r="F4671" t="s">
        <v>44</v>
      </c>
      <c r="G4671" t="s">
        <v>45</v>
      </c>
      <c r="H4671" t="s">
        <v>2037</v>
      </c>
      <c r="AH4671" t="s">
        <v>42</v>
      </c>
      <c r="AI4671" t="str">
        <f>"Y098-NEGRO"</f>
        <v>Y098-NEGRO</v>
      </c>
      <c r="AJ4671" t="str">
        <f>"Y098-NEGRO"</f>
        <v>Y098-NEGRO</v>
      </c>
      <c r="AK4671" t="s">
        <v>46</v>
      </c>
      <c r="AL4671" s="1">
        <v>44881.660821759258</v>
      </c>
      <c r="AM4671" t="s">
        <v>44</v>
      </c>
    </row>
    <row r="4672" spans="1:39" x14ac:dyDescent="0.2">
      <c r="A4672" t="s">
        <v>4401</v>
      </c>
      <c r="B4672" t="s">
        <v>40</v>
      </c>
      <c r="C4672" t="s">
        <v>4400</v>
      </c>
      <c r="D4672" t="s">
        <v>42</v>
      </c>
      <c r="E4672" t="s">
        <v>43</v>
      </c>
      <c r="F4672" t="s">
        <v>44</v>
      </c>
      <c r="G4672" t="s">
        <v>45</v>
      </c>
      <c r="AH4672" t="s">
        <v>42</v>
      </c>
      <c r="AI4672" t="str">
        <f>"66298945501009"</f>
        <v>66298945501009</v>
      </c>
      <c r="AJ4672" t="str">
        <f>"Y161"</f>
        <v>Y161</v>
      </c>
      <c r="AK4672" t="s">
        <v>46</v>
      </c>
      <c r="AL4672" s="1">
        <v>44816.563136574077</v>
      </c>
      <c r="AM4672" t="s">
        <v>44</v>
      </c>
    </row>
    <row r="4673" spans="1:39" x14ac:dyDescent="0.2">
      <c r="A4673" t="s">
        <v>4402</v>
      </c>
      <c r="B4673" t="s">
        <v>40</v>
      </c>
      <c r="C4673" t="s">
        <v>4400</v>
      </c>
      <c r="D4673" t="s">
        <v>42</v>
      </c>
      <c r="E4673" t="s">
        <v>43</v>
      </c>
      <c r="F4673" t="s">
        <v>44</v>
      </c>
      <c r="G4673" t="s">
        <v>45</v>
      </c>
      <c r="H4673" t="s">
        <v>2037</v>
      </c>
      <c r="AH4673" t="s">
        <v>42</v>
      </c>
      <c r="AI4673" t="str">
        <f>"Y070-NEGRO"</f>
        <v>Y070-NEGRO</v>
      </c>
      <c r="AJ4673" t="str">
        <f>"Y070-NEGRO"</f>
        <v>Y070-NEGRO</v>
      </c>
      <c r="AK4673" t="s">
        <v>46</v>
      </c>
      <c r="AL4673" s="1">
        <v>44881.652604166666</v>
      </c>
      <c r="AM4673" t="s">
        <v>44</v>
      </c>
    </row>
    <row r="4674" spans="1:39" x14ac:dyDescent="0.2">
      <c r="A4674" t="s">
        <v>4402</v>
      </c>
      <c r="B4674" t="s">
        <v>40</v>
      </c>
      <c r="C4674" t="s">
        <v>4400</v>
      </c>
      <c r="D4674" t="s">
        <v>42</v>
      </c>
      <c r="E4674" t="s">
        <v>43</v>
      </c>
      <c r="F4674" t="s">
        <v>44</v>
      </c>
      <c r="G4674" t="s">
        <v>45</v>
      </c>
      <c r="H4674" t="s">
        <v>1123</v>
      </c>
      <c r="AH4674" t="s">
        <v>42</v>
      </c>
      <c r="AI4674" t="str">
        <f>"Y070-ROJO"</f>
        <v>Y070-ROJO</v>
      </c>
      <c r="AJ4674" t="str">
        <f>"Y070-ROJO"</f>
        <v>Y070-ROJO</v>
      </c>
      <c r="AK4674" t="s">
        <v>46</v>
      </c>
      <c r="AL4674" s="1">
        <v>44881.739710648151</v>
      </c>
      <c r="AM4674" t="s">
        <v>44</v>
      </c>
    </row>
    <row r="4675" spans="1:39" x14ac:dyDescent="0.2">
      <c r="A4675" t="s">
        <v>4403</v>
      </c>
      <c r="B4675" t="s">
        <v>40</v>
      </c>
      <c r="C4675" t="s">
        <v>4400</v>
      </c>
      <c r="D4675" t="s">
        <v>42</v>
      </c>
      <c r="E4675" t="s">
        <v>43</v>
      </c>
      <c r="F4675" t="s">
        <v>44</v>
      </c>
      <c r="G4675" t="s">
        <v>45</v>
      </c>
      <c r="H4675" t="s">
        <v>2037</v>
      </c>
      <c r="AH4675" t="s">
        <v>42</v>
      </c>
      <c r="AI4675" t="str">
        <f>"Y026-NEGRO"</f>
        <v>Y026-NEGRO</v>
      </c>
      <c r="AJ4675" t="str">
        <f>"Y026-NEGRO"</f>
        <v>Y026-NEGRO</v>
      </c>
      <c r="AK4675" t="s">
        <v>46</v>
      </c>
      <c r="AL4675" s="1">
        <v>44868.584988425922</v>
      </c>
      <c r="AM4675" t="s">
        <v>44</v>
      </c>
    </row>
    <row r="4676" spans="1:39" x14ac:dyDescent="0.2">
      <c r="A4676" t="s">
        <v>4403</v>
      </c>
      <c r="B4676" t="s">
        <v>40</v>
      </c>
      <c r="C4676" t="s">
        <v>4400</v>
      </c>
      <c r="D4676" t="s">
        <v>42</v>
      </c>
      <c r="E4676" t="s">
        <v>43</v>
      </c>
      <c r="F4676" t="s">
        <v>44</v>
      </c>
      <c r="G4676" t="s">
        <v>45</v>
      </c>
      <c r="H4676" t="s">
        <v>1123</v>
      </c>
      <c r="AH4676" t="s">
        <v>42</v>
      </c>
      <c r="AI4676" t="str">
        <f>"Y027-ROJO"</f>
        <v>Y027-ROJO</v>
      </c>
      <c r="AJ4676" t="str">
        <f>"Y027-ROJO"</f>
        <v>Y027-ROJO</v>
      </c>
      <c r="AK4676" t="s">
        <v>46</v>
      </c>
      <c r="AL4676" s="1">
        <v>44868.585219907407</v>
      </c>
      <c r="AM4676" t="s">
        <v>44</v>
      </c>
    </row>
    <row r="4677" spans="1:39" x14ac:dyDescent="0.2">
      <c r="A4677" t="s">
        <v>4404</v>
      </c>
      <c r="B4677" t="s">
        <v>40</v>
      </c>
      <c r="C4677" t="s">
        <v>4400</v>
      </c>
      <c r="D4677" t="s">
        <v>42</v>
      </c>
      <c r="E4677" t="s">
        <v>43</v>
      </c>
      <c r="F4677" t="s">
        <v>44</v>
      </c>
      <c r="G4677" t="s">
        <v>45</v>
      </c>
      <c r="AH4677" t="s">
        <v>42</v>
      </c>
      <c r="AI4677" t="str">
        <f>"66298945543423"</f>
        <v>66298945543423</v>
      </c>
      <c r="AJ4677" t="str">
        <f>"588012"</f>
        <v>588012</v>
      </c>
      <c r="AK4677" t="s">
        <v>46</v>
      </c>
      <c r="AL4677" s="1">
        <v>44816.563136574077</v>
      </c>
      <c r="AM4677" t="s">
        <v>44</v>
      </c>
    </row>
    <row r="4678" spans="1:39" x14ac:dyDescent="0.2">
      <c r="A4678" t="s">
        <v>4405</v>
      </c>
      <c r="B4678" t="s">
        <v>40</v>
      </c>
      <c r="C4678" t="s">
        <v>4400</v>
      </c>
      <c r="D4678" t="s">
        <v>42</v>
      </c>
      <c r="E4678" t="s">
        <v>43</v>
      </c>
      <c r="F4678" t="s">
        <v>44</v>
      </c>
      <c r="G4678" t="s">
        <v>45</v>
      </c>
      <c r="H4678" t="s">
        <v>4406</v>
      </c>
      <c r="AH4678" t="s">
        <v>42</v>
      </c>
      <c r="AI4678" t="str">
        <f>"Y024"</f>
        <v>Y024</v>
      </c>
      <c r="AJ4678" t="str">
        <f>"Y024"</f>
        <v>Y024</v>
      </c>
      <c r="AK4678" t="s">
        <v>46</v>
      </c>
      <c r="AL4678" s="1">
        <v>44868.585636574076</v>
      </c>
      <c r="AM4678" t="s">
        <v>44</v>
      </c>
    </row>
    <row r="4679" spans="1:39" x14ac:dyDescent="0.2">
      <c r="A4679" t="s">
        <v>4407</v>
      </c>
      <c r="B4679" t="s">
        <v>40</v>
      </c>
      <c r="C4679" t="s">
        <v>4400</v>
      </c>
      <c r="D4679" t="s">
        <v>42</v>
      </c>
      <c r="E4679" t="s">
        <v>43</v>
      </c>
      <c r="F4679" t="s">
        <v>44</v>
      </c>
      <c r="G4679" t="s">
        <v>45</v>
      </c>
      <c r="AH4679" t="s">
        <v>42</v>
      </c>
      <c r="AI4679" t="str">
        <f>"66298945586843"</f>
        <v>66298945586843</v>
      </c>
      <c r="AJ4679" t="str">
        <f>"Y294"</f>
        <v>Y294</v>
      </c>
      <c r="AK4679" t="s">
        <v>46</v>
      </c>
      <c r="AL4679" s="1">
        <v>44816.563136574077</v>
      </c>
      <c r="AM4679" t="s">
        <v>44</v>
      </c>
    </row>
    <row r="4680" spans="1:39" x14ac:dyDescent="0.2">
      <c r="A4680" t="s">
        <v>4408</v>
      </c>
      <c r="B4680" t="s">
        <v>40</v>
      </c>
      <c r="C4680" t="s">
        <v>4400</v>
      </c>
      <c r="D4680" t="s">
        <v>42</v>
      </c>
      <c r="E4680" t="s">
        <v>43</v>
      </c>
      <c r="F4680" t="s">
        <v>44</v>
      </c>
      <c r="G4680" t="s">
        <v>45</v>
      </c>
      <c r="AH4680" t="s">
        <v>42</v>
      </c>
      <c r="AI4680" t="str">
        <f>"66298945631992"</f>
        <v>66298945631992</v>
      </c>
      <c r="AJ4680" t="str">
        <f>"Y057"</f>
        <v>Y057</v>
      </c>
      <c r="AK4680" t="s">
        <v>46</v>
      </c>
      <c r="AL4680" s="1">
        <v>44816.563148148147</v>
      </c>
      <c r="AM4680" t="s">
        <v>44</v>
      </c>
    </row>
    <row r="4681" spans="1:39" x14ac:dyDescent="0.2">
      <c r="A4681" t="s">
        <v>4409</v>
      </c>
      <c r="B4681" t="s">
        <v>40</v>
      </c>
      <c r="C4681" t="s">
        <v>4400</v>
      </c>
      <c r="D4681" t="s">
        <v>42</v>
      </c>
      <c r="E4681" t="s">
        <v>43</v>
      </c>
      <c r="F4681" t="s">
        <v>44</v>
      </c>
      <c r="G4681" t="s">
        <v>45</v>
      </c>
      <c r="AH4681" t="s">
        <v>42</v>
      </c>
      <c r="AI4681" t="str">
        <f>"66298945670212"</f>
        <v>66298945670212</v>
      </c>
      <c r="AJ4681" t="str">
        <f>"53111H2C000HA97"</f>
        <v>53111H2C000HA97</v>
      </c>
      <c r="AK4681" t="s">
        <v>46</v>
      </c>
      <c r="AL4681" s="1">
        <v>44816.563148148147</v>
      </c>
      <c r="AM4681" t="s">
        <v>44</v>
      </c>
    </row>
    <row r="4682" spans="1:39" x14ac:dyDescent="0.2">
      <c r="A4682" t="s">
        <v>4410</v>
      </c>
      <c r="B4682" t="s">
        <v>40</v>
      </c>
      <c r="C4682" t="s">
        <v>4400</v>
      </c>
      <c r="D4682" t="s">
        <v>42</v>
      </c>
      <c r="E4682" t="s">
        <v>43</v>
      </c>
      <c r="F4682" t="s">
        <v>44</v>
      </c>
      <c r="G4682" t="s">
        <v>45</v>
      </c>
      <c r="AH4682" t="s">
        <v>42</v>
      </c>
      <c r="AI4682" t="str">
        <f>"53111H2C000HA28"</f>
        <v>53111H2C000HA28</v>
      </c>
      <c r="AJ4682" t="str">
        <f>"53111H2C000HA28"</f>
        <v>53111H2C000HA28</v>
      </c>
      <c r="AK4682" t="s">
        <v>46</v>
      </c>
      <c r="AL4682" s="1">
        <v>44875.878263888888</v>
      </c>
      <c r="AM4682" t="s">
        <v>44</v>
      </c>
    </row>
    <row r="4683" spans="1:39" x14ac:dyDescent="0.2">
      <c r="A4683" t="s">
        <v>4411</v>
      </c>
      <c r="B4683" t="s">
        <v>40</v>
      </c>
      <c r="C4683" t="s">
        <v>4400</v>
      </c>
      <c r="D4683" t="s">
        <v>42</v>
      </c>
      <c r="E4683" t="s">
        <v>43</v>
      </c>
      <c r="F4683" t="s">
        <v>44</v>
      </c>
      <c r="G4683" t="s">
        <v>45</v>
      </c>
      <c r="H4683" t="s">
        <v>2370</v>
      </c>
      <c r="AH4683" t="s">
        <v>42</v>
      </c>
      <c r="AI4683" t="str">
        <f>"Y334-BLANCO"</f>
        <v>Y334-BLANCO</v>
      </c>
      <c r="AJ4683" t="str">
        <f>"Y334-BLANCO"</f>
        <v>Y334-BLANCO</v>
      </c>
      <c r="AK4683" t="s">
        <v>46</v>
      </c>
      <c r="AL4683" s="1">
        <v>44999.746168981481</v>
      </c>
      <c r="AM4683" t="s">
        <v>44</v>
      </c>
    </row>
    <row r="4684" spans="1:39" x14ac:dyDescent="0.2">
      <c r="A4684" t="s">
        <v>4411</v>
      </c>
      <c r="B4684" t="s">
        <v>40</v>
      </c>
      <c r="C4684" t="s">
        <v>4400</v>
      </c>
      <c r="D4684" t="s">
        <v>42</v>
      </c>
      <c r="E4684" t="s">
        <v>43</v>
      </c>
      <c r="F4684" t="s">
        <v>44</v>
      </c>
      <c r="G4684" t="s">
        <v>45</v>
      </c>
      <c r="H4684" t="s">
        <v>2037</v>
      </c>
      <c r="AH4684" t="s">
        <v>42</v>
      </c>
      <c r="AI4684" t="str">
        <f>"Y334-NEGRO"</f>
        <v>Y334-NEGRO</v>
      </c>
      <c r="AJ4684" t="str">
        <f>"Y334-NEGRO"</f>
        <v>Y334-NEGRO</v>
      </c>
      <c r="AK4684" t="s">
        <v>46</v>
      </c>
      <c r="AL4684" s="1">
        <v>45001.616574074076</v>
      </c>
      <c r="AM4684" t="s">
        <v>44</v>
      </c>
    </row>
    <row r="4685" spans="1:39" x14ac:dyDescent="0.2">
      <c r="A4685" t="s">
        <v>4412</v>
      </c>
      <c r="B4685" t="s">
        <v>40</v>
      </c>
      <c r="C4685" t="s">
        <v>4400</v>
      </c>
      <c r="D4685" t="s">
        <v>42</v>
      </c>
      <c r="E4685" t="s">
        <v>43</v>
      </c>
      <c r="F4685" t="s">
        <v>44</v>
      </c>
      <c r="G4685" t="s">
        <v>45</v>
      </c>
      <c r="H4685" t="s">
        <v>4413</v>
      </c>
      <c r="AH4685" t="s">
        <v>42</v>
      </c>
      <c r="AI4685" t="str">
        <f>"52JF0597"</f>
        <v>52JF0597</v>
      </c>
      <c r="AJ4685" t="str">
        <f>"52JF0597"</f>
        <v>52JF0597</v>
      </c>
      <c r="AK4685" t="s">
        <v>46</v>
      </c>
      <c r="AL4685" s="1">
        <v>45113.849305555559</v>
      </c>
      <c r="AM4685" t="s">
        <v>44</v>
      </c>
    </row>
    <row r="4686" spans="1:39" x14ac:dyDescent="0.2">
      <c r="A4686" t="s">
        <v>4414</v>
      </c>
      <c r="B4686" t="s">
        <v>40</v>
      </c>
      <c r="C4686" t="s">
        <v>4400</v>
      </c>
      <c r="D4686" t="s">
        <v>42</v>
      </c>
      <c r="E4686" t="s">
        <v>43</v>
      </c>
      <c r="F4686" t="s">
        <v>44</v>
      </c>
      <c r="G4686" t="s">
        <v>45</v>
      </c>
      <c r="AH4686" t="s">
        <v>42</v>
      </c>
      <c r="AI4686" t="str">
        <f>"Y008"</f>
        <v>Y008</v>
      </c>
      <c r="AJ4686" t="str">
        <f>"Y008"</f>
        <v>Y008</v>
      </c>
      <c r="AK4686" t="s">
        <v>46</v>
      </c>
      <c r="AL4686" s="1">
        <v>44868.596759259257</v>
      </c>
      <c r="AM4686" t="s">
        <v>44</v>
      </c>
    </row>
    <row r="4687" spans="1:39" x14ac:dyDescent="0.2">
      <c r="A4687" t="s">
        <v>4415</v>
      </c>
      <c r="B4687" t="s">
        <v>40</v>
      </c>
      <c r="C4687" t="s">
        <v>4400</v>
      </c>
      <c r="D4687" t="s">
        <v>42</v>
      </c>
      <c r="E4687" t="s">
        <v>43</v>
      </c>
      <c r="F4687" t="s">
        <v>44</v>
      </c>
      <c r="G4687" t="s">
        <v>45</v>
      </c>
      <c r="AH4687" t="s">
        <v>42</v>
      </c>
      <c r="AI4687" t="str">
        <f>"Y056"</f>
        <v>Y056</v>
      </c>
      <c r="AJ4687" t="str">
        <f>"Y056"</f>
        <v>Y056</v>
      </c>
      <c r="AK4687" t="s">
        <v>46</v>
      </c>
      <c r="AL4687" s="1">
        <v>44916.684074074074</v>
      </c>
      <c r="AM4687" t="s">
        <v>44</v>
      </c>
    </row>
    <row r="4688" spans="1:39" x14ac:dyDescent="0.2">
      <c r="A4688" t="s">
        <v>4416</v>
      </c>
      <c r="B4688" t="s">
        <v>40</v>
      </c>
      <c r="C4688" t="s">
        <v>4400</v>
      </c>
      <c r="D4688" t="s">
        <v>42</v>
      </c>
      <c r="E4688" t="s">
        <v>43</v>
      </c>
      <c r="F4688" t="s">
        <v>44</v>
      </c>
      <c r="G4688" t="s">
        <v>45</v>
      </c>
      <c r="H4688" t="s">
        <v>2370</v>
      </c>
      <c r="AH4688" t="s">
        <v>42</v>
      </c>
      <c r="AI4688" t="str">
        <f>"Y021"</f>
        <v>Y021</v>
      </c>
      <c r="AJ4688" t="str">
        <f>"Y021"</f>
        <v>Y021</v>
      </c>
      <c r="AK4688" t="s">
        <v>46</v>
      </c>
      <c r="AL4688" s="1">
        <v>44868.589375000003</v>
      </c>
      <c r="AM4688" t="s">
        <v>44</v>
      </c>
    </row>
    <row r="4689" spans="1:39" x14ac:dyDescent="0.2">
      <c r="A4689" t="s">
        <v>4417</v>
      </c>
      <c r="B4689" t="s">
        <v>40</v>
      </c>
      <c r="C4689" t="s">
        <v>4400</v>
      </c>
      <c r="D4689" t="s">
        <v>42</v>
      </c>
      <c r="E4689" t="s">
        <v>43</v>
      </c>
      <c r="F4689" t="s">
        <v>44</v>
      </c>
      <c r="G4689" t="s">
        <v>45</v>
      </c>
      <c r="H4689" t="s">
        <v>1123</v>
      </c>
      <c r="AH4689" t="s">
        <v>42</v>
      </c>
      <c r="AI4689" t="str">
        <f>"Y059-ROJO"</f>
        <v>Y059-ROJO</v>
      </c>
      <c r="AJ4689" t="str">
        <f>"Y059-ROJO"</f>
        <v>Y059-ROJO</v>
      </c>
      <c r="AK4689" t="s">
        <v>46</v>
      </c>
      <c r="AL4689" s="1">
        <v>44881.65016203704</v>
      </c>
      <c r="AM4689" t="s">
        <v>44</v>
      </c>
    </row>
    <row r="4690" spans="1:39" x14ac:dyDescent="0.2">
      <c r="A4690" t="s">
        <v>4418</v>
      </c>
      <c r="B4690" t="s">
        <v>40</v>
      </c>
      <c r="C4690" t="s">
        <v>4400</v>
      </c>
      <c r="D4690" t="s">
        <v>42</v>
      </c>
      <c r="E4690" t="s">
        <v>43</v>
      </c>
      <c r="F4690" t="s">
        <v>44</v>
      </c>
      <c r="G4690" t="s">
        <v>45</v>
      </c>
      <c r="H4690" t="s">
        <v>2370</v>
      </c>
      <c r="AH4690" t="s">
        <v>42</v>
      </c>
      <c r="AI4690" t="str">
        <f>"Y038-BLANCO"</f>
        <v>Y038-BLANCO</v>
      </c>
      <c r="AJ4690" t="str">
        <f>"Y038-BLANCO"</f>
        <v>Y038-BLANCO</v>
      </c>
      <c r="AK4690" t="s">
        <v>46</v>
      </c>
      <c r="AL4690" s="1">
        <v>44868.594456018516</v>
      </c>
      <c r="AM4690" t="s">
        <v>44</v>
      </c>
    </row>
    <row r="4691" spans="1:39" x14ac:dyDescent="0.2">
      <c r="A4691" t="s">
        <v>4418</v>
      </c>
      <c r="B4691" t="s">
        <v>40</v>
      </c>
      <c r="C4691" t="s">
        <v>4400</v>
      </c>
      <c r="D4691" t="s">
        <v>42</v>
      </c>
      <c r="E4691" t="s">
        <v>43</v>
      </c>
      <c r="F4691" t="s">
        <v>44</v>
      </c>
      <c r="G4691" t="s">
        <v>45</v>
      </c>
      <c r="H4691" t="s">
        <v>1123</v>
      </c>
      <c r="AH4691" t="s">
        <v>42</v>
      </c>
      <c r="AI4691" t="str">
        <f>"Y038-ROJO"</f>
        <v>Y038-ROJO</v>
      </c>
      <c r="AJ4691" t="str">
        <f>"Y038-ROJO"</f>
        <v>Y038-ROJO</v>
      </c>
      <c r="AK4691" t="s">
        <v>46</v>
      </c>
      <c r="AL4691" s="1">
        <v>44816.563159722224</v>
      </c>
      <c r="AM4691" t="s">
        <v>44</v>
      </c>
    </row>
    <row r="4692" spans="1:39" x14ac:dyDescent="0.2">
      <c r="A4692" t="s">
        <v>4419</v>
      </c>
      <c r="B4692" t="s">
        <v>40</v>
      </c>
      <c r="C4692" t="s">
        <v>4400</v>
      </c>
      <c r="D4692" t="s">
        <v>42</v>
      </c>
      <c r="E4692" t="s">
        <v>43</v>
      </c>
      <c r="F4692" t="s">
        <v>44</v>
      </c>
      <c r="G4692" t="s">
        <v>45</v>
      </c>
      <c r="AH4692" t="s">
        <v>42</v>
      </c>
      <c r="AI4692" t="str">
        <f>"Y015-2"</f>
        <v>Y015-2</v>
      </c>
      <c r="AJ4692" t="str">
        <f>"Y015-2"</f>
        <v>Y015-2</v>
      </c>
      <c r="AK4692" t="s">
        <v>46</v>
      </c>
      <c r="AL4692" s="1">
        <v>44965.823692129627</v>
      </c>
      <c r="AM4692" t="s">
        <v>44</v>
      </c>
    </row>
    <row r="4693" spans="1:39" x14ac:dyDescent="0.2">
      <c r="A4693" t="s">
        <v>4420</v>
      </c>
      <c r="B4693" t="s">
        <v>40</v>
      </c>
      <c r="C4693" t="s">
        <v>4400</v>
      </c>
      <c r="D4693" t="s">
        <v>42</v>
      </c>
      <c r="E4693" t="s">
        <v>43</v>
      </c>
      <c r="F4693" t="s">
        <v>44</v>
      </c>
      <c r="G4693" t="s">
        <v>45</v>
      </c>
      <c r="AH4693" t="s">
        <v>42</v>
      </c>
      <c r="AI4693" t="str">
        <f>"66298945750213"</f>
        <v>66298945750213</v>
      </c>
      <c r="AJ4693" t="str">
        <f>"Y015-3"</f>
        <v>Y015-3</v>
      </c>
      <c r="AK4693" t="s">
        <v>46</v>
      </c>
      <c r="AL4693" s="1">
        <v>44816.563159722224</v>
      </c>
      <c r="AM4693" t="s">
        <v>44</v>
      </c>
    </row>
    <row r="4694" spans="1:39" x14ac:dyDescent="0.2">
      <c r="A4694" t="s">
        <v>4421</v>
      </c>
      <c r="B4694" t="s">
        <v>40</v>
      </c>
      <c r="C4694" t="s">
        <v>4400</v>
      </c>
      <c r="D4694" t="s">
        <v>42</v>
      </c>
      <c r="E4694" t="s">
        <v>43</v>
      </c>
      <c r="F4694" t="s">
        <v>44</v>
      </c>
      <c r="G4694" t="s">
        <v>45</v>
      </c>
      <c r="AH4694" t="s">
        <v>42</v>
      </c>
      <c r="AI4694" t="str">
        <f>"Y015-1"</f>
        <v>Y015-1</v>
      </c>
      <c r="AJ4694" t="str">
        <f>"Y015-1"</f>
        <v>Y015-1</v>
      </c>
      <c r="AK4694" t="s">
        <v>46</v>
      </c>
      <c r="AL4694" s="1">
        <v>44965.823460648149</v>
      </c>
      <c r="AM4694" t="s">
        <v>44</v>
      </c>
    </row>
    <row r="4695" spans="1:39" x14ac:dyDescent="0.2">
      <c r="A4695" t="s">
        <v>4422</v>
      </c>
      <c r="B4695" t="s">
        <v>40</v>
      </c>
      <c r="C4695" t="s">
        <v>4400</v>
      </c>
      <c r="D4695" t="s">
        <v>42</v>
      </c>
      <c r="E4695" t="s">
        <v>43</v>
      </c>
      <c r="F4695" t="s">
        <v>44</v>
      </c>
      <c r="G4695" t="s">
        <v>45</v>
      </c>
      <c r="AH4695" t="s">
        <v>42</v>
      </c>
      <c r="AI4695" t="str">
        <f>"66298945791791"</f>
        <v>66298945791791</v>
      </c>
      <c r="AJ4695" t="str">
        <f>"E021"</f>
        <v>E021</v>
      </c>
      <c r="AK4695" t="s">
        <v>46</v>
      </c>
      <c r="AL4695" s="1">
        <v>44816.563159722224</v>
      </c>
      <c r="AM4695" t="s">
        <v>44</v>
      </c>
    </row>
    <row r="4696" spans="1:39" x14ac:dyDescent="0.2">
      <c r="A4696" t="s">
        <v>4423</v>
      </c>
      <c r="B4696" t="s">
        <v>40</v>
      </c>
      <c r="C4696" t="s">
        <v>4400</v>
      </c>
      <c r="D4696" t="s">
        <v>42</v>
      </c>
      <c r="E4696" t="s">
        <v>43</v>
      </c>
      <c r="F4696" t="s">
        <v>44</v>
      </c>
      <c r="G4696" t="s">
        <v>45</v>
      </c>
      <c r="AH4696" t="s">
        <v>42</v>
      </c>
      <c r="AI4696" t="str">
        <f>"B97F163A0000"</f>
        <v>B97F163A0000</v>
      </c>
      <c r="AJ4696" t="str">
        <f>"B97F163A0000"</f>
        <v>B97F163A0000</v>
      </c>
      <c r="AK4696" t="s">
        <v>46</v>
      </c>
      <c r="AL4696" s="1">
        <v>45104.595636574071</v>
      </c>
      <c r="AM4696" t="s">
        <v>44</v>
      </c>
    </row>
    <row r="4697" spans="1:39" x14ac:dyDescent="0.2">
      <c r="A4697" t="s">
        <v>4424</v>
      </c>
      <c r="B4697" t="s">
        <v>40</v>
      </c>
      <c r="C4697" t="s">
        <v>4400</v>
      </c>
      <c r="D4697" t="s">
        <v>42</v>
      </c>
      <c r="E4697" t="s">
        <v>43</v>
      </c>
      <c r="F4697" t="s">
        <v>44</v>
      </c>
      <c r="G4697" t="s">
        <v>45</v>
      </c>
      <c r="AH4697" t="s">
        <v>42</v>
      </c>
      <c r="AI4697" t="str">
        <f>"66298945831356"</f>
        <v>66298945831356</v>
      </c>
      <c r="AJ4697" t="str">
        <f>"Y110"</f>
        <v>Y110</v>
      </c>
      <c r="AK4697" t="s">
        <v>46</v>
      </c>
      <c r="AL4697" s="1">
        <v>44816.563171296293</v>
      </c>
      <c r="AM4697" t="s">
        <v>44</v>
      </c>
    </row>
    <row r="4698" spans="1:39" x14ac:dyDescent="0.2">
      <c r="A4698" t="s">
        <v>4425</v>
      </c>
      <c r="B4698" t="s">
        <v>40</v>
      </c>
      <c r="C4698" t="s">
        <v>4400</v>
      </c>
      <c r="D4698" t="s">
        <v>42</v>
      </c>
      <c r="E4698" t="s">
        <v>43</v>
      </c>
      <c r="F4698" t="s">
        <v>44</v>
      </c>
      <c r="G4698" t="s">
        <v>45</v>
      </c>
      <c r="AH4698" t="s">
        <v>42</v>
      </c>
      <c r="AI4698" t="str">
        <f>"66298945871430"</f>
        <v>66298945871430</v>
      </c>
      <c r="AJ4698" t="str">
        <f>"Y292"</f>
        <v>Y292</v>
      </c>
      <c r="AK4698" t="s">
        <v>46</v>
      </c>
      <c r="AL4698" s="1">
        <v>44816.563171296293</v>
      </c>
      <c r="AM4698" t="s">
        <v>44</v>
      </c>
    </row>
    <row r="4699" spans="1:39" x14ac:dyDescent="0.2">
      <c r="A4699" t="s">
        <v>4426</v>
      </c>
      <c r="B4699" t="s">
        <v>40</v>
      </c>
      <c r="C4699" t="s">
        <v>4400</v>
      </c>
      <c r="D4699" t="s">
        <v>42</v>
      </c>
      <c r="E4699" t="s">
        <v>43</v>
      </c>
      <c r="F4699" t="s">
        <v>44</v>
      </c>
      <c r="G4699" t="s">
        <v>45</v>
      </c>
      <c r="AH4699" t="s">
        <v>42</v>
      </c>
      <c r="AI4699" t="str">
        <f>"66298945910268"</f>
        <v>66298945910268</v>
      </c>
      <c r="AJ4699" t="str">
        <f>"FZ012"</f>
        <v>FZ012</v>
      </c>
      <c r="AK4699" t="s">
        <v>46</v>
      </c>
      <c r="AL4699" s="1">
        <v>44816.56318287037</v>
      </c>
      <c r="AM4699" t="s">
        <v>44</v>
      </c>
    </row>
    <row r="4700" spans="1:39" x14ac:dyDescent="0.2">
      <c r="A4700" t="s">
        <v>4427</v>
      </c>
      <c r="B4700" t="s">
        <v>40</v>
      </c>
      <c r="C4700" t="s">
        <v>4400</v>
      </c>
      <c r="D4700" t="s">
        <v>42</v>
      </c>
      <c r="E4700" t="s">
        <v>43</v>
      </c>
      <c r="F4700" t="s">
        <v>44</v>
      </c>
      <c r="G4700" t="s">
        <v>45</v>
      </c>
      <c r="AH4700" t="s">
        <v>42</v>
      </c>
      <c r="AI4700" t="str">
        <f>"B97F1629000"</f>
        <v>B97F1629000</v>
      </c>
      <c r="AJ4700" t="str">
        <f>"B97F1629000"</f>
        <v>B97F1629000</v>
      </c>
      <c r="AK4700" t="s">
        <v>46</v>
      </c>
      <c r="AL4700" s="1">
        <v>45104.592638888891</v>
      </c>
      <c r="AM4700" t="s">
        <v>44</v>
      </c>
    </row>
    <row r="4701" spans="1:39" x14ac:dyDescent="0.2">
      <c r="A4701" t="s">
        <v>4428</v>
      </c>
      <c r="B4701" t="s">
        <v>40</v>
      </c>
      <c r="C4701" t="s">
        <v>4400</v>
      </c>
      <c r="D4701" t="s">
        <v>42</v>
      </c>
      <c r="E4701" t="s">
        <v>43</v>
      </c>
      <c r="F4701" t="s">
        <v>44</v>
      </c>
      <c r="G4701" t="s">
        <v>45</v>
      </c>
      <c r="AH4701" t="s">
        <v>42</v>
      </c>
      <c r="AI4701" t="str">
        <f>"66298945954908"</f>
        <v>66298945954908</v>
      </c>
      <c r="AJ4701" t="str">
        <f>"63111H2C003H000"</f>
        <v>63111H2C003H000</v>
      </c>
      <c r="AK4701" t="s">
        <v>46</v>
      </c>
      <c r="AL4701" s="1">
        <v>44816.56318287037</v>
      </c>
      <c r="AM4701" t="s">
        <v>44</v>
      </c>
    </row>
    <row r="4702" spans="1:39" x14ac:dyDescent="0.2">
      <c r="A4702" t="s">
        <v>4429</v>
      </c>
      <c r="B4702" t="s">
        <v>40</v>
      </c>
      <c r="C4702" t="s">
        <v>4400</v>
      </c>
      <c r="D4702" t="s">
        <v>42</v>
      </c>
      <c r="E4702" t="s">
        <v>43</v>
      </c>
      <c r="F4702" t="s">
        <v>44</v>
      </c>
      <c r="G4702" t="s">
        <v>45</v>
      </c>
      <c r="AH4702" t="s">
        <v>42</v>
      </c>
      <c r="AI4702" t="str">
        <f>"66298945992580"</f>
        <v>66298945992580</v>
      </c>
      <c r="AJ4702" t="str">
        <f>"Y063"</f>
        <v>Y063</v>
      </c>
      <c r="AK4702" t="s">
        <v>46</v>
      </c>
      <c r="AL4702" s="1">
        <v>44816.56318287037</v>
      </c>
      <c r="AM4702" t="s">
        <v>44</v>
      </c>
    </row>
    <row r="4703" spans="1:39" x14ac:dyDescent="0.2">
      <c r="A4703" t="s">
        <v>4430</v>
      </c>
      <c r="B4703" t="s">
        <v>40</v>
      </c>
      <c r="C4703" t="s">
        <v>4400</v>
      </c>
      <c r="D4703" t="s">
        <v>42</v>
      </c>
      <c r="E4703" t="s">
        <v>43</v>
      </c>
      <c r="F4703" t="s">
        <v>44</v>
      </c>
      <c r="G4703" t="s">
        <v>45</v>
      </c>
      <c r="H4703" t="s">
        <v>2370</v>
      </c>
      <c r="AH4703" t="s">
        <v>42</v>
      </c>
      <c r="AI4703" t="str">
        <f>"Y042-BLANCO"</f>
        <v>Y042-BLANCO</v>
      </c>
      <c r="AJ4703" t="str">
        <f>"Y042-BLANCO"</f>
        <v>Y042-BLANCO</v>
      </c>
      <c r="AK4703" t="s">
        <v>46</v>
      </c>
      <c r="AL4703" s="1">
        <v>44816.563194444447</v>
      </c>
      <c r="AM4703" t="s">
        <v>44</v>
      </c>
    </row>
    <row r="4704" spans="1:39" x14ac:dyDescent="0.2">
      <c r="A4704" t="s">
        <v>4430</v>
      </c>
      <c r="B4704" t="s">
        <v>40</v>
      </c>
      <c r="C4704" t="s">
        <v>4400</v>
      </c>
      <c r="D4704" t="s">
        <v>42</v>
      </c>
      <c r="E4704" t="s">
        <v>43</v>
      </c>
      <c r="F4704" t="s">
        <v>44</v>
      </c>
      <c r="G4704" t="s">
        <v>45</v>
      </c>
      <c r="H4704" t="s">
        <v>2037</v>
      </c>
      <c r="AH4704" t="s">
        <v>42</v>
      </c>
      <c r="AI4704" t="str">
        <f>"Y042-NEGRO"</f>
        <v>Y042-NEGRO</v>
      </c>
      <c r="AJ4704" t="str">
        <f>"Y042-NEGRO"</f>
        <v>Y042-NEGRO</v>
      </c>
      <c r="AK4704" t="s">
        <v>46</v>
      </c>
      <c r="AL4704" s="1">
        <v>44881.642071759263</v>
      </c>
      <c r="AM4704" t="s">
        <v>44</v>
      </c>
    </row>
    <row r="4705" spans="1:39" x14ac:dyDescent="0.2">
      <c r="A4705" t="s">
        <v>4430</v>
      </c>
      <c r="B4705" t="s">
        <v>40</v>
      </c>
      <c r="C4705" t="s">
        <v>4400</v>
      </c>
      <c r="D4705" t="s">
        <v>42</v>
      </c>
      <c r="E4705" t="s">
        <v>43</v>
      </c>
      <c r="F4705" t="s">
        <v>44</v>
      </c>
      <c r="G4705" t="s">
        <v>45</v>
      </c>
      <c r="H4705" t="s">
        <v>1123</v>
      </c>
      <c r="AH4705" t="s">
        <v>42</v>
      </c>
      <c r="AI4705" t="str">
        <f>"Y042-ROJO"</f>
        <v>Y042-ROJO</v>
      </c>
      <c r="AJ4705" t="str">
        <f>"Y042-ROJO"</f>
        <v>Y042-ROJO</v>
      </c>
      <c r="AK4705" t="s">
        <v>46</v>
      </c>
      <c r="AL4705" s="1">
        <v>44881.645266203705</v>
      </c>
      <c r="AM4705" t="s">
        <v>44</v>
      </c>
    </row>
    <row r="4706" spans="1:39" x14ac:dyDescent="0.2">
      <c r="A4706" t="s">
        <v>4431</v>
      </c>
      <c r="B4706" t="s">
        <v>40</v>
      </c>
      <c r="C4706" t="s">
        <v>4400</v>
      </c>
      <c r="D4706" t="s">
        <v>42</v>
      </c>
      <c r="E4706" t="s">
        <v>43</v>
      </c>
      <c r="F4706" t="s">
        <v>44</v>
      </c>
      <c r="G4706" t="s">
        <v>45</v>
      </c>
      <c r="AH4706" t="s">
        <v>42</v>
      </c>
      <c r="AI4706" t="str">
        <f>"Y052"</f>
        <v>Y052</v>
      </c>
      <c r="AJ4706" t="str">
        <f>"Y052"</f>
        <v>Y052</v>
      </c>
      <c r="AK4706" t="s">
        <v>46</v>
      </c>
      <c r="AL4706" s="1">
        <v>44916.680069444446</v>
      </c>
      <c r="AM4706" t="s">
        <v>44</v>
      </c>
    </row>
    <row r="4707" spans="1:39" x14ac:dyDescent="0.2">
      <c r="A4707" t="s">
        <v>4432</v>
      </c>
      <c r="B4707" t="s">
        <v>40</v>
      </c>
      <c r="C4707" t="s">
        <v>4400</v>
      </c>
      <c r="D4707" t="s">
        <v>42</v>
      </c>
      <c r="E4707" t="s">
        <v>43</v>
      </c>
      <c r="F4707" t="s">
        <v>44</v>
      </c>
      <c r="G4707" t="s">
        <v>45</v>
      </c>
      <c r="H4707" t="s">
        <v>1114</v>
      </c>
      <c r="AH4707" t="s">
        <v>42</v>
      </c>
      <c r="AI4707" t="str">
        <f>"Y164-AZUL"</f>
        <v>Y164-AZUL</v>
      </c>
      <c r="AJ4707" t="str">
        <f>"Y164-AZUL"</f>
        <v>Y164-AZUL</v>
      </c>
      <c r="AK4707" t="s">
        <v>46</v>
      </c>
      <c r="AL4707" s="1">
        <v>45000.756782407407</v>
      </c>
      <c r="AM4707" t="s">
        <v>44</v>
      </c>
    </row>
    <row r="4708" spans="1:39" x14ac:dyDescent="0.2">
      <c r="A4708" t="s">
        <v>4433</v>
      </c>
      <c r="B4708" t="s">
        <v>40</v>
      </c>
      <c r="C4708" t="s">
        <v>4347</v>
      </c>
      <c r="D4708" t="s">
        <v>42</v>
      </c>
      <c r="E4708" t="s">
        <v>43</v>
      </c>
      <c r="F4708" t="s">
        <v>44</v>
      </c>
      <c r="G4708" t="s">
        <v>45</v>
      </c>
      <c r="H4708" t="s">
        <v>1123</v>
      </c>
      <c r="AH4708" t="s">
        <v>42</v>
      </c>
      <c r="AI4708" t="str">
        <f>"Y187-ROJO"</f>
        <v>Y187-ROJO</v>
      </c>
      <c r="AJ4708" t="str">
        <f>"Y187-ROJO"</f>
        <v>Y187-ROJO</v>
      </c>
      <c r="AK4708" t="s">
        <v>46</v>
      </c>
      <c r="AL4708" s="1">
        <v>44916.749143518522</v>
      </c>
      <c r="AM4708" t="s">
        <v>44</v>
      </c>
    </row>
    <row r="4709" spans="1:39" x14ac:dyDescent="0.2">
      <c r="A4709" t="s">
        <v>4434</v>
      </c>
      <c r="B4709" t="s">
        <v>40</v>
      </c>
      <c r="C4709" t="s">
        <v>4347</v>
      </c>
      <c r="D4709" t="s">
        <v>42</v>
      </c>
      <c r="E4709" t="s">
        <v>43</v>
      </c>
      <c r="F4709" t="s">
        <v>44</v>
      </c>
      <c r="G4709" t="s">
        <v>45</v>
      </c>
      <c r="H4709" t="s">
        <v>2037</v>
      </c>
      <c r="AH4709" t="s">
        <v>42</v>
      </c>
      <c r="AI4709" t="str">
        <f>"Y013-NEGRO"</f>
        <v>Y013-NEGRO</v>
      </c>
      <c r="AJ4709" t="str">
        <f>"Y013-NEGRO"</f>
        <v>Y013-NEGRO</v>
      </c>
      <c r="AK4709" t="s">
        <v>46</v>
      </c>
      <c r="AL4709" s="1">
        <v>44868.597777777781</v>
      </c>
      <c r="AM4709" t="s">
        <v>44</v>
      </c>
    </row>
    <row r="4710" spans="1:39" x14ac:dyDescent="0.2">
      <c r="A4710" t="s">
        <v>4434</v>
      </c>
      <c r="B4710" t="s">
        <v>40</v>
      </c>
      <c r="C4710" t="s">
        <v>4347</v>
      </c>
      <c r="D4710" t="s">
        <v>42</v>
      </c>
      <c r="E4710" t="s">
        <v>43</v>
      </c>
      <c r="F4710" t="s">
        <v>44</v>
      </c>
      <c r="G4710" t="s">
        <v>45</v>
      </c>
      <c r="H4710" t="s">
        <v>1123</v>
      </c>
      <c r="AH4710" t="s">
        <v>42</v>
      </c>
      <c r="AI4710" t="str">
        <f>"Y013-ROJO"</f>
        <v>Y013-ROJO</v>
      </c>
      <c r="AJ4710" t="str">
        <f>"Y013-ROJO"</f>
        <v>Y013-ROJO</v>
      </c>
      <c r="AK4710" t="s">
        <v>46</v>
      </c>
      <c r="AL4710" s="1">
        <v>44868.598020833335</v>
      </c>
      <c r="AM4710" t="s">
        <v>44</v>
      </c>
    </row>
    <row r="4711" spans="1:39" x14ac:dyDescent="0.2">
      <c r="A4711" t="s">
        <v>4435</v>
      </c>
      <c r="B4711" t="s">
        <v>40</v>
      </c>
      <c r="C4711" t="s">
        <v>4347</v>
      </c>
      <c r="D4711" t="s">
        <v>42</v>
      </c>
      <c r="E4711" t="s">
        <v>43</v>
      </c>
      <c r="F4711" t="s">
        <v>44</v>
      </c>
      <c r="G4711" t="s">
        <v>45</v>
      </c>
      <c r="H4711" t="s">
        <v>2370</v>
      </c>
      <c r="AH4711" t="s">
        <v>42</v>
      </c>
      <c r="AI4711" t="str">
        <f>"Y335-BLANCO"</f>
        <v>Y335-BLANCO</v>
      </c>
      <c r="AJ4711" t="str">
        <f>"Y335-BLANCO"</f>
        <v>Y335-BLANCO</v>
      </c>
      <c r="AK4711" t="s">
        <v>46</v>
      </c>
      <c r="AL4711" s="1">
        <v>44999.746886574074</v>
      </c>
      <c r="AM4711" t="s">
        <v>44</v>
      </c>
    </row>
    <row r="4712" spans="1:39" x14ac:dyDescent="0.2">
      <c r="A4712" t="s">
        <v>4436</v>
      </c>
      <c r="B4712" t="s">
        <v>40</v>
      </c>
      <c r="C4712" t="s">
        <v>4347</v>
      </c>
      <c r="D4712" t="s">
        <v>42</v>
      </c>
      <c r="E4712" t="s">
        <v>43</v>
      </c>
      <c r="F4712" t="s">
        <v>44</v>
      </c>
      <c r="G4712" t="s">
        <v>45</v>
      </c>
      <c r="H4712" t="s">
        <v>2037</v>
      </c>
      <c r="AH4712" t="s">
        <v>42</v>
      </c>
      <c r="AI4712" t="str">
        <f>"Y041-NEGRO"</f>
        <v>Y041-NEGRO</v>
      </c>
      <c r="AJ4712" t="str">
        <f>"Y041-NEGRO"</f>
        <v>Y041-NEGRO</v>
      </c>
      <c r="AK4712" t="s">
        <v>46</v>
      </c>
      <c r="AL4712" s="1">
        <v>44868.598912037036</v>
      </c>
      <c r="AM4712" t="s">
        <v>44</v>
      </c>
    </row>
    <row r="4713" spans="1:39" x14ac:dyDescent="0.2">
      <c r="A4713" t="s">
        <v>4436</v>
      </c>
      <c r="B4713" t="s">
        <v>40</v>
      </c>
      <c r="C4713" t="s">
        <v>4347</v>
      </c>
      <c r="D4713" t="s">
        <v>42</v>
      </c>
      <c r="E4713" t="s">
        <v>43</v>
      </c>
      <c r="F4713" t="s">
        <v>44</v>
      </c>
      <c r="G4713" t="s">
        <v>45</v>
      </c>
      <c r="H4713" t="s">
        <v>1123</v>
      </c>
      <c r="AH4713" t="s">
        <v>42</v>
      </c>
      <c r="AI4713" t="str">
        <f>"Y041-ROJO"</f>
        <v>Y041-ROJO</v>
      </c>
      <c r="AJ4713" t="str">
        <f>"Y041-ROJO"</f>
        <v>Y041-ROJO</v>
      </c>
      <c r="AK4713" t="s">
        <v>46</v>
      </c>
      <c r="AL4713" s="1">
        <v>44868.599386574075</v>
      </c>
      <c r="AM4713" t="s">
        <v>44</v>
      </c>
    </row>
    <row r="4714" spans="1:39" x14ac:dyDescent="0.2">
      <c r="A4714" t="s">
        <v>4437</v>
      </c>
      <c r="B4714" t="s">
        <v>40</v>
      </c>
      <c r="C4714" t="s">
        <v>4347</v>
      </c>
      <c r="D4714" t="s">
        <v>42</v>
      </c>
      <c r="E4714" t="s">
        <v>43</v>
      </c>
      <c r="F4714" t="s">
        <v>44</v>
      </c>
      <c r="G4714" t="s">
        <v>45</v>
      </c>
      <c r="H4714" t="s">
        <v>2037</v>
      </c>
      <c r="AH4714" t="s">
        <v>42</v>
      </c>
      <c r="AI4714" t="str">
        <f>"Y058"</f>
        <v>Y058</v>
      </c>
      <c r="AJ4714" t="str">
        <f>"Y058"</f>
        <v>Y058</v>
      </c>
      <c r="AK4714" t="s">
        <v>46</v>
      </c>
      <c r="AL4714" s="1">
        <v>44911.630486111113</v>
      </c>
      <c r="AM4714" t="s">
        <v>44</v>
      </c>
    </row>
    <row r="4715" spans="1:39" x14ac:dyDescent="0.2">
      <c r="A4715" t="s">
        <v>4438</v>
      </c>
      <c r="B4715" t="s">
        <v>40</v>
      </c>
      <c r="C4715" t="s">
        <v>4347</v>
      </c>
      <c r="D4715" t="s">
        <v>42</v>
      </c>
      <c r="E4715" t="s">
        <v>43</v>
      </c>
      <c r="F4715" t="s">
        <v>44</v>
      </c>
      <c r="G4715" t="s">
        <v>45</v>
      </c>
      <c r="H4715" t="s">
        <v>2037</v>
      </c>
      <c r="AH4715" t="s">
        <v>42</v>
      </c>
      <c r="AI4715" t="str">
        <f>"Y053"</f>
        <v>Y053</v>
      </c>
      <c r="AJ4715" t="str">
        <f>"Y053"</f>
        <v>Y053</v>
      </c>
      <c r="AK4715" t="s">
        <v>46</v>
      </c>
      <c r="AL4715" s="1">
        <v>44911.630995370368</v>
      </c>
      <c r="AM4715" t="s">
        <v>44</v>
      </c>
    </row>
    <row r="4716" spans="1:39" x14ac:dyDescent="0.2">
      <c r="A4716" t="s">
        <v>4439</v>
      </c>
      <c r="B4716" t="s">
        <v>40</v>
      </c>
      <c r="C4716" t="s">
        <v>4347</v>
      </c>
      <c r="D4716" t="s">
        <v>42</v>
      </c>
      <c r="E4716" t="s">
        <v>43</v>
      </c>
      <c r="F4716" t="s">
        <v>44</v>
      </c>
      <c r="G4716" t="s">
        <v>45</v>
      </c>
      <c r="AH4716" t="s">
        <v>42</v>
      </c>
      <c r="AI4716" t="str">
        <f>"66298946079846"</f>
        <v>66298946079846</v>
      </c>
      <c r="AJ4716" t="str">
        <f>"Y163-BLANCO"</f>
        <v>Y163-BLANCO</v>
      </c>
      <c r="AK4716" t="s">
        <v>46</v>
      </c>
      <c r="AL4716" s="1">
        <v>44816.563194444447</v>
      </c>
      <c r="AM4716" t="s">
        <v>44</v>
      </c>
    </row>
    <row r="4717" spans="1:39" x14ac:dyDescent="0.2">
      <c r="A4717" t="s">
        <v>4440</v>
      </c>
      <c r="B4717" t="s">
        <v>40</v>
      </c>
      <c r="C4717" t="s">
        <v>1518</v>
      </c>
      <c r="D4717" t="s">
        <v>42</v>
      </c>
      <c r="E4717" t="s">
        <v>43</v>
      </c>
      <c r="F4717" t="s">
        <v>44</v>
      </c>
      <c r="G4717" t="s">
        <v>45</v>
      </c>
      <c r="H4717" t="s">
        <v>2037</v>
      </c>
      <c r="AH4717" t="s">
        <v>42</v>
      </c>
      <c r="AI4717" t="str">
        <f>"Y040-NEGRO"</f>
        <v>Y040-NEGRO</v>
      </c>
      <c r="AJ4717" t="str">
        <f>"Y040-NEGRO"</f>
        <v>Y040-NEGRO</v>
      </c>
      <c r="AK4717" t="s">
        <v>46</v>
      </c>
      <c r="AL4717" s="1">
        <v>45174.8280787037</v>
      </c>
      <c r="AM4717" t="s">
        <v>44</v>
      </c>
    </row>
    <row r="4718" spans="1:39" x14ac:dyDescent="0.2">
      <c r="A4718" t="s">
        <v>4441</v>
      </c>
      <c r="B4718" t="s">
        <v>40</v>
      </c>
      <c r="C4718" t="s">
        <v>4347</v>
      </c>
      <c r="D4718" t="s">
        <v>42</v>
      </c>
      <c r="E4718" t="s">
        <v>43</v>
      </c>
      <c r="F4718" t="s">
        <v>44</v>
      </c>
      <c r="G4718" t="s">
        <v>45</v>
      </c>
      <c r="AH4718" t="s">
        <v>42</v>
      </c>
      <c r="AI4718" t="str">
        <f>"66298946121785"</f>
        <v>66298946121785</v>
      </c>
      <c r="AJ4718" t="str">
        <f>"Y004-AZUL"</f>
        <v>Y004-AZUL</v>
      </c>
      <c r="AK4718" t="s">
        <v>46</v>
      </c>
      <c r="AL4718" s="1">
        <v>44816.563206018516</v>
      </c>
      <c r="AM4718" t="s">
        <v>44</v>
      </c>
    </row>
    <row r="4719" spans="1:39" x14ac:dyDescent="0.2">
      <c r="A4719" t="s">
        <v>4442</v>
      </c>
      <c r="B4719" t="s">
        <v>40</v>
      </c>
      <c r="C4719" t="s">
        <v>4347</v>
      </c>
      <c r="D4719" t="s">
        <v>42</v>
      </c>
      <c r="E4719" t="s">
        <v>43</v>
      </c>
      <c r="F4719" t="s">
        <v>44</v>
      </c>
      <c r="G4719" t="s">
        <v>45</v>
      </c>
      <c r="AH4719" t="s">
        <v>42</v>
      </c>
      <c r="AI4719" t="str">
        <f>"66298946169417"</f>
        <v>66298946169417</v>
      </c>
      <c r="AJ4719" t="str">
        <f>"Y004-GRIS"</f>
        <v>Y004-GRIS</v>
      </c>
      <c r="AK4719" t="s">
        <v>46</v>
      </c>
      <c r="AL4719" s="1">
        <v>44816.563206018516</v>
      </c>
      <c r="AM4719" t="s">
        <v>44</v>
      </c>
    </row>
    <row r="4720" spans="1:39" x14ac:dyDescent="0.2">
      <c r="A4720" t="s">
        <v>4443</v>
      </c>
      <c r="B4720" t="s">
        <v>40</v>
      </c>
      <c r="C4720" t="s">
        <v>4347</v>
      </c>
      <c r="D4720" t="s">
        <v>42</v>
      </c>
      <c r="E4720" t="s">
        <v>43</v>
      </c>
      <c r="F4720" t="s">
        <v>44</v>
      </c>
      <c r="G4720" t="s">
        <v>45</v>
      </c>
      <c r="AH4720" t="s">
        <v>42</v>
      </c>
      <c r="AI4720" t="str">
        <f>"66298946220737"</f>
        <v>66298946220737</v>
      </c>
      <c r="AJ4720" t="str">
        <f>"Y004-ROJO"</f>
        <v>Y004-ROJO</v>
      </c>
      <c r="AK4720" t="s">
        <v>46</v>
      </c>
      <c r="AL4720" s="1">
        <v>44816.563217592593</v>
      </c>
      <c r="AM4720" t="s">
        <v>44</v>
      </c>
    </row>
    <row r="4721" spans="1:39" x14ac:dyDescent="0.2">
      <c r="A4721" t="s">
        <v>4444</v>
      </c>
      <c r="B4721" t="s">
        <v>40</v>
      </c>
      <c r="C4721" t="s">
        <v>4347</v>
      </c>
      <c r="D4721" t="s">
        <v>42</v>
      </c>
      <c r="E4721" t="s">
        <v>43</v>
      </c>
      <c r="F4721" t="s">
        <v>44</v>
      </c>
      <c r="G4721" t="s">
        <v>45</v>
      </c>
      <c r="H4721" t="s">
        <v>1114</v>
      </c>
      <c r="AH4721" t="s">
        <v>42</v>
      </c>
      <c r="AI4721" t="str">
        <f>"Y104-AZUL"</f>
        <v>Y104-AZUL</v>
      </c>
      <c r="AJ4721" t="str">
        <f>"Y104-AZUL"</f>
        <v>Y104-AZUL</v>
      </c>
      <c r="AK4721" t="s">
        <v>46</v>
      </c>
      <c r="AL4721" s="1">
        <v>44868.58390046296</v>
      </c>
      <c r="AM4721" t="s">
        <v>44</v>
      </c>
    </row>
    <row r="4722" spans="1:39" x14ac:dyDescent="0.2">
      <c r="A4722" t="s">
        <v>4445</v>
      </c>
      <c r="B4722" t="s">
        <v>40</v>
      </c>
      <c r="C4722" t="s">
        <v>4347</v>
      </c>
      <c r="D4722" t="s">
        <v>42</v>
      </c>
      <c r="E4722" t="s">
        <v>43</v>
      </c>
      <c r="F4722" t="s">
        <v>44</v>
      </c>
      <c r="G4722" t="s">
        <v>45</v>
      </c>
      <c r="AH4722" t="s">
        <v>42</v>
      </c>
      <c r="AI4722" t="str">
        <f>"66298946262495"</f>
        <v>66298946262495</v>
      </c>
      <c r="AJ4722" t="str">
        <f>"Y075-B"</f>
        <v>Y075-B</v>
      </c>
      <c r="AK4722" t="s">
        <v>46</v>
      </c>
      <c r="AL4722" s="1">
        <v>44816.563217592593</v>
      </c>
      <c r="AM4722" t="s">
        <v>44</v>
      </c>
    </row>
    <row r="4723" spans="1:39" x14ac:dyDescent="0.2">
      <c r="A4723" t="s">
        <v>4446</v>
      </c>
      <c r="B4723" t="s">
        <v>40</v>
      </c>
      <c r="C4723" t="s">
        <v>4347</v>
      </c>
      <c r="D4723" t="s">
        <v>42</v>
      </c>
      <c r="E4723" t="s">
        <v>43</v>
      </c>
      <c r="F4723" t="s">
        <v>44</v>
      </c>
      <c r="G4723" t="s">
        <v>45</v>
      </c>
      <c r="H4723" t="s">
        <v>4447</v>
      </c>
      <c r="AH4723" t="s">
        <v>42</v>
      </c>
      <c r="AI4723" t="str">
        <f>"Y101-BLANCO/ROJO"</f>
        <v>Y101-BLANCO/ROJO</v>
      </c>
      <c r="AJ4723" t="str">
        <f>"Y101-BLANCO/ROJO"</f>
        <v>Y101-BLANCO/ROJO</v>
      </c>
      <c r="AK4723" t="s">
        <v>46</v>
      </c>
      <c r="AL4723" s="1">
        <v>44881.662326388891</v>
      </c>
      <c r="AM4723" t="s">
        <v>44</v>
      </c>
    </row>
    <row r="4724" spans="1:39" x14ac:dyDescent="0.2">
      <c r="A4724" t="s">
        <v>4448</v>
      </c>
      <c r="B4724" t="s">
        <v>40</v>
      </c>
      <c r="C4724" t="s">
        <v>4347</v>
      </c>
      <c r="D4724" t="s">
        <v>42</v>
      </c>
      <c r="E4724" t="s">
        <v>43</v>
      </c>
      <c r="F4724" t="s">
        <v>44</v>
      </c>
      <c r="G4724" t="s">
        <v>45</v>
      </c>
      <c r="AH4724" t="s">
        <v>42</v>
      </c>
      <c r="AI4724" t="str">
        <f>"66298946306539"</f>
        <v>66298946306539</v>
      </c>
      <c r="AJ4724" t="str">
        <f>"FZ013N"</f>
        <v>FZ013N</v>
      </c>
      <c r="AK4724" t="s">
        <v>46</v>
      </c>
      <c r="AL4724" s="1">
        <v>44816.56322916667</v>
      </c>
      <c r="AM4724" t="s">
        <v>44</v>
      </c>
    </row>
    <row r="4725" spans="1:39" x14ac:dyDescent="0.2">
      <c r="A4725" t="s">
        <v>4449</v>
      </c>
      <c r="B4725" t="s">
        <v>40</v>
      </c>
      <c r="C4725" t="s">
        <v>4347</v>
      </c>
      <c r="D4725" t="s">
        <v>42</v>
      </c>
      <c r="E4725" t="s">
        <v>43</v>
      </c>
      <c r="F4725" t="s">
        <v>44</v>
      </c>
      <c r="G4725" t="s">
        <v>45</v>
      </c>
      <c r="AH4725" t="s">
        <v>42</v>
      </c>
      <c r="AI4725" t="str">
        <f>"66298946347260"</f>
        <v>66298946347260</v>
      </c>
      <c r="AJ4725" t="str">
        <f>"FZ013R"</f>
        <v>FZ013R</v>
      </c>
      <c r="AK4725" t="s">
        <v>46</v>
      </c>
      <c r="AL4725" s="1">
        <v>44816.56322916667</v>
      </c>
      <c r="AM4725" t="s">
        <v>44</v>
      </c>
    </row>
    <row r="4726" spans="1:39" x14ac:dyDescent="0.2">
      <c r="A4726" t="s">
        <v>4450</v>
      </c>
      <c r="B4726" t="s">
        <v>40</v>
      </c>
      <c r="C4726" t="s">
        <v>4347</v>
      </c>
      <c r="D4726" t="s">
        <v>42</v>
      </c>
      <c r="E4726" t="s">
        <v>43</v>
      </c>
      <c r="F4726" t="s">
        <v>44</v>
      </c>
      <c r="G4726" t="s">
        <v>45</v>
      </c>
      <c r="H4726" t="s">
        <v>1123</v>
      </c>
      <c r="AH4726" t="s">
        <v>42</v>
      </c>
      <c r="AI4726" t="str">
        <f>"Y012-ROJO"</f>
        <v>Y012-ROJO</v>
      </c>
      <c r="AJ4726" t="str">
        <f>"Y012-ROJO"</f>
        <v>Y012-ROJO</v>
      </c>
      <c r="AK4726" t="s">
        <v>46</v>
      </c>
      <c r="AL4726" s="1">
        <v>44868.600185185183</v>
      </c>
      <c r="AM4726" t="s">
        <v>44</v>
      </c>
    </row>
    <row r="4727" spans="1:39" x14ac:dyDescent="0.2">
      <c r="A4727" t="s">
        <v>4451</v>
      </c>
      <c r="B4727" t="s">
        <v>40</v>
      </c>
      <c r="C4727" t="s">
        <v>4347</v>
      </c>
      <c r="D4727" t="s">
        <v>42</v>
      </c>
      <c r="E4727" t="s">
        <v>43</v>
      </c>
      <c r="F4727" t="s">
        <v>44</v>
      </c>
      <c r="G4727" t="s">
        <v>45</v>
      </c>
      <c r="H4727" t="s">
        <v>2370</v>
      </c>
      <c r="AH4727" t="s">
        <v>42</v>
      </c>
      <c r="AI4727" t="str">
        <f>"Y337-BLANCO"</f>
        <v>Y337-BLANCO</v>
      </c>
      <c r="AJ4727" t="str">
        <f>"Y337-BLANCO"</f>
        <v>Y337-BLANCO</v>
      </c>
      <c r="AK4727" t="s">
        <v>46</v>
      </c>
      <c r="AL4727" s="1">
        <v>44999.749074074076</v>
      </c>
      <c r="AM4727" t="s">
        <v>44</v>
      </c>
    </row>
    <row r="4728" spans="1:39" x14ac:dyDescent="0.2">
      <c r="A4728" t="s">
        <v>4452</v>
      </c>
      <c r="B4728" t="s">
        <v>40</v>
      </c>
      <c r="C4728" t="s">
        <v>4347</v>
      </c>
      <c r="D4728" t="s">
        <v>42</v>
      </c>
      <c r="E4728" t="s">
        <v>43</v>
      </c>
      <c r="F4728" t="s">
        <v>44</v>
      </c>
      <c r="G4728" t="s">
        <v>45</v>
      </c>
      <c r="H4728" t="s">
        <v>2370</v>
      </c>
      <c r="AH4728" t="s">
        <v>42</v>
      </c>
      <c r="AI4728" t="str">
        <f>"Y339-BLANCO"</f>
        <v>Y339-BLANCO</v>
      </c>
      <c r="AJ4728" t="str">
        <f>"Y339-BLANCO"</f>
        <v>Y339-BLANCO</v>
      </c>
      <c r="AK4728" t="s">
        <v>46</v>
      </c>
      <c r="AL4728" s="1">
        <v>44999.751527777778</v>
      </c>
      <c r="AM4728" t="s">
        <v>44</v>
      </c>
    </row>
    <row r="4729" spans="1:39" x14ac:dyDescent="0.2">
      <c r="A4729" t="s">
        <v>4452</v>
      </c>
      <c r="B4729" t="s">
        <v>40</v>
      </c>
      <c r="C4729" t="s">
        <v>4347</v>
      </c>
      <c r="D4729" t="s">
        <v>42</v>
      </c>
      <c r="E4729" t="s">
        <v>43</v>
      </c>
      <c r="F4729" t="s">
        <v>44</v>
      </c>
      <c r="G4729" t="s">
        <v>45</v>
      </c>
      <c r="H4729" t="s">
        <v>2037</v>
      </c>
      <c r="AH4729" t="s">
        <v>42</v>
      </c>
      <c r="AI4729" t="str">
        <f>"Y339-NEGRO"</f>
        <v>Y339-NEGRO</v>
      </c>
      <c r="AJ4729" t="str">
        <f>"Y339-NEGRO"</f>
        <v>Y339-NEGRO</v>
      </c>
      <c r="AK4729" t="s">
        <v>46</v>
      </c>
      <c r="AL4729" s="1">
        <v>45001.830266203702</v>
      </c>
      <c r="AM4729" t="s">
        <v>44</v>
      </c>
    </row>
    <row r="4730" spans="1:39" x14ac:dyDescent="0.2">
      <c r="A4730" t="s">
        <v>4453</v>
      </c>
      <c r="B4730" t="s">
        <v>40</v>
      </c>
      <c r="C4730" t="s">
        <v>4347</v>
      </c>
      <c r="D4730" t="s">
        <v>42</v>
      </c>
      <c r="E4730" t="s">
        <v>43</v>
      </c>
      <c r="F4730" t="s">
        <v>44</v>
      </c>
      <c r="G4730" t="s">
        <v>45</v>
      </c>
      <c r="AH4730" t="s">
        <v>42</v>
      </c>
      <c r="AI4730" t="str">
        <f>"66298946390046"</f>
        <v>66298946390046</v>
      </c>
      <c r="AJ4730" t="str">
        <f>"FZ010N"</f>
        <v>FZ010N</v>
      </c>
      <c r="AK4730" t="s">
        <v>46</v>
      </c>
      <c r="AL4730" s="1">
        <v>44816.56322916667</v>
      </c>
      <c r="AM4730" t="s">
        <v>44</v>
      </c>
    </row>
    <row r="4731" spans="1:39" x14ac:dyDescent="0.2">
      <c r="A4731" t="s">
        <v>4454</v>
      </c>
      <c r="B4731" t="s">
        <v>40</v>
      </c>
      <c r="C4731" t="s">
        <v>4347</v>
      </c>
      <c r="D4731" t="s">
        <v>42</v>
      </c>
      <c r="E4731" t="s">
        <v>43</v>
      </c>
      <c r="F4731" t="s">
        <v>44</v>
      </c>
      <c r="G4731" t="s">
        <v>45</v>
      </c>
      <c r="AH4731" t="s">
        <v>42</v>
      </c>
      <c r="AI4731" t="str">
        <f>"66298946432990"</f>
        <v>66298946432990</v>
      </c>
      <c r="AJ4731" t="str">
        <f>"FZ010R"</f>
        <v>FZ010R</v>
      </c>
      <c r="AK4731" t="s">
        <v>46</v>
      </c>
      <c r="AL4731" s="1">
        <v>44816.563240740739</v>
      </c>
      <c r="AM4731" t="s">
        <v>44</v>
      </c>
    </row>
    <row r="4732" spans="1:39" x14ac:dyDescent="0.2">
      <c r="A4732" t="s">
        <v>4455</v>
      </c>
      <c r="B4732" t="s">
        <v>40</v>
      </c>
      <c r="C4732" t="s">
        <v>4347</v>
      </c>
      <c r="D4732" t="s">
        <v>42</v>
      </c>
      <c r="E4732" t="s">
        <v>43</v>
      </c>
      <c r="F4732" t="s">
        <v>44</v>
      </c>
      <c r="G4732" t="s">
        <v>45</v>
      </c>
      <c r="H4732" t="s">
        <v>2037</v>
      </c>
      <c r="AH4732" t="s">
        <v>42</v>
      </c>
      <c r="AI4732" t="str">
        <f>"Y047-NEGRO"</f>
        <v>Y047-NEGRO</v>
      </c>
      <c r="AJ4732" t="str">
        <f>"Y047-NEGRO"</f>
        <v>Y047-NEGRO</v>
      </c>
      <c r="AK4732" t="s">
        <v>46</v>
      </c>
      <c r="AL4732" s="1">
        <v>44881.646689814814</v>
      </c>
      <c r="AM4732" t="s">
        <v>44</v>
      </c>
    </row>
    <row r="4733" spans="1:39" x14ac:dyDescent="0.2">
      <c r="A4733" t="s">
        <v>4455</v>
      </c>
      <c r="B4733" t="s">
        <v>40</v>
      </c>
      <c r="C4733" t="s">
        <v>4347</v>
      </c>
      <c r="D4733" t="s">
        <v>42</v>
      </c>
      <c r="E4733" t="s">
        <v>43</v>
      </c>
      <c r="F4733" t="s">
        <v>44</v>
      </c>
      <c r="G4733" t="s">
        <v>45</v>
      </c>
      <c r="H4733" t="s">
        <v>2037</v>
      </c>
      <c r="AH4733" t="s">
        <v>42</v>
      </c>
      <c r="AI4733" t="str">
        <f>"Y071-NEGRO"</f>
        <v>Y071-NEGRO</v>
      </c>
      <c r="AJ4733" t="str">
        <f>"Y071-NEGRO"</f>
        <v>Y071-NEGRO</v>
      </c>
      <c r="AK4733" t="s">
        <v>46</v>
      </c>
      <c r="AL4733" s="1">
        <v>44881.736967592595</v>
      </c>
      <c r="AM4733" t="s">
        <v>44</v>
      </c>
    </row>
    <row r="4734" spans="1:39" x14ac:dyDescent="0.2">
      <c r="A4734" t="s">
        <v>4455</v>
      </c>
      <c r="B4734" t="s">
        <v>40</v>
      </c>
      <c r="C4734" t="s">
        <v>4347</v>
      </c>
      <c r="D4734" t="s">
        <v>42</v>
      </c>
      <c r="E4734" t="s">
        <v>43</v>
      </c>
      <c r="F4734" t="s">
        <v>44</v>
      </c>
      <c r="G4734" t="s">
        <v>45</v>
      </c>
      <c r="H4734" t="s">
        <v>1123</v>
      </c>
      <c r="AH4734" t="s">
        <v>42</v>
      </c>
      <c r="AI4734" t="str">
        <f>"Y047-ROJO"</f>
        <v>Y047-ROJO</v>
      </c>
      <c r="AJ4734" t="str">
        <f>"Y047-ROJO"</f>
        <v>Y047-ROJO</v>
      </c>
      <c r="AK4734" t="s">
        <v>46</v>
      </c>
      <c r="AL4734" s="1">
        <v>44881.646851851852</v>
      </c>
      <c r="AM4734" t="s">
        <v>44</v>
      </c>
    </row>
    <row r="4735" spans="1:39" x14ac:dyDescent="0.2">
      <c r="A4735" t="s">
        <v>4456</v>
      </c>
      <c r="B4735" t="s">
        <v>40</v>
      </c>
      <c r="C4735" t="s">
        <v>4347</v>
      </c>
      <c r="D4735" t="s">
        <v>42</v>
      </c>
      <c r="E4735" t="s">
        <v>43</v>
      </c>
      <c r="F4735" t="s">
        <v>44</v>
      </c>
      <c r="G4735" t="s">
        <v>45</v>
      </c>
      <c r="H4735" t="s">
        <v>2370</v>
      </c>
      <c r="AH4735" t="s">
        <v>42</v>
      </c>
      <c r="AI4735" t="str">
        <f>"Y338-BLANCO"</f>
        <v>Y338-BLANCO</v>
      </c>
      <c r="AJ4735" t="str">
        <f>"Y338-BLANCO"</f>
        <v>Y338-BLANCO</v>
      </c>
      <c r="AK4735" t="s">
        <v>46</v>
      </c>
      <c r="AL4735" s="1">
        <v>44999.749768518515</v>
      </c>
      <c r="AM4735" t="s">
        <v>44</v>
      </c>
    </row>
    <row r="4736" spans="1:39" x14ac:dyDescent="0.2">
      <c r="A4736" t="s">
        <v>4457</v>
      </c>
      <c r="B4736" t="s">
        <v>40</v>
      </c>
      <c r="C4736" t="s">
        <v>4347</v>
      </c>
      <c r="D4736" t="s">
        <v>42</v>
      </c>
      <c r="E4736" t="s">
        <v>43</v>
      </c>
      <c r="F4736" t="s">
        <v>44</v>
      </c>
      <c r="G4736" t="s">
        <v>45</v>
      </c>
      <c r="H4736" t="s">
        <v>2037</v>
      </c>
      <c r="AH4736" t="s">
        <v>42</v>
      </c>
      <c r="AI4736" t="str">
        <f>"Y055-NEGRO"</f>
        <v>Y055-NEGRO</v>
      </c>
      <c r="AJ4736" t="str">
        <f>"Y055-NEGRO"</f>
        <v>Y055-NEGRO</v>
      </c>
      <c r="AK4736" t="s">
        <v>46</v>
      </c>
      <c r="AL4736" s="1">
        <v>44916.682233796295</v>
      </c>
      <c r="AM4736" t="s">
        <v>44</v>
      </c>
    </row>
    <row r="4737" spans="1:39" x14ac:dyDescent="0.2">
      <c r="A4737" t="s">
        <v>4457</v>
      </c>
      <c r="B4737" t="s">
        <v>40</v>
      </c>
      <c r="C4737" t="s">
        <v>4347</v>
      </c>
      <c r="D4737" t="s">
        <v>42</v>
      </c>
      <c r="E4737" t="s">
        <v>43</v>
      </c>
      <c r="F4737" t="s">
        <v>44</v>
      </c>
      <c r="G4737" t="s">
        <v>45</v>
      </c>
      <c r="H4737" t="s">
        <v>1123</v>
      </c>
      <c r="AH4737" t="s">
        <v>42</v>
      </c>
      <c r="AI4737" t="str">
        <f>"Y055-ROJO"</f>
        <v>Y055-ROJO</v>
      </c>
      <c r="AJ4737" t="str">
        <f>"Y055-ROJO"</f>
        <v>Y055-ROJO</v>
      </c>
      <c r="AK4737" t="s">
        <v>46</v>
      </c>
      <c r="AL4737" s="1">
        <v>44916.682743055557</v>
      </c>
      <c r="AM4737" t="s">
        <v>44</v>
      </c>
    </row>
    <row r="4738" spans="1:39" x14ac:dyDescent="0.2">
      <c r="A4738" t="s">
        <v>4458</v>
      </c>
      <c r="B4738" t="s">
        <v>40</v>
      </c>
      <c r="C4738" t="s">
        <v>4347</v>
      </c>
      <c r="D4738" t="s">
        <v>42</v>
      </c>
      <c r="E4738" t="s">
        <v>43</v>
      </c>
      <c r="F4738" t="s">
        <v>44</v>
      </c>
      <c r="G4738" t="s">
        <v>45</v>
      </c>
      <c r="H4738" t="s">
        <v>2037</v>
      </c>
      <c r="AH4738" t="s">
        <v>42</v>
      </c>
      <c r="AI4738" t="str">
        <f>"Y030-NEGRO"</f>
        <v>Y030-NEGRO</v>
      </c>
      <c r="AJ4738" t="str">
        <f>"Y030-NEGRO"</f>
        <v>Y030-NEGRO</v>
      </c>
      <c r="AK4738" t="s">
        <v>46</v>
      </c>
      <c r="AL4738" s="1">
        <v>44868.601469907408</v>
      </c>
      <c r="AM4738" t="s">
        <v>44</v>
      </c>
    </row>
    <row r="4739" spans="1:39" x14ac:dyDescent="0.2">
      <c r="A4739" t="s">
        <v>4458</v>
      </c>
      <c r="B4739" t="s">
        <v>40</v>
      </c>
      <c r="C4739" t="s">
        <v>4347</v>
      </c>
      <c r="D4739" t="s">
        <v>42</v>
      </c>
      <c r="E4739" t="s">
        <v>43</v>
      </c>
      <c r="F4739" t="s">
        <v>44</v>
      </c>
      <c r="G4739" t="s">
        <v>45</v>
      </c>
      <c r="H4739" t="s">
        <v>1123</v>
      </c>
      <c r="AH4739" t="s">
        <v>42</v>
      </c>
      <c r="AI4739" t="str">
        <f>"Y031-ROJO"</f>
        <v>Y031-ROJO</v>
      </c>
      <c r="AJ4739" t="str">
        <f>"Y031-ROJO"</f>
        <v>Y031-ROJO</v>
      </c>
      <c r="AK4739" t="s">
        <v>46</v>
      </c>
      <c r="AL4739" s="1">
        <v>44868.601655092592</v>
      </c>
      <c r="AM4739" t="s">
        <v>44</v>
      </c>
    </row>
    <row r="4740" spans="1:39" x14ac:dyDescent="0.2">
      <c r="A4740" t="s">
        <v>4459</v>
      </c>
      <c r="B4740" t="s">
        <v>40</v>
      </c>
      <c r="C4740" t="s">
        <v>4347</v>
      </c>
      <c r="D4740" t="s">
        <v>42</v>
      </c>
      <c r="E4740" t="s">
        <v>43</v>
      </c>
      <c r="F4740" t="s">
        <v>44</v>
      </c>
      <c r="G4740" t="s">
        <v>45</v>
      </c>
      <c r="AH4740" t="s">
        <v>42</v>
      </c>
      <c r="AI4740" t="str">
        <f>"66298946476560"</f>
        <v>66298946476560</v>
      </c>
      <c r="AJ4740" t="str">
        <f>"Y299"</f>
        <v>Y299</v>
      </c>
      <c r="AK4740" t="s">
        <v>46</v>
      </c>
      <c r="AL4740" s="1">
        <v>44816.563240740739</v>
      </c>
      <c r="AM4740" t="s">
        <v>44</v>
      </c>
    </row>
    <row r="4741" spans="1:39" x14ac:dyDescent="0.2">
      <c r="A4741" t="s">
        <v>4460</v>
      </c>
      <c r="B4741" t="s">
        <v>40</v>
      </c>
      <c r="C4741" t="s">
        <v>4347</v>
      </c>
      <c r="D4741" t="s">
        <v>42</v>
      </c>
      <c r="E4741" t="s">
        <v>43</v>
      </c>
      <c r="F4741" t="s">
        <v>44</v>
      </c>
      <c r="G4741" t="s">
        <v>45</v>
      </c>
      <c r="AH4741" t="s">
        <v>42</v>
      </c>
      <c r="AI4741" t="str">
        <f>"Y336"</f>
        <v>Y336</v>
      </c>
      <c r="AJ4741" t="str">
        <f>"Y336"</f>
        <v>Y336</v>
      </c>
      <c r="AK4741" t="s">
        <v>46</v>
      </c>
      <c r="AL4741" s="1">
        <v>44999.748333333337</v>
      </c>
      <c r="AM4741" t="s">
        <v>44</v>
      </c>
    </row>
    <row r="4742" spans="1:39" x14ac:dyDescent="0.2">
      <c r="A4742" t="s">
        <v>4461</v>
      </c>
      <c r="B4742" t="s">
        <v>40</v>
      </c>
      <c r="C4742" t="s">
        <v>4347</v>
      </c>
      <c r="D4742" t="s">
        <v>42</v>
      </c>
      <c r="E4742" t="s">
        <v>43</v>
      </c>
      <c r="F4742" t="s">
        <v>44</v>
      </c>
      <c r="G4742" t="s">
        <v>45</v>
      </c>
      <c r="AH4742" t="s">
        <v>42</v>
      </c>
      <c r="AI4742" t="str">
        <f>"66298946515296"</f>
        <v>66298946515296</v>
      </c>
      <c r="AJ4742" t="str">
        <f>"E006"</f>
        <v>E006</v>
      </c>
      <c r="AK4742" t="s">
        <v>46</v>
      </c>
      <c r="AL4742" s="1">
        <v>44816.563252314816</v>
      </c>
      <c r="AM4742" t="s">
        <v>44</v>
      </c>
    </row>
    <row r="4743" spans="1:39" x14ac:dyDescent="0.2">
      <c r="A4743" t="s">
        <v>4462</v>
      </c>
      <c r="B4743" t="s">
        <v>40</v>
      </c>
      <c r="C4743" t="s">
        <v>4347</v>
      </c>
      <c r="D4743" t="s">
        <v>42</v>
      </c>
      <c r="E4743" t="s">
        <v>43</v>
      </c>
      <c r="F4743" t="s">
        <v>44</v>
      </c>
      <c r="G4743" t="s">
        <v>45</v>
      </c>
      <c r="AH4743" t="s">
        <v>42</v>
      </c>
      <c r="AI4743" t="str">
        <f>"66298946559082"</f>
        <v>66298946559082</v>
      </c>
      <c r="AJ4743" t="str">
        <f>"E007"</f>
        <v>E007</v>
      </c>
      <c r="AK4743" t="s">
        <v>46</v>
      </c>
      <c r="AL4743" s="1">
        <v>44816.563252314816</v>
      </c>
      <c r="AM4743" t="s">
        <v>44</v>
      </c>
    </row>
    <row r="4744" spans="1:39" x14ac:dyDescent="0.2">
      <c r="A4744" t="s">
        <v>4463</v>
      </c>
      <c r="B4744" t="s">
        <v>40</v>
      </c>
      <c r="C4744" t="s">
        <v>4347</v>
      </c>
      <c r="D4744" t="s">
        <v>42</v>
      </c>
      <c r="E4744" t="s">
        <v>43</v>
      </c>
      <c r="F4744" t="s">
        <v>44</v>
      </c>
      <c r="G4744" t="s">
        <v>45</v>
      </c>
      <c r="AH4744" t="s">
        <v>42</v>
      </c>
      <c r="AI4744" t="str">
        <f>"66298946685924"</f>
        <v>66298946685924</v>
      </c>
      <c r="AJ4744" t="str">
        <f>"Y170-A"</f>
        <v>Y170-A</v>
      </c>
      <c r="AK4744" t="s">
        <v>46</v>
      </c>
      <c r="AL4744" s="1">
        <v>44816.563263888886</v>
      </c>
      <c r="AM4744" t="s">
        <v>44</v>
      </c>
    </row>
    <row r="4745" spans="1:39" x14ac:dyDescent="0.2">
      <c r="A4745" t="s">
        <v>4464</v>
      </c>
      <c r="B4745" t="s">
        <v>40</v>
      </c>
      <c r="C4745" t="s">
        <v>4347</v>
      </c>
      <c r="D4745" t="s">
        <v>42</v>
      </c>
      <c r="E4745" t="s">
        <v>43</v>
      </c>
      <c r="F4745" t="s">
        <v>44</v>
      </c>
      <c r="G4745" t="s">
        <v>45</v>
      </c>
      <c r="H4745" t="s">
        <v>2370</v>
      </c>
      <c r="AH4745" t="s">
        <v>42</v>
      </c>
      <c r="AI4745" t="str">
        <f>"Y039-BLANCO"</f>
        <v>Y039-BLANCO</v>
      </c>
      <c r="AJ4745" t="str">
        <f>"Y039-BLANCO"</f>
        <v>Y039-BLANCO</v>
      </c>
      <c r="AK4745" t="s">
        <v>46</v>
      </c>
      <c r="AL4745" s="1">
        <v>45174.829618055555</v>
      </c>
      <c r="AM4745" t="s">
        <v>44</v>
      </c>
    </row>
    <row r="4746" spans="1:39" x14ac:dyDescent="0.2">
      <c r="A4746" t="s">
        <v>4464</v>
      </c>
      <c r="B4746" t="s">
        <v>40</v>
      </c>
      <c r="C4746" t="s">
        <v>4347</v>
      </c>
      <c r="D4746" t="s">
        <v>42</v>
      </c>
      <c r="E4746" t="s">
        <v>43</v>
      </c>
      <c r="F4746" t="s">
        <v>44</v>
      </c>
      <c r="G4746" t="s">
        <v>45</v>
      </c>
      <c r="H4746" t="s">
        <v>2037</v>
      </c>
      <c r="AH4746" t="s">
        <v>42</v>
      </c>
      <c r="AI4746" t="str">
        <f>"Y039-NEGRO"</f>
        <v>Y039-NEGRO</v>
      </c>
      <c r="AJ4746" t="str">
        <f>"Y039-NEGRO"</f>
        <v>Y039-NEGRO</v>
      </c>
      <c r="AK4746" t="s">
        <v>46</v>
      </c>
      <c r="AL4746" s="1">
        <v>44816.563252314816</v>
      </c>
      <c r="AM4746" t="s">
        <v>44</v>
      </c>
    </row>
    <row r="4747" spans="1:39" x14ac:dyDescent="0.2">
      <c r="A4747" t="s">
        <v>4465</v>
      </c>
      <c r="B4747" t="s">
        <v>40</v>
      </c>
      <c r="C4747" t="s">
        <v>4347</v>
      </c>
      <c r="D4747" t="s">
        <v>42</v>
      </c>
      <c r="E4747" t="s">
        <v>43</v>
      </c>
      <c r="F4747" t="s">
        <v>44</v>
      </c>
      <c r="G4747" t="s">
        <v>45</v>
      </c>
      <c r="AH4747" t="s">
        <v>42</v>
      </c>
      <c r="AI4747" t="str">
        <f>"66298946638898"</f>
        <v>66298946638898</v>
      </c>
      <c r="AJ4747" t="str">
        <f>"Y028"</f>
        <v>Y028</v>
      </c>
      <c r="AK4747" t="s">
        <v>46</v>
      </c>
      <c r="AL4747" s="1">
        <v>44816.563263888886</v>
      </c>
      <c r="AM4747" t="s">
        <v>44</v>
      </c>
    </row>
    <row r="4748" spans="1:39" x14ac:dyDescent="0.2">
      <c r="A4748" t="s">
        <v>4466</v>
      </c>
      <c r="B4748" t="s">
        <v>40</v>
      </c>
      <c r="C4748" t="s">
        <v>4390</v>
      </c>
      <c r="D4748" t="s">
        <v>42</v>
      </c>
      <c r="E4748" t="s">
        <v>43</v>
      </c>
      <c r="F4748" t="s">
        <v>44</v>
      </c>
      <c r="G4748" t="s">
        <v>45</v>
      </c>
      <c r="AH4748" t="s">
        <v>42</v>
      </c>
      <c r="AI4748" t="str">
        <f>"66298946733546"</f>
        <v>66298946733546</v>
      </c>
      <c r="AJ4748" t="str">
        <f>"82860"</f>
        <v>82860</v>
      </c>
      <c r="AK4748" t="s">
        <v>46</v>
      </c>
      <c r="AL4748" s="1">
        <v>44816.563275462962</v>
      </c>
      <c r="AM4748" t="s">
        <v>44</v>
      </c>
    </row>
    <row r="4749" spans="1:39" x14ac:dyDescent="0.2">
      <c r="A4749" t="s">
        <v>4467</v>
      </c>
      <c r="B4749" t="s">
        <v>40</v>
      </c>
      <c r="C4749" t="s">
        <v>4390</v>
      </c>
      <c r="D4749" t="s">
        <v>42</v>
      </c>
      <c r="E4749" t="s">
        <v>43</v>
      </c>
      <c r="F4749" t="s">
        <v>44</v>
      </c>
      <c r="G4749" t="s">
        <v>45</v>
      </c>
      <c r="AH4749" t="s">
        <v>42</v>
      </c>
      <c r="AI4749" t="str">
        <f>"66298946772461"</f>
        <v>66298946772461</v>
      </c>
      <c r="AJ4749" t="str">
        <f>"CM003"</f>
        <v>CM003</v>
      </c>
      <c r="AK4749" t="s">
        <v>46</v>
      </c>
      <c r="AL4749" s="1">
        <v>44816.563275462962</v>
      </c>
      <c r="AM4749" t="s">
        <v>44</v>
      </c>
    </row>
    <row r="4750" spans="1:39" x14ac:dyDescent="0.2">
      <c r="A4750" t="s">
        <v>4468</v>
      </c>
      <c r="B4750" t="s">
        <v>40</v>
      </c>
      <c r="C4750" t="s">
        <v>4390</v>
      </c>
      <c r="D4750" t="s">
        <v>42</v>
      </c>
      <c r="E4750" t="s">
        <v>43</v>
      </c>
      <c r="F4750" t="s">
        <v>44</v>
      </c>
      <c r="G4750" t="s">
        <v>45</v>
      </c>
      <c r="AH4750" t="s">
        <v>42</v>
      </c>
      <c r="AI4750" t="str">
        <f>"H2121"</f>
        <v>H2121</v>
      </c>
      <c r="AJ4750" t="str">
        <f>"H2121"</f>
        <v>H2121</v>
      </c>
      <c r="AK4750" t="s">
        <v>46</v>
      </c>
      <c r="AL4750" s="1">
        <v>45093.917928240742</v>
      </c>
      <c r="AM4750" t="s">
        <v>44</v>
      </c>
    </row>
    <row r="4751" spans="1:39" x14ac:dyDescent="0.2">
      <c r="A4751" t="s">
        <v>4469</v>
      </c>
      <c r="B4751" t="s">
        <v>40</v>
      </c>
      <c r="C4751" t="s">
        <v>4390</v>
      </c>
      <c r="D4751" t="s">
        <v>42</v>
      </c>
      <c r="E4751" t="s">
        <v>43</v>
      </c>
      <c r="F4751" t="s">
        <v>44</v>
      </c>
      <c r="G4751" t="s">
        <v>45</v>
      </c>
      <c r="AH4751" t="s">
        <v>42</v>
      </c>
      <c r="AI4751" t="str">
        <f>"66298946813144"</f>
        <v>66298946813144</v>
      </c>
      <c r="AJ4751" t="str">
        <f>"82868"</f>
        <v>82868</v>
      </c>
      <c r="AK4751" t="s">
        <v>46</v>
      </c>
      <c r="AL4751" s="1">
        <v>44816.563287037039</v>
      </c>
      <c r="AM4751" t="s">
        <v>44</v>
      </c>
    </row>
    <row r="4752" spans="1:39" x14ac:dyDescent="0.2">
      <c r="A4752" t="s">
        <v>4470</v>
      </c>
      <c r="B4752" t="s">
        <v>40</v>
      </c>
      <c r="C4752" t="s">
        <v>4390</v>
      </c>
      <c r="D4752" t="s">
        <v>42</v>
      </c>
      <c r="E4752" t="s">
        <v>43</v>
      </c>
      <c r="F4752" t="s">
        <v>44</v>
      </c>
      <c r="G4752" t="s">
        <v>45</v>
      </c>
      <c r="AH4752" t="s">
        <v>42</v>
      </c>
      <c r="AI4752" t="str">
        <f>"12402"</f>
        <v>12402</v>
      </c>
      <c r="AJ4752" t="str">
        <f>"12402"</f>
        <v>12402</v>
      </c>
      <c r="AK4752" t="s">
        <v>46</v>
      </c>
      <c r="AL4752" s="1">
        <v>45000.595902777779</v>
      </c>
      <c r="AM4752" t="s">
        <v>44</v>
      </c>
    </row>
    <row r="4753" spans="1:39" x14ac:dyDescent="0.2">
      <c r="A4753" t="s">
        <v>4471</v>
      </c>
      <c r="B4753" t="s">
        <v>40</v>
      </c>
      <c r="C4753" t="s">
        <v>4390</v>
      </c>
      <c r="D4753" t="s">
        <v>42</v>
      </c>
      <c r="E4753" t="s">
        <v>43</v>
      </c>
      <c r="F4753" t="s">
        <v>44</v>
      </c>
      <c r="G4753" t="s">
        <v>45</v>
      </c>
      <c r="AH4753" t="s">
        <v>42</v>
      </c>
      <c r="AI4753" t="str">
        <f>"66298946855820"</f>
        <v>66298946855820</v>
      </c>
      <c r="AJ4753" t="str">
        <f>"83965"</f>
        <v>83965</v>
      </c>
      <c r="AK4753" t="s">
        <v>46</v>
      </c>
      <c r="AL4753" s="1">
        <v>44816.563287037039</v>
      </c>
      <c r="AM4753" t="s">
        <v>44</v>
      </c>
    </row>
    <row r="4754" spans="1:39" x14ac:dyDescent="0.2">
      <c r="A4754" t="s">
        <v>4472</v>
      </c>
      <c r="B4754" t="s">
        <v>40</v>
      </c>
      <c r="C4754" t="s">
        <v>4390</v>
      </c>
      <c r="D4754" t="s">
        <v>42</v>
      </c>
      <c r="E4754" t="s">
        <v>43</v>
      </c>
      <c r="F4754" t="s">
        <v>44</v>
      </c>
      <c r="G4754" t="s">
        <v>45</v>
      </c>
      <c r="AH4754" t="s">
        <v>42</v>
      </c>
      <c r="AI4754" t="str">
        <f>"66298946894995"</f>
        <v>66298946894995</v>
      </c>
      <c r="AJ4754" t="str">
        <f>"CN001"</f>
        <v>CN001</v>
      </c>
      <c r="AK4754" t="s">
        <v>46</v>
      </c>
      <c r="AL4754" s="1">
        <v>44816.563287037039</v>
      </c>
      <c r="AM4754" t="s">
        <v>44</v>
      </c>
    </row>
    <row r="4755" spans="1:39" x14ac:dyDescent="0.2">
      <c r="A4755" t="s">
        <v>4473</v>
      </c>
      <c r="B4755" t="s">
        <v>40</v>
      </c>
      <c r="C4755" t="s">
        <v>4390</v>
      </c>
      <c r="D4755" t="s">
        <v>42</v>
      </c>
      <c r="E4755" t="s">
        <v>43</v>
      </c>
      <c r="F4755" t="s">
        <v>44</v>
      </c>
      <c r="G4755" t="s">
        <v>45</v>
      </c>
      <c r="AH4755" t="s">
        <v>42</v>
      </c>
      <c r="AI4755" t="str">
        <f>"66298946934768"</f>
        <v>66298946934768</v>
      </c>
      <c r="AJ4755" t="str">
        <f>"DCA003"</f>
        <v>DCA003</v>
      </c>
      <c r="AK4755" t="s">
        <v>46</v>
      </c>
      <c r="AL4755" s="1">
        <v>44816.563298611109</v>
      </c>
      <c r="AM4755" t="s">
        <v>44</v>
      </c>
    </row>
    <row r="4756" spans="1:39" x14ac:dyDescent="0.2">
      <c r="A4756" t="s">
        <v>4474</v>
      </c>
      <c r="B4756" t="s">
        <v>40</v>
      </c>
      <c r="C4756" t="s">
        <v>4475</v>
      </c>
      <c r="D4756" t="s">
        <v>42</v>
      </c>
      <c r="E4756" t="s">
        <v>43</v>
      </c>
      <c r="F4756" t="s">
        <v>44</v>
      </c>
      <c r="G4756" t="s">
        <v>45</v>
      </c>
      <c r="AH4756" t="s">
        <v>42</v>
      </c>
      <c r="AI4756" t="str">
        <f>"66298946973969"</f>
        <v>66298946973969</v>
      </c>
      <c r="AJ4756" t="str">
        <f>"400981"</f>
        <v>400981</v>
      </c>
      <c r="AK4756" t="s">
        <v>46</v>
      </c>
      <c r="AL4756" s="1">
        <v>44816.563298611109</v>
      </c>
      <c r="AM4756" t="s">
        <v>44</v>
      </c>
    </row>
    <row r="4757" spans="1:39" x14ac:dyDescent="0.2">
      <c r="A4757" t="s">
        <v>4476</v>
      </c>
      <c r="B4757" t="s">
        <v>40</v>
      </c>
      <c r="C4757" t="s">
        <v>4475</v>
      </c>
      <c r="D4757" t="s">
        <v>42</v>
      </c>
      <c r="E4757" t="s">
        <v>43</v>
      </c>
      <c r="F4757" t="s">
        <v>44</v>
      </c>
      <c r="G4757" t="s">
        <v>45</v>
      </c>
      <c r="AH4757" t="s">
        <v>42</v>
      </c>
      <c r="AI4757" t="str">
        <f>"66298947015444"</f>
        <v>66298947015444</v>
      </c>
      <c r="AJ4757" t="str">
        <f>"14520-KSP-910JP"</f>
        <v>14520-KSP-910JP</v>
      </c>
      <c r="AK4757" t="s">
        <v>46</v>
      </c>
      <c r="AL4757" s="1">
        <v>44816.563310185185</v>
      </c>
      <c r="AM4757" t="s">
        <v>44</v>
      </c>
    </row>
    <row r="4758" spans="1:39" x14ac:dyDescent="0.2">
      <c r="A4758" t="s">
        <v>4477</v>
      </c>
      <c r="B4758" t="s">
        <v>40</v>
      </c>
      <c r="C4758" t="s">
        <v>4475</v>
      </c>
      <c r="D4758" t="s">
        <v>42</v>
      </c>
      <c r="E4758" t="s">
        <v>43</v>
      </c>
      <c r="F4758" t="s">
        <v>44</v>
      </c>
      <c r="G4758" t="s">
        <v>45</v>
      </c>
      <c r="AH4758" t="s">
        <v>42</v>
      </c>
      <c r="AI4758" t="str">
        <f>"66298947173500"</f>
        <v>66298947173500</v>
      </c>
      <c r="AJ4758" t="str">
        <f>"400986"</f>
        <v>400986</v>
      </c>
      <c r="AK4758" t="s">
        <v>46</v>
      </c>
      <c r="AL4758" s="1">
        <v>44816.563321759262</v>
      </c>
      <c r="AM4758" t="s">
        <v>44</v>
      </c>
    </row>
    <row r="4759" spans="1:39" x14ac:dyDescent="0.2">
      <c r="A4759" t="s">
        <v>4478</v>
      </c>
      <c r="B4759" t="s">
        <v>40</v>
      </c>
      <c r="C4759" t="s">
        <v>4475</v>
      </c>
      <c r="D4759" t="s">
        <v>42</v>
      </c>
      <c r="E4759" t="s">
        <v>43</v>
      </c>
      <c r="F4759" t="s">
        <v>44</v>
      </c>
      <c r="G4759" t="s">
        <v>45</v>
      </c>
      <c r="AH4759" t="s">
        <v>42</v>
      </c>
      <c r="AI4759" t="str">
        <f>"66298947066446"</f>
        <v>66298947066446</v>
      </c>
      <c r="AJ4759" t="str">
        <f>"21C-E2210-00JP"</f>
        <v>21C-E2210-00JP</v>
      </c>
      <c r="AK4759" t="s">
        <v>46</v>
      </c>
      <c r="AL4759" s="1">
        <v>44816.563310185185</v>
      </c>
      <c r="AM4759" t="s">
        <v>44</v>
      </c>
    </row>
    <row r="4760" spans="1:39" x14ac:dyDescent="0.2">
      <c r="A4760" t="s">
        <v>4478</v>
      </c>
      <c r="B4760" t="s">
        <v>40</v>
      </c>
      <c r="C4760" t="s">
        <v>4475</v>
      </c>
      <c r="D4760" t="s">
        <v>42</v>
      </c>
      <c r="E4760" t="s">
        <v>43</v>
      </c>
      <c r="F4760" t="s">
        <v>44</v>
      </c>
      <c r="G4760" t="s">
        <v>45</v>
      </c>
      <c r="AH4760" t="s">
        <v>42</v>
      </c>
      <c r="AI4760" t="str">
        <f>"66298947072239"</f>
        <v>66298947072239</v>
      </c>
      <c r="AJ4760" t="str">
        <f>"CJ006"</f>
        <v>CJ006</v>
      </c>
      <c r="AK4760" t="s">
        <v>46</v>
      </c>
      <c r="AL4760" s="1">
        <v>44816.563310185185</v>
      </c>
      <c r="AM4760" t="s">
        <v>44</v>
      </c>
    </row>
    <row r="4761" spans="1:39" x14ac:dyDescent="0.2">
      <c r="A4761" t="s">
        <v>4478</v>
      </c>
      <c r="B4761" t="s">
        <v>40</v>
      </c>
      <c r="C4761" t="s">
        <v>4475</v>
      </c>
      <c r="D4761" t="s">
        <v>42</v>
      </c>
      <c r="E4761" t="s">
        <v>43</v>
      </c>
      <c r="F4761" t="s">
        <v>44</v>
      </c>
      <c r="G4761" t="s">
        <v>45</v>
      </c>
      <c r="AH4761" t="s">
        <v>42</v>
      </c>
      <c r="AI4761" t="str">
        <f>"66298947127558"</f>
        <v>66298947127558</v>
      </c>
      <c r="AJ4761" t="str">
        <f>"9383"</f>
        <v>9383</v>
      </c>
      <c r="AK4761" t="s">
        <v>46</v>
      </c>
      <c r="AL4761" s="1">
        <v>44816.563321759262</v>
      </c>
      <c r="AM4761" t="s">
        <v>44</v>
      </c>
    </row>
    <row r="4762" spans="1:39" x14ac:dyDescent="0.2">
      <c r="A4762" t="s">
        <v>4479</v>
      </c>
      <c r="B4762" t="s">
        <v>40</v>
      </c>
      <c r="C4762" t="s">
        <v>4475</v>
      </c>
      <c r="D4762" t="s">
        <v>42</v>
      </c>
      <c r="E4762" t="s">
        <v>43</v>
      </c>
      <c r="F4762" t="s">
        <v>44</v>
      </c>
      <c r="G4762" t="s">
        <v>45</v>
      </c>
      <c r="AH4762" t="s">
        <v>42</v>
      </c>
      <c r="AI4762" t="str">
        <f>"11909"</f>
        <v>11909</v>
      </c>
      <c r="AJ4762" t="str">
        <f>"11909"</f>
        <v>11909</v>
      </c>
      <c r="AK4762" t="s">
        <v>46</v>
      </c>
      <c r="AL4762" s="1">
        <v>44952.5778125</v>
      </c>
      <c r="AM4762" t="s">
        <v>44</v>
      </c>
    </row>
    <row r="4763" spans="1:39" x14ac:dyDescent="0.2">
      <c r="A4763" t="s">
        <v>4480</v>
      </c>
      <c r="B4763" t="s">
        <v>40</v>
      </c>
      <c r="C4763" t="s">
        <v>4475</v>
      </c>
      <c r="D4763" t="s">
        <v>42</v>
      </c>
      <c r="E4763" t="s">
        <v>43</v>
      </c>
      <c r="F4763" t="s">
        <v>44</v>
      </c>
      <c r="G4763" t="s">
        <v>45</v>
      </c>
      <c r="AH4763" t="s">
        <v>42</v>
      </c>
      <c r="AI4763" t="str">
        <f>"66298947215193"</f>
        <v>66298947215193</v>
      </c>
      <c r="AJ4763" t="str">
        <f>"400983"</f>
        <v>400983</v>
      </c>
      <c r="AK4763" t="s">
        <v>46</v>
      </c>
      <c r="AL4763" s="1">
        <v>44816.563333333332</v>
      </c>
      <c r="AM4763" t="s">
        <v>44</v>
      </c>
    </row>
    <row r="4764" spans="1:39" x14ac:dyDescent="0.2">
      <c r="A4764" t="s">
        <v>4481</v>
      </c>
      <c r="B4764" t="s">
        <v>40</v>
      </c>
      <c r="C4764" t="s">
        <v>4475</v>
      </c>
      <c r="D4764" t="s">
        <v>42</v>
      </c>
      <c r="E4764" t="s">
        <v>43</v>
      </c>
      <c r="F4764" t="s">
        <v>44</v>
      </c>
      <c r="G4764" t="s">
        <v>45</v>
      </c>
      <c r="AH4764" t="s">
        <v>42</v>
      </c>
      <c r="AI4764" t="str">
        <f>"12830-19B02JP"</f>
        <v>12830-19B02JP</v>
      </c>
      <c r="AJ4764" t="str">
        <f>"12830-19B02JP"</f>
        <v>12830-19B02JP</v>
      </c>
      <c r="AK4764" t="s">
        <v>46</v>
      </c>
      <c r="AL4764" s="1">
        <v>44898.622314814813</v>
      </c>
      <c r="AM4764" t="s">
        <v>44</v>
      </c>
    </row>
    <row r="4765" spans="1:39" x14ac:dyDescent="0.2">
      <c r="A4765" t="s">
        <v>4482</v>
      </c>
      <c r="B4765" t="s">
        <v>40</v>
      </c>
      <c r="C4765" t="s">
        <v>4475</v>
      </c>
      <c r="D4765" t="s">
        <v>42</v>
      </c>
      <c r="E4765" t="s">
        <v>43</v>
      </c>
      <c r="F4765" t="s">
        <v>44</v>
      </c>
      <c r="G4765" t="s">
        <v>45</v>
      </c>
      <c r="AH4765" t="s">
        <v>42</v>
      </c>
      <c r="AI4765" t="str">
        <f>"66298947317667"</f>
        <v>66298947317667</v>
      </c>
      <c r="AJ4765" t="str">
        <f>"400977"</f>
        <v>400977</v>
      </c>
      <c r="AK4765" t="s">
        <v>46</v>
      </c>
      <c r="AL4765" s="1">
        <v>44816.563344907408</v>
      </c>
      <c r="AM4765" t="s">
        <v>44</v>
      </c>
    </row>
    <row r="4766" spans="1:39" x14ac:dyDescent="0.2">
      <c r="A4766" t="s">
        <v>4483</v>
      </c>
      <c r="B4766" t="s">
        <v>40</v>
      </c>
      <c r="C4766" t="s">
        <v>4475</v>
      </c>
      <c r="D4766" t="s">
        <v>42</v>
      </c>
      <c r="E4766" t="s">
        <v>43</v>
      </c>
      <c r="F4766" t="s">
        <v>44</v>
      </c>
      <c r="G4766" t="s">
        <v>45</v>
      </c>
      <c r="AH4766" t="s">
        <v>42</v>
      </c>
      <c r="AI4766" t="str">
        <f>"66298947271304"</f>
        <v>66298947271304</v>
      </c>
      <c r="AJ4766" t="str">
        <f>"CJ002"</f>
        <v>CJ002</v>
      </c>
      <c r="AK4766" t="s">
        <v>46</v>
      </c>
      <c r="AL4766" s="1">
        <v>44816.563333333332</v>
      </c>
      <c r="AM4766" t="s">
        <v>44</v>
      </c>
    </row>
    <row r="4767" spans="1:39" x14ac:dyDescent="0.2">
      <c r="A4767" t="s">
        <v>4484</v>
      </c>
      <c r="B4767" t="s">
        <v>40</v>
      </c>
      <c r="C4767" t="s">
        <v>4475</v>
      </c>
      <c r="D4767" t="s">
        <v>42</v>
      </c>
      <c r="E4767" t="s">
        <v>43</v>
      </c>
      <c r="F4767" t="s">
        <v>44</v>
      </c>
      <c r="G4767" t="s">
        <v>45</v>
      </c>
      <c r="AH4767" t="s">
        <v>42</v>
      </c>
      <c r="AI4767" t="str">
        <f>"66298947354377"</f>
        <v>66298947354377</v>
      </c>
      <c r="AJ4767" t="str">
        <f>"JV-5210-03"</f>
        <v>JV-5210-03</v>
      </c>
      <c r="AK4767" t="s">
        <v>46</v>
      </c>
      <c r="AL4767" s="1">
        <v>44816.563344907408</v>
      </c>
      <c r="AM4767" t="s">
        <v>44</v>
      </c>
    </row>
    <row r="4768" spans="1:39" x14ac:dyDescent="0.2">
      <c r="A4768" t="s">
        <v>4485</v>
      </c>
      <c r="B4768" t="s">
        <v>40</v>
      </c>
      <c r="C4768" t="s">
        <v>4475</v>
      </c>
      <c r="D4768" t="s">
        <v>42</v>
      </c>
      <c r="E4768" t="s">
        <v>43</v>
      </c>
      <c r="F4768" t="s">
        <v>44</v>
      </c>
      <c r="G4768" t="s">
        <v>45</v>
      </c>
      <c r="AH4768" t="s">
        <v>42</v>
      </c>
      <c r="AI4768" t="str">
        <f>"66298947394713"</f>
        <v>66298947394713</v>
      </c>
      <c r="AJ4768" t="str">
        <f>"DS-1012-77"</f>
        <v>DS-1012-77</v>
      </c>
      <c r="AK4768" t="s">
        <v>46</v>
      </c>
      <c r="AL4768" s="1">
        <v>44816.563344907408</v>
      </c>
      <c r="AM4768" t="s">
        <v>44</v>
      </c>
    </row>
    <row r="4769" spans="1:39" x14ac:dyDescent="0.2">
      <c r="A4769" t="s">
        <v>4486</v>
      </c>
      <c r="B4769" t="s">
        <v>40</v>
      </c>
      <c r="C4769" t="s">
        <v>4475</v>
      </c>
      <c r="D4769" t="s">
        <v>42</v>
      </c>
      <c r="E4769" t="s">
        <v>43</v>
      </c>
      <c r="F4769" t="s">
        <v>44</v>
      </c>
      <c r="G4769" t="s">
        <v>45</v>
      </c>
      <c r="AH4769" t="s">
        <v>42</v>
      </c>
      <c r="AI4769" t="str">
        <f>"66298947440884"</f>
        <v>66298947440884</v>
      </c>
      <c r="AJ4769" t="str">
        <f>"400985"</f>
        <v>400985</v>
      </c>
      <c r="AK4769" t="s">
        <v>46</v>
      </c>
      <c r="AL4769" s="1">
        <v>44816.563356481478</v>
      </c>
      <c r="AM4769" t="s">
        <v>44</v>
      </c>
    </row>
    <row r="4770" spans="1:39" x14ac:dyDescent="0.2">
      <c r="A4770" t="s">
        <v>4487</v>
      </c>
      <c r="B4770" t="s">
        <v>40</v>
      </c>
      <c r="C4770" t="s">
        <v>4475</v>
      </c>
      <c r="D4770" t="s">
        <v>42</v>
      </c>
      <c r="E4770" t="s">
        <v>43</v>
      </c>
      <c r="F4770" t="s">
        <v>44</v>
      </c>
      <c r="G4770" t="s">
        <v>45</v>
      </c>
      <c r="AH4770" t="s">
        <v>42</v>
      </c>
      <c r="AI4770" t="str">
        <f>"66298947485901"</f>
        <v>66298947485901</v>
      </c>
      <c r="AJ4770" t="str">
        <f>"14520-GFY6-902JP"</f>
        <v>14520-GFY6-902JP</v>
      </c>
      <c r="AK4770" t="s">
        <v>46</v>
      </c>
      <c r="AL4770" s="1">
        <v>44816.563356481478</v>
      </c>
      <c r="AM4770" t="s">
        <v>44</v>
      </c>
    </row>
    <row r="4771" spans="1:39" x14ac:dyDescent="0.2">
      <c r="A4771" t="s">
        <v>4487</v>
      </c>
      <c r="B4771" t="s">
        <v>40</v>
      </c>
      <c r="C4771" t="s">
        <v>4475</v>
      </c>
      <c r="D4771" t="s">
        <v>42</v>
      </c>
      <c r="E4771" t="s">
        <v>43</v>
      </c>
      <c r="F4771" t="s">
        <v>44</v>
      </c>
      <c r="G4771" t="s">
        <v>45</v>
      </c>
      <c r="AH4771" t="s">
        <v>42</v>
      </c>
      <c r="AI4771" t="str">
        <f>"66298947493186"</f>
        <v>66298947493186</v>
      </c>
      <c r="AJ4771" t="str">
        <f>"CJ001"</f>
        <v>CJ001</v>
      </c>
      <c r="AK4771" t="s">
        <v>46</v>
      </c>
      <c r="AL4771" s="1">
        <v>44816.563356481478</v>
      </c>
      <c r="AM4771" t="s">
        <v>44</v>
      </c>
    </row>
    <row r="4772" spans="1:39" x14ac:dyDescent="0.2">
      <c r="A4772" t="s">
        <v>4487</v>
      </c>
      <c r="B4772" t="s">
        <v>40</v>
      </c>
      <c r="C4772" t="s">
        <v>4475</v>
      </c>
      <c r="D4772" t="s">
        <v>42</v>
      </c>
      <c r="E4772" t="s">
        <v>43</v>
      </c>
      <c r="F4772" t="s">
        <v>44</v>
      </c>
      <c r="G4772" t="s">
        <v>45</v>
      </c>
      <c r="AH4772" t="s">
        <v>42</v>
      </c>
      <c r="AI4772" t="str">
        <f>"66298947546978"</f>
        <v>66298947546978</v>
      </c>
      <c r="AJ4772" t="str">
        <f>"24647"</f>
        <v>24647</v>
      </c>
      <c r="AK4772" t="s">
        <v>46</v>
      </c>
      <c r="AL4772" s="1">
        <v>44816.563368055555</v>
      </c>
      <c r="AM4772" t="s">
        <v>44</v>
      </c>
    </row>
    <row r="4773" spans="1:39" x14ac:dyDescent="0.2">
      <c r="A4773" t="s">
        <v>4487</v>
      </c>
      <c r="B4773" t="s">
        <v>40</v>
      </c>
      <c r="C4773" t="s">
        <v>4475</v>
      </c>
      <c r="D4773" t="s">
        <v>42</v>
      </c>
      <c r="E4773" t="s">
        <v>43</v>
      </c>
      <c r="F4773" t="s">
        <v>44</v>
      </c>
      <c r="G4773" t="s">
        <v>45</v>
      </c>
      <c r="AH4773" t="s">
        <v>42</v>
      </c>
      <c r="AI4773" t="str">
        <f>"66298947553381"</f>
        <v>66298947553381</v>
      </c>
      <c r="AJ4773" t="str">
        <f>"80627"</f>
        <v>80627</v>
      </c>
      <c r="AK4773" t="s">
        <v>46</v>
      </c>
      <c r="AL4773" s="1">
        <v>44816.563368055555</v>
      </c>
      <c r="AM4773" t="s">
        <v>44</v>
      </c>
    </row>
    <row r="4774" spans="1:39" x14ac:dyDescent="0.2">
      <c r="A4774" t="s">
        <v>4488</v>
      </c>
      <c r="B4774" t="s">
        <v>40</v>
      </c>
      <c r="C4774" t="s">
        <v>4475</v>
      </c>
      <c r="D4774" t="s">
        <v>42</v>
      </c>
      <c r="E4774" t="s">
        <v>43</v>
      </c>
      <c r="F4774" t="s">
        <v>44</v>
      </c>
      <c r="G4774" t="s">
        <v>45</v>
      </c>
      <c r="AH4774" t="s">
        <v>42</v>
      </c>
      <c r="AI4774" t="str">
        <f>"66298947609057"</f>
        <v>66298947609057</v>
      </c>
      <c r="AJ4774" t="str">
        <f>"400979"</f>
        <v>400979</v>
      </c>
      <c r="AK4774" t="s">
        <v>46</v>
      </c>
      <c r="AL4774" s="1">
        <v>44816.563379629632</v>
      </c>
      <c r="AM4774" t="s">
        <v>44</v>
      </c>
    </row>
    <row r="4775" spans="1:39" x14ac:dyDescent="0.2">
      <c r="A4775" t="s">
        <v>4489</v>
      </c>
      <c r="B4775" t="s">
        <v>40</v>
      </c>
      <c r="C4775" t="s">
        <v>4475</v>
      </c>
      <c r="D4775" t="s">
        <v>42</v>
      </c>
      <c r="E4775" t="s">
        <v>43</v>
      </c>
      <c r="F4775" t="s">
        <v>44</v>
      </c>
      <c r="G4775" t="s">
        <v>45</v>
      </c>
      <c r="AH4775" t="s">
        <v>42</v>
      </c>
      <c r="AI4775" t="str">
        <f>"14520-KPF-912JP"</f>
        <v>14520-KPF-912JP</v>
      </c>
      <c r="AJ4775" t="str">
        <f>"14520-KPF-912JP"</f>
        <v>14520-KPF-912JP</v>
      </c>
      <c r="AK4775" t="s">
        <v>46</v>
      </c>
      <c r="AL4775" s="1">
        <v>44900.810717592591</v>
      </c>
      <c r="AM4775" t="s">
        <v>44</v>
      </c>
    </row>
    <row r="4776" spans="1:39" x14ac:dyDescent="0.2">
      <c r="A4776" t="s">
        <v>4490</v>
      </c>
      <c r="B4776" t="s">
        <v>40</v>
      </c>
      <c r="C4776" t="s">
        <v>4475</v>
      </c>
      <c r="D4776" t="s">
        <v>42</v>
      </c>
      <c r="E4776" t="s">
        <v>43</v>
      </c>
      <c r="F4776" t="s">
        <v>44</v>
      </c>
      <c r="G4776" t="s">
        <v>45</v>
      </c>
      <c r="AH4776" t="s">
        <v>42</v>
      </c>
      <c r="AI4776" t="str">
        <f>"66298947654006"</f>
        <v>66298947654006</v>
      </c>
      <c r="AJ4776" t="str">
        <f>"14520-KCY-671"</f>
        <v>14520-KCY-671</v>
      </c>
      <c r="AK4776" t="s">
        <v>46</v>
      </c>
      <c r="AL4776" s="1">
        <v>44816.563379629632</v>
      </c>
      <c r="AM4776" t="s">
        <v>44</v>
      </c>
    </row>
    <row r="4777" spans="1:39" x14ac:dyDescent="0.2">
      <c r="A4777" t="s">
        <v>4491</v>
      </c>
      <c r="B4777" t="s">
        <v>40</v>
      </c>
      <c r="C4777" t="s">
        <v>4475</v>
      </c>
      <c r="D4777" t="s">
        <v>42</v>
      </c>
      <c r="E4777" t="s">
        <v>43</v>
      </c>
      <c r="F4777" t="s">
        <v>44</v>
      </c>
      <c r="G4777" t="s">
        <v>45</v>
      </c>
      <c r="AH4777" t="s">
        <v>42</v>
      </c>
      <c r="AI4777" t="str">
        <f>"66298947692290"</f>
        <v>66298947692290</v>
      </c>
      <c r="AJ4777" t="str">
        <f>"CJ004"</f>
        <v>CJ004</v>
      </c>
      <c r="AK4777" t="s">
        <v>46</v>
      </c>
      <c r="AL4777" s="1">
        <v>44816.563379629632</v>
      </c>
      <c r="AM4777" t="s">
        <v>44</v>
      </c>
    </row>
    <row r="4778" spans="1:39" x14ac:dyDescent="0.2">
      <c r="A4778" t="s">
        <v>4492</v>
      </c>
      <c r="B4778" t="s">
        <v>40</v>
      </c>
      <c r="C4778" t="s">
        <v>4475</v>
      </c>
      <c r="D4778" t="s">
        <v>42</v>
      </c>
      <c r="E4778" t="s">
        <v>43</v>
      </c>
      <c r="F4778" t="s">
        <v>44</v>
      </c>
      <c r="G4778" t="s">
        <v>45</v>
      </c>
      <c r="AH4778" t="s">
        <v>42</v>
      </c>
      <c r="AI4778" t="str">
        <f>"66298947732248"</f>
        <v>66298947732248</v>
      </c>
      <c r="AJ4778" t="str">
        <f>"401050"</f>
        <v>401050</v>
      </c>
      <c r="AK4778" t="s">
        <v>46</v>
      </c>
      <c r="AL4778" s="1">
        <v>44816.563391203701</v>
      </c>
      <c r="AM4778" t="s">
        <v>44</v>
      </c>
    </row>
    <row r="4779" spans="1:39" x14ac:dyDescent="0.2">
      <c r="A4779" t="s">
        <v>4493</v>
      </c>
      <c r="B4779" t="s">
        <v>40</v>
      </c>
      <c r="C4779" t="s">
        <v>4475</v>
      </c>
      <c r="D4779" t="s">
        <v>42</v>
      </c>
      <c r="E4779" t="s">
        <v>43</v>
      </c>
      <c r="F4779" t="s">
        <v>44</v>
      </c>
      <c r="G4779" t="s">
        <v>45</v>
      </c>
      <c r="AH4779" t="s">
        <v>42</v>
      </c>
      <c r="AI4779" t="str">
        <f>"66298947775608"</f>
        <v>66298947775608</v>
      </c>
      <c r="AJ4779" t="str">
        <f>"400980"</f>
        <v>400980</v>
      </c>
      <c r="AK4779" t="s">
        <v>46</v>
      </c>
      <c r="AL4779" s="1">
        <v>44816.563391203701</v>
      </c>
      <c r="AM4779" t="s">
        <v>44</v>
      </c>
    </row>
    <row r="4780" spans="1:39" x14ac:dyDescent="0.2">
      <c r="A4780" t="s">
        <v>4494</v>
      </c>
      <c r="B4780" t="s">
        <v>40</v>
      </c>
      <c r="C4780" t="s">
        <v>4475</v>
      </c>
      <c r="D4780" t="s">
        <v>42</v>
      </c>
      <c r="E4780" t="s">
        <v>43</v>
      </c>
      <c r="F4780" t="s">
        <v>44</v>
      </c>
      <c r="G4780" t="s">
        <v>45</v>
      </c>
      <c r="AH4780" t="s">
        <v>42</v>
      </c>
      <c r="AI4780" t="str">
        <f>"66298947818104"</f>
        <v>66298947818104</v>
      </c>
      <c r="AJ4780" t="str">
        <f>"14510-KWF-900JP"</f>
        <v>14510-KWF-900JP</v>
      </c>
      <c r="AK4780" t="s">
        <v>46</v>
      </c>
      <c r="AL4780" s="1">
        <v>44816.563402777778</v>
      </c>
      <c r="AM4780" t="s">
        <v>44</v>
      </c>
    </row>
    <row r="4781" spans="1:39" x14ac:dyDescent="0.2">
      <c r="A4781" t="s">
        <v>4495</v>
      </c>
      <c r="B4781" t="s">
        <v>40</v>
      </c>
      <c r="C4781" t="s">
        <v>4475</v>
      </c>
      <c r="D4781" t="s">
        <v>42</v>
      </c>
      <c r="E4781" t="s">
        <v>43</v>
      </c>
      <c r="F4781" t="s">
        <v>44</v>
      </c>
      <c r="G4781" t="s">
        <v>45</v>
      </c>
      <c r="AH4781" t="s">
        <v>42</v>
      </c>
      <c r="AI4781" t="str">
        <f>"66298947857219"</f>
        <v>66298947857219</v>
      </c>
      <c r="AJ4781" t="str">
        <f>"12811-18A01JP"</f>
        <v>12811-18A01JP</v>
      </c>
      <c r="AK4781" t="s">
        <v>46</v>
      </c>
      <c r="AL4781" s="1">
        <v>44816.563402777778</v>
      </c>
      <c r="AM4781" t="s">
        <v>44</v>
      </c>
    </row>
    <row r="4782" spans="1:39" x14ac:dyDescent="0.2">
      <c r="A4782" t="s">
        <v>4496</v>
      </c>
      <c r="B4782" t="s">
        <v>40</v>
      </c>
      <c r="C4782" t="s">
        <v>4475</v>
      </c>
      <c r="D4782" t="s">
        <v>42</v>
      </c>
      <c r="E4782" t="s">
        <v>43</v>
      </c>
      <c r="F4782" t="s">
        <v>44</v>
      </c>
      <c r="G4782" t="s">
        <v>45</v>
      </c>
      <c r="AH4782" t="s">
        <v>42</v>
      </c>
      <c r="AI4782" t="str">
        <f>"66298947899237"</f>
        <v>66298947899237</v>
      </c>
      <c r="AJ4782" t="str">
        <f>"21C-E2241-00JP"</f>
        <v>21C-E2241-00JP</v>
      </c>
      <c r="AK4782" t="s">
        <v>46</v>
      </c>
      <c r="AL4782" s="1">
        <v>44816.563402777778</v>
      </c>
      <c r="AM4782" t="s">
        <v>44</v>
      </c>
    </row>
    <row r="4783" spans="1:39" x14ac:dyDescent="0.2">
      <c r="A4783" t="s">
        <v>4497</v>
      </c>
      <c r="B4783" t="s">
        <v>40</v>
      </c>
      <c r="C4783" t="s">
        <v>4475</v>
      </c>
      <c r="D4783" t="s">
        <v>42</v>
      </c>
      <c r="E4783" t="s">
        <v>43</v>
      </c>
      <c r="F4783" t="s">
        <v>44</v>
      </c>
      <c r="G4783" t="s">
        <v>45</v>
      </c>
      <c r="AH4783" t="s">
        <v>42</v>
      </c>
      <c r="AI4783" t="str">
        <f>"588008"</f>
        <v>588008</v>
      </c>
      <c r="AJ4783" t="str">
        <f>"588008"</f>
        <v>588008</v>
      </c>
      <c r="AK4783" t="s">
        <v>46</v>
      </c>
      <c r="AL4783" s="1">
        <v>45093.918900462966</v>
      </c>
      <c r="AM4783" t="s">
        <v>44</v>
      </c>
    </row>
    <row r="4784" spans="1:39" x14ac:dyDescent="0.2">
      <c r="A4784" t="s">
        <v>4498</v>
      </c>
      <c r="B4784" t="s">
        <v>40</v>
      </c>
      <c r="C4784" t="s">
        <v>4475</v>
      </c>
      <c r="D4784" t="s">
        <v>42</v>
      </c>
      <c r="E4784" t="s">
        <v>43</v>
      </c>
      <c r="F4784" t="s">
        <v>44</v>
      </c>
      <c r="G4784" t="s">
        <v>45</v>
      </c>
      <c r="AH4784" t="s">
        <v>42</v>
      </c>
      <c r="AI4784" t="str">
        <f>"66298947940020"</f>
        <v>66298947940020</v>
      </c>
      <c r="AJ4784" t="str">
        <f>"12811-12F50JP"</f>
        <v>12811-12F50JP</v>
      </c>
      <c r="AK4784" t="s">
        <v>46</v>
      </c>
      <c r="AL4784" s="1">
        <v>44816.563414351855</v>
      </c>
      <c r="AM4784" t="s">
        <v>44</v>
      </c>
    </row>
    <row r="4785" spans="1:39" x14ac:dyDescent="0.2">
      <c r="A4785" t="s">
        <v>4499</v>
      </c>
      <c r="B4785" t="s">
        <v>40</v>
      </c>
      <c r="C4785" t="s">
        <v>4475</v>
      </c>
      <c r="D4785" t="s">
        <v>42</v>
      </c>
      <c r="E4785" t="s">
        <v>43</v>
      </c>
      <c r="F4785" t="s">
        <v>44</v>
      </c>
      <c r="G4785" t="s">
        <v>45</v>
      </c>
      <c r="AH4785" t="s">
        <v>42</v>
      </c>
      <c r="AI4785" t="str">
        <f>"66298948023359"</f>
        <v>66298948023359</v>
      </c>
      <c r="AJ4785" t="str">
        <f>"14500-427-000"</f>
        <v>14500-427-000</v>
      </c>
      <c r="AK4785" t="s">
        <v>46</v>
      </c>
      <c r="AL4785" s="1">
        <v>44816.563425925924</v>
      </c>
      <c r="AM4785" t="s">
        <v>44</v>
      </c>
    </row>
    <row r="4786" spans="1:39" x14ac:dyDescent="0.2">
      <c r="A4786" t="s">
        <v>4500</v>
      </c>
      <c r="B4786" t="s">
        <v>40</v>
      </c>
      <c r="C4786" t="s">
        <v>4475</v>
      </c>
      <c r="D4786" t="s">
        <v>42</v>
      </c>
      <c r="E4786" t="s">
        <v>43</v>
      </c>
      <c r="F4786" t="s">
        <v>44</v>
      </c>
      <c r="G4786" t="s">
        <v>45</v>
      </c>
      <c r="AH4786" t="s">
        <v>42</v>
      </c>
      <c r="AI4786" t="str">
        <f>"66298947984096"</f>
        <v>66298947984096</v>
      </c>
      <c r="AJ4786" t="str">
        <f>"14500-KBB-900JP"</f>
        <v>14500-KBB-900JP</v>
      </c>
      <c r="AK4786" t="s">
        <v>46</v>
      </c>
      <c r="AL4786" s="1">
        <v>44816.563414351855</v>
      </c>
      <c r="AM4786" t="s">
        <v>44</v>
      </c>
    </row>
    <row r="4787" spans="1:39" x14ac:dyDescent="0.2">
      <c r="A4787" t="s">
        <v>4501</v>
      </c>
      <c r="B4787" t="s">
        <v>40</v>
      </c>
      <c r="C4787" t="s">
        <v>4475</v>
      </c>
      <c r="D4787" t="s">
        <v>42</v>
      </c>
      <c r="E4787" t="s">
        <v>43</v>
      </c>
      <c r="F4787" t="s">
        <v>44</v>
      </c>
      <c r="G4787" t="s">
        <v>45</v>
      </c>
      <c r="AH4787" t="s">
        <v>42</v>
      </c>
      <c r="AI4787" t="str">
        <f>"66298948063442"</f>
        <v>66298948063442</v>
      </c>
      <c r="AJ4787" t="str">
        <f>"5YY-E2241-00JP"</f>
        <v>5YY-E2241-00JP</v>
      </c>
      <c r="AK4787" t="s">
        <v>46</v>
      </c>
      <c r="AL4787" s="1">
        <v>44816.563425925924</v>
      </c>
      <c r="AM4787" t="s">
        <v>44</v>
      </c>
    </row>
    <row r="4788" spans="1:39" x14ac:dyDescent="0.2">
      <c r="A4788" t="s">
        <v>4502</v>
      </c>
      <c r="B4788" t="s">
        <v>40</v>
      </c>
      <c r="C4788" t="s">
        <v>4475</v>
      </c>
      <c r="D4788" t="s">
        <v>42</v>
      </c>
      <c r="E4788" t="s">
        <v>43</v>
      </c>
      <c r="F4788" t="s">
        <v>44</v>
      </c>
      <c r="G4788" t="s">
        <v>45</v>
      </c>
      <c r="AH4788" t="s">
        <v>42</v>
      </c>
      <c r="AI4788" t="str">
        <f>"66298948102343"</f>
        <v>66298948102343</v>
      </c>
      <c r="AJ4788" t="str">
        <f>"CJ012"</f>
        <v>CJ012</v>
      </c>
      <c r="AK4788" t="s">
        <v>46</v>
      </c>
      <c r="AL4788" s="1">
        <v>44816.563437500001</v>
      </c>
      <c r="AM4788" t="s">
        <v>44</v>
      </c>
    </row>
    <row r="4789" spans="1:39" x14ac:dyDescent="0.2">
      <c r="A4789" t="s">
        <v>4503</v>
      </c>
      <c r="B4789" t="s">
        <v>40</v>
      </c>
      <c r="C4789" t="s">
        <v>4475</v>
      </c>
      <c r="D4789" t="s">
        <v>42</v>
      </c>
      <c r="E4789" t="s">
        <v>43</v>
      </c>
      <c r="F4789" t="s">
        <v>44</v>
      </c>
      <c r="G4789" t="s">
        <v>45</v>
      </c>
      <c r="AH4789" t="s">
        <v>42</v>
      </c>
      <c r="AI4789" t="str">
        <f>"66298948144405"</f>
        <v>66298948144405</v>
      </c>
      <c r="AJ4789" t="str">
        <f>"R029"</f>
        <v>R029</v>
      </c>
      <c r="AK4789" t="s">
        <v>46</v>
      </c>
      <c r="AL4789" s="1">
        <v>44816.563437500001</v>
      </c>
      <c r="AM4789" t="s">
        <v>44</v>
      </c>
    </row>
    <row r="4790" spans="1:39" x14ac:dyDescent="0.2">
      <c r="A4790" t="s">
        <v>4504</v>
      </c>
      <c r="B4790" t="s">
        <v>40</v>
      </c>
      <c r="C4790" t="s">
        <v>129</v>
      </c>
      <c r="D4790" t="s">
        <v>42</v>
      </c>
      <c r="E4790" t="s">
        <v>43</v>
      </c>
      <c r="F4790" t="s">
        <v>44</v>
      </c>
      <c r="G4790" t="s">
        <v>45</v>
      </c>
      <c r="AH4790" t="s">
        <v>42</v>
      </c>
      <c r="AI4790" t="str">
        <f>"66298948185203"</f>
        <v>66298948185203</v>
      </c>
      <c r="AJ4790" t="str">
        <f>"13522"</f>
        <v>13522</v>
      </c>
      <c r="AK4790" t="s">
        <v>46</v>
      </c>
      <c r="AL4790" s="1">
        <v>44816.563437500001</v>
      </c>
      <c r="AM4790" t="s">
        <v>44</v>
      </c>
    </row>
    <row r="4791" spans="1:39" x14ac:dyDescent="0.2">
      <c r="A4791" t="s">
        <v>4505</v>
      </c>
      <c r="B4791" t="s">
        <v>40</v>
      </c>
      <c r="C4791" t="s">
        <v>129</v>
      </c>
      <c r="D4791" t="s">
        <v>42</v>
      </c>
      <c r="E4791" t="s">
        <v>43</v>
      </c>
      <c r="F4791" t="s">
        <v>44</v>
      </c>
      <c r="G4791" t="s">
        <v>45</v>
      </c>
      <c r="AH4791" t="s">
        <v>42</v>
      </c>
      <c r="AI4791" t="str">
        <f>"66298948231380"</f>
        <v>66298948231380</v>
      </c>
      <c r="AJ4791" t="str">
        <f>"13523"</f>
        <v>13523</v>
      </c>
      <c r="AK4791" t="s">
        <v>46</v>
      </c>
      <c r="AL4791" s="1">
        <v>44816.563449074078</v>
      </c>
      <c r="AM4791" t="s">
        <v>44</v>
      </c>
    </row>
    <row r="4792" spans="1:39" x14ac:dyDescent="0.2">
      <c r="A4792" t="s">
        <v>4506</v>
      </c>
      <c r="B4792" t="s">
        <v>40</v>
      </c>
      <c r="C4792" t="s">
        <v>129</v>
      </c>
      <c r="D4792" t="s">
        <v>42</v>
      </c>
      <c r="E4792" t="s">
        <v>43</v>
      </c>
      <c r="F4792" t="s">
        <v>44</v>
      </c>
      <c r="G4792" t="s">
        <v>45</v>
      </c>
      <c r="AH4792" t="s">
        <v>42</v>
      </c>
      <c r="AI4792" t="str">
        <f>"66298948273169"</f>
        <v>66298948273169</v>
      </c>
      <c r="AJ4792" t="str">
        <f>"81569"</f>
        <v>81569</v>
      </c>
      <c r="AK4792" t="s">
        <v>46</v>
      </c>
      <c r="AL4792" s="1">
        <v>44816.563449074078</v>
      </c>
      <c r="AM4792" t="s">
        <v>44</v>
      </c>
    </row>
    <row r="4793" spans="1:39" x14ac:dyDescent="0.2">
      <c r="A4793" t="s">
        <v>4507</v>
      </c>
      <c r="B4793" t="s">
        <v>40</v>
      </c>
      <c r="C4793" t="s">
        <v>4508</v>
      </c>
      <c r="D4793" t="s">
        <v>42</v>
      </c>
      <c r="E4793" t="s">
        <v>43</v>
      </c>
      <c r="F4793" t="s">
        <v>44</v>
      </c>
      <c r="G4793" t="s">
        <v>45</v>
      </c>
      <c r="H4793" t="s">
        <v>4509</v>
      </c>
      <c r="AH4793" t="s">
        <v>43</v>
      </c>
      <c r="AI4793" t="str">
        <f>"ACTIVO-KIA"</f>
        <v>ACTIVO-KIA</v>
      </c>
      <c r="AJ4793" t="str">
        <f>"ACTIVO-KIA"</f>
        <v>ACTIVO-KIA</v>
      </c>
      <c r="AK4793" t="s">
        <v>46</v>
      </c>
      <c r="AL4793" s="1">
        <v>44880.584826388891</v>
      </c>
      <c r="AM4793" t="s">
        <v>44</v>
      </c>
    </row>
    <row r="4794" spans="1:39" x14ac:dyDescent="0.2">
      <c r="A4794" t="s">
        <v>4510</v>
      </c>
      <c r="B4794" t="s">
        <v>40</v>
      </c>
      <c r="C4794" t="s">
        <v>4511</v>
      </c>
      <c r="D4794" t="s">
        <v>42</v>
      </c>
      <c r="E4794" t="s">
        <v>43</v>
      </c>
      <c r="F4794" t="s">
        <v>44</v>
      </c>
      <c r="G4794" t="s">
        <v>45</v>
      </c>
      <c r="AH4794" t="s">
        <v>42</v>
      </c>
      <c r="AI4794" t="str">
        <f>"66298948313119"</f>
        <v>66298948313119</v>
      </c>
      <c r="AJ4794" t="str">
        <f>"CF010"</f>
        <v>CF010</v>
      </c>
      <c r="AK4794" t="s">
        <v>46</v>
      </c>
      <c r="AL4794" s="1">
        <v>44816.563460648147</v>
      </c>
      <c r="AM4794" t="s">
        <v>44</v>
      </c>
    </row>
    <row r="4795" spans="1:39" x14ac:dyDescent="0.2">
      <c r="A4795" t="s">
        <v>4512</v>
      </c>
      <c r="B4795" t="s">
        <v>40</v>
      </c>
      <c r="C4795" t="s">
        <v>4511</v>
      </c>
      <c r="D4795" t="s">
        <v>42</v>
      </c>
      <c r="E4795" t="s">
        <v>43</v>
      </c>
      <c r="F4795" t="s">
        <v>44</v>
      </c>
      <c r="G4795" t="s">
        <v>45</v>
      </c>
      <c r="AH4795" t="s">
        <v>42</v>
      </c>
      <c r="AI4795" t="str">
        <f>"66298948352123"</f>
        <v>66298948352123</v>
      </c>
      <c r="AJ4795" t="str">
        <f>"21C-F5388-11GY"</f>
        <v>21C-F5388-11GY</v>
      </c>
      <c r="AK4795" t="s">
        <v>46</v>
      </c>
      <c r="AL4795" s="1">
        <v>44816.563460648147</v>
      </c>
      <c r="AM4795" t="s">
        <v>44</v>
      </c>
    </row>
    <row r="4796" spans="1:39" x14ac:dyDescent="0.2">
      <c r="A4796" t="s">
        <v>4513</v>
      </c>
      <c r="B4796" t="s">
        <v>40</v>
      </c>
      <c r="C4796" t="s">
        <v>4511</v>
      </c>
      <c r="D4796" t="s">
        <v>42</v>
      </c>
      <c r="E4796" t="s">
        <v>43</v>
      </c>
      <c r="F4796" t="s">
        <v>44</v>
      </c>
      <c r="G4796" t="s">
        <v>45</v>
      </c>
      <c r="AH4796" t="s">
        <v>42</v>
      </c>
      <c r="AI4796" t="str">
        <f>"588025"</f>
        <v>588025</v>
      </c>
      <c r="AJ4796" t="str">
        <f>"588025"</f>
        <v>588025</v>
      </c>
      <c r="AK4796" t="s">
        <v>46</v>
      </c>
      <c r="AL4796" s="1">
        <v>45093.919398148151</v>
      </c>
      <c r="AM4796" t="s">
        <v>44</v>
      </c>
    </row>
    <row r="4797" spans="1:39" x14ac:dyDescent="0.2">
      <c r="A4797" t="s">
        <v>4514</v>
      </c>
      <c r="B4797" t="s">
        <v>40</v>
      </c>
      <c r="C4797" t="s">
        <v>4511</v>
      </c>
      <c r="D4797" t="s">
        <v>42</v>
      </c>
      <c r="E4797" t="s">
        <v>43</v>
      </c>
      <c r="F4797" t="s">
        <v>44</v>
      </c>
      <c r="G4797" t="s">
        <v>45</v>
      </c>
      <c r="AH4797" t="s">
        <v>42</v>
      </c>
      <c r="AI4797" t="str">
        <f>"66298948396051"</f>
        <v>66298948396051</v>
      </c>
      <c r="AJ4797" t="str">
        <f>"DM-T-00009"</f>
        <v>DM-T-00009</v>
      </c>
      <c r="AK4797" t="s">
        <v>46</v>
      </c>
      <c r="AL4797" s="1">
        <v>44816.563460648147</v>
      </c>
      <c r="AM4797" t="s">
        <v>44</v>
      </c>
    </row>
    <row r="4798" spans="1:39" x14ac:dyDescent="0.2">
      <c r="A4798" t="s">
        <v>4515</v>
      </c>
      <c r="B4798" t="s">
        <v>40</v>
      </c>
      <c r="C4798" t="s">
        <v>4511</v>
      </c>
      <c r="D4798" t="s">
        <v>42</v>
      </c>
      <c r="E4798" t="s">
        <v>43</v>
      </c>
      <c r="F4798" t="s">
        <v>44</v>
      </c>
      <c r="G4798" t="s">
        <v>45</v>
      </c>
      <c r="AH4798" t="s">
        <v>42</v>
      </c>
      <c r="AI4798" t="str">
        <f>"66298948436103"</f>
        <v>66298948436103</v>
      </c>
      <c r="AJ4798" t="str">
        <f>"61041H2C000H000"</f>
        <v>61041H2C000H000</v>
      </c>
      <c r="AK4798" t="s">
        <v>46</v>
      </c>
      <c r="AL4798" s="1">
        <v>44816.563472222224</v>
      </c>
      <c r="AM4798" t="s">
        <v>44</v>
      </c>
    </row>
    <row r="4799" spans="1:39" x14ac:dyDescent="0.2">
      <c r="A4799" t="s">
        <v>4516</v>
      </c>
      <c r="B4799" t="s">
        <v>40</v>
      </c>
      <c r="C4799" t="s">
        <v>4511</v>
      </c>
      <c r="D4799" t="s">
        <v>42</v>
      </c>
      <c r="E4799" t="s">
        <v>43</v>
      </c>
      <c r="F4799" t="s">
        <v>44</v>
      </c>
      <c r="G4799" t="s">
        <v>45</v>
      </c>
      <c r="AH4799" t="s">
        <v>42</v>
      </c>
      <c r="AI4799" t="str">
        <f>"588032"</f>
        <v>588032</v>
      </c>
      <c r="AJ4799" t="str">
        <f>"588032"</f>
        <v>588032</v>
      </c>
      <c r="AK4799" t="s">
        <v>46</v>
      </c>
      <c r="AL4799" s="1">
        <v>45093.920011574075</v>
      </c>
      <c r="AM4799" t="s">
        <v>44</v>
      </c>
    </row>
    <row r="4800" spans="1:39" x14ac:dyDescent="0.2">
      <c r="A4800" t="s">
        <v>4517</v>
      </c>
      <c r="B4800" t="s">
        <v>40</v>
      </c>
      <c r="C4800" t="s">
        <v>4511</v>
      </c>
      <c r="D4800" t="s">
        <v>42</v>
      </c>
      <c r="E4800" t="s">
        <v>43</v>
      </c>
      <c r="F4800" t="s">
        <v>44</v>
      </c>
      <c r="G4800" t="s">
        <v>45</v>
      </c>
      <c r="AH4800" t="s">
        <v>42</v>
      </c>
      <c r="AI4800" t="str">
        <f>"7843"</f>
        <v>7843</v>
      </c>
      <c r="AJ4800" t="str">
        <f>"7843"</f>
        <v>7843</v>
      </c>
      <c r="AK4800" t="s">
        <v>46</v>
      </c>
      <c r="AL4800" s="1">
        <v>44952.581388888888</v>
      </c>
      <c r="AM4800" t="s">
        <v>44</v>
      </c>
    </row>
    <row r="4801" spans="1:39" x14ac:dyDescent="0.2">
      <c r="A4801" t="s">
        <v>4517</v>
      </c>
      <c r="B4801" t="s">
        <v>40</v>
      </c>
      <c r="C4801" t="s">
        <v>4511</v>
      </c>
      <c r="D4801" t="s">
        <v>42</v>
      </c>
      <c r="E4801" t="s">
        <v>43</v>
      </c>
      <c r="F4801" t="s">
        <v>44</v>
      </c>
      <c r="G4801" t="s">
        <v>45</v>
      </c>
      <c r="AH4801" t="s">
        <v>42</v>
      </c>
      <c r="AI4801" t="str">
        <f>"CF015"</f>
        <v>CF015</v>
      </c>
      <c r="AJ4801" t="str">
        <f>"CF015"</f>
        <v>CF015</v>
      </c>
      <c r="AK4801" t="s">
        <v>46</v>
      </c>
      <c r="AL4801" s="1">
        <v>44978.709664351853</v>
      </c>
      <c r="AM4801" t="s">
        <v>44</v>
      </c>
    </row>
    <row r="4802" spans="1:39" x14ac:dyDescent="0.2">
      <c r="A4802" t="s">
        <v>4518</v>
      </c>
      <c r="B4802" t="s">
        <v>40</v>
      </c>
      <c r="C4802" t="s">
        <v>4511</v>
      </c>
      <c r="D4802" t="s">
        <v>42</v>
      </c>
      <c r="E4802" t="s">
        <v>43</v>
      </c>
      <c r="F4802" t="s">
        <v>44</v>
      </c>
      <c r="G4802" t="s">
        <v>45</v>
      </c>
      <c r="AH4802" t="s">
        <v>42</v>
      </c>
      <c r="AI4802" t="str">
        <f>"66298948529091"</f>
        <v>66298948529091</v>
      </c>
      <c r="AJ4802" t="str">
        <f>"CF007"</f>
        <v>CF007</v>
      </c>
      <c r="AK4802" t="s">
        <v>46</v>
      </c>
      <c r="AL4802" s="1">
        <v>44816.563483796293</v>
      </c>
      <c r="AM4802" t="s">
        <v>44</v>
      </c>
    </row>
    <row r="4803" spans="1:39" x14ac:dyDescent="0.2">
      <c r="A4803" t="s">
        <v>4519</v>
      </c>
      <c r="B4803" t="s">
        <v>40</v>
      </c>
      <c r="C4803" t="s">
        <v>4511</v>
      </c>
      <c r="D4803" t="s">
        <v>42</v>
      </c>
      <c r="E4803" t="s">
        <v>43</v>
      </c>
      <c r="F4803" t="s">
        <v>44</v>
      </c>
      <c r="G4803" t="s">
        <v>45</v>
      </c>
      <c r="AH4803" t="s">
        <v>42</v>
      </c>
      <c r="AI4803" t="str">
        <f>"66298948571197"</f>
        <v>66298948571197</v>
      </c>
      <c r="AJ4803" t="str">
        <f>"CF006"</f>
        <v>CF006</v>
      </c>
      <c r="AK4803" t="s">
        <v>46</v>
      </c>
      <c r="AL4803" s="1">
        <v>44816.563483796293</v>
      </c>
      <c r="AM4803" t="s">
        <v>44</v>
      </c>
    </row>
    <row r="4804" spans="1:39" x14ac:dyDescent="0.2">
      <c r="A4804" t="s">
        <v>4520</v>
      </c>
      <c r="B4804" t="s">
        <v>40</v>
      </c>
      <c r="C4804" t="s">
        <v>4511</v>
      </c>
      <c r="D4804" t="s">
        <v>42</v>
      </c>
      <c r="E4804" t="s">
        <v>43</v>
      </c>
      <c r="F4804" t="s">
        <v>44</v>
      </c>
      <c r="G4804" t="s">
        <v>45</v>
      </c>
      <c r="AH4804" t="s">
        <v>42</v>
      </c>
      <c r="AI4804" t="str">
        <f>"66298948478230"</f>
        <v>66298948478230</v>
      </c>
      <c r="AJ4804" t="str">
        <f>"CF004"</f>
        <v>CF004</v>
      </c>
      <c r="AK4804" t="s">
        <v>46</v>
      </c>
      <c r="AL4804" s="1">
        <v>44816.563472222224</v>
      </c>
      <c r="AM4804" t="s">
        <v>44</v>
      </c>
    </row>
    <row r="4805" spans="1:39" x14ac:dyDescent="0.2">
      <c r="A4805" t="s">
        <v>4521</v>
      </c>
      <c r="B4805" t="s">
        <v>40</v>
      </c>
      <c r="C4805" t="s">
        <v>4511</v>
      </c>
      <c r="D4805" t="s">
        <v>42</v>
      </c>
      <c r="E4805" t="s">
        <v>43</v>
      </c>
      <c r="F4805" t="s">
        <v>44</v>
      </c>
      <c r="G4805" t="s">
        <v>45</v>
      </c>
      <c r="AH4805" t="s">
        <v>42</v>
      </c>
      <c r="AI4805" t="str">
        <f>"66298948608607"</f>
        <v>66298948608607</v>
      </c>
      <c r="AJ4805" t="str">
        <f>"CF011"</f>
        <v>CF011</v>
      </c>
      <c r="AK4805" t="s">
        <v>46</v>
      </c>
      <c r="AL4805" s="1">
        <v>44816.56349537037</v>
      </c>
      <c r="AM4805" t="s">
        <v>44</v>
      </c>
    </row>
    <row r="4806" spans="1:39" x14ac:dyDescent="0.2">
      <c r="A4806" t="s">
        <v>4522</v>
      </c>
      <c r="B4806" t="s">
        <v>40</v>
      </c>
      <c r="C4806" t="s">
        <v>4511</v>
      </c>
      <c r="D4806" t="s">
        <v>42</v>
      </c>
      <c r="E4806" t="s">
        <v>43</v>
      </c>
      <c r="F4806" t="s">
        <v>44</v>
      </c>
      <c r="G4806" t="s">
        <v>45</v>
      </c>
      <c r="AH4806" t="s">
        <v>42</v>
      </c>
      <c r="AI4806" t="str">
        <f>"66298948651238"</f>
        <v>66298948651238</v>
      </c>
      <c r="AJ4806" t="str">
        <f>"CF008"</f>
        <v>CF008</v>
      </c>
      <c r="AK4806" t="s">
        <v>46</v>
      </c>
      <c r="AL4806" s="1">
        <v>44816.56349537037</v>
      </c>
      <c r="AM4806" t="s">
        <v>44</v>
      </c>
    </row>
    <row r="4807" spans="1:39" x14ac:dyDescent="0.2">
      <c r="A4807" t="s">
        <v>4523</v>
      </c>
      <c r="B4807" t="s">
        <v>40</v>
      </c>
      <c r="C4807" t="s">
        <v>4511</v>
      </c>
      <c r="D4807" t="s">
        <v>42</v>
      </c>
      <c r="E4807" t="s">
        <v>43</v>
      </c>
      <c r="F4807" t="s">
        <v>44</v>
      </c>
      <c r="G4807" t="s">
        <v>45</v>
      </c>
      <c r="AH4807" t="s">
        <v>42</v>
      </c>
      <c r="AI4807" t="str">
        <f>"CF002"</f>
        <v>CF002</v>
      </c>
      <c r="AJ4807" t="str">
        <f>"CF002"</f>
        <v>CF002</v>
      </c>
      <c r="AK4807" t="s">
        <v>46</v>
      </c>
      <c r="AL4807" s="1">
        <v>44816.56349537037</v>
      </c>
      <c r="AM4807" t="s">
        <v>44</v>
      </c>
    </row>
    <row r="4808" spans="1:39" x14ac:dyDescent="0.2">
      <c r="A4808" t="s">
        <v>4524</v>
      </c>
      <c r="B4808" t="s">
        <v>40</v>
      </c>
      <c r="C4808" t="s">
        <v>4511</v>
      </c>
      <c r="D4808" t="s">
        <v>42</v>
      </c>
      <c r="E4808" t="s">
        <v>43</v>
      </c>
      <c r="F4808" t="s">
        <v>44</v>
      </c>
      <c r="G4808" t="s">
        <v>45</v>
      </c>
      <c r="AH4808" t="s">
        <v>42</v>
      </c>
      <c r="AI4808" t="str">
        <f>"66298948729608"</f>
        <v>66298948729608</v>
      </c>
      <c r="AJ4808" t="str">
        <f>"CF017"</f>
        <v>CF017</v>
      </c>
      <c r="AK4808" t="s">
        <v>46</v>
      </c>
      <c r="AL4808" s="1">
        <v>44816.563506944447</v>
      </c>
      <c r="AM4808" t="s">
        <v>44</v>
      </c>
    </row>
    <row r="4809" spans="1:39" x14ac:dyDescent="0.2">
      <c r="A4809" t="s">
        <v>4525</v>
      </c>
      <c r="B4809" t="s">
        <v>40</v>
      </c>
      <c r="C4809" t="s">
        <v>4511</v>
      </c>
      <c r="D4809" t="s">
        <v>42</v>
      </c>
      <c r="E4809" t="s">
        <v>43</v>
      </c>
      <c r="F4809" t="s">
        <v>44</v>
      </c>
      <c r="G4809" t="s">
        <v>45</v>
      </c>
      <c r="AH4809" t="s">
        <v>42</v>
      </c>
      <c r="AI4809" t="str">
        <f>"66298948769800"</f>
        <v>66298948769800</v>
      </c>
      <c r="AJ4809" t="str">
        <f>"CF001"</f>
        <v>CF001</v>
      </c>
      <c r="AK4809" t="s">
        <v>46</v>
      </c>
      <c r="AL4809" s="1">
        <v>44816.563506944447</v>
      </c>
      <c r="AM4809" t="s">
        <v>44</v>
      </c>
    </row>
    <row r="4810" spans="1:39" x14ac:dyDescent="0.2">
      <c r="A4810" t="s">
        <v>4526</v>
      </c>
      <c r="B4810" t="s">
        <v>40</v>
      </c>
      <c r="C4810" t="s">
        <v>4511</v>
      </c>
      <c r="D4810" t="s">
        <v>42</v>
      </c>
      <c r="E4810" t="s">
        <v>43</v>
      </c>
      <c r="F4810" t="s">
        <v>44</v>
      </c>
      <c r="G4810" t="s">
        <v>45</v>
      </c>
      <c r="AH4810" t="s">
        <v>42</v>
      </c>
      <c r="AI4810" t="str">
        <f>"66298948807923"</f>
        <v>66298948807923</v>
      </c>
      <c r="AJ4810" t="str">
        <f>"CF012"</f>
        <v>CF012</v>
      </c>
      <c r="AK4810" t="s">
        <v>46</v>
      </c>
      <c r="AL4810" s="1">
        <v>44816.563518518517</v>
      </c>
      <c r="AM4810" t="s">
        <v>44</v>
      </c>
    </row>
    <row r="4811" spans="1:39" x14ac:dyDescent="0.2">
      <c r="A4811" t="s">
        <v>4527</v>
      </c>
      <c r="B4811" t="s">
        <v>40</v>
      </c>
      <c r="C4811" t="s">
        <v>4511</v>
      </c>
      <c r="D4811" t="s">
        <v>42</v>
      </c>
      <c r="E4811" t="s">
        <v>43</v>
      </c>
      <c r="F4811" t="s">
        <v>44</v>
      </c>
      <c r="G4811" t="s">
        <v>45</v>
      </c>
      <c r="AH4811" t="s">
        <v>42</v>
      </c>
      <c r="AI4811" t="str">
        <f>"66298948847013"</f>
        <v>66298948847013</v>
      </c>
      <c r="AJ4811" t="str">
        <f>"CF005"</f>
        <v>CF005</v>
      </c>
      <c r="AK4811" t="s">
        <v>46</v>
      </c>
      <c r="AL4811" s="1">
        <v>44816.563518518517</v>
      </c>
      <c r="AM4811" t="s">
        <v>44</v>
      </c>
    </row>
    <row r="4812" spans="1:39" x14ac:dyDescent="0.2">
      <c r="A4812" t="s">
        <v>4528</v>
      </c>
      <c r="B4812" t="s">
        <v>40</v>
      </c>
      <c r="C4812" t="s">
        <v>4511</v>
      </c>
      <c r="D4812" t="s">
        <v>42</v>
      </c>
      <c r="E4812" t="s">
        <v>43</v>
      </c>
      <c r="F4812" t="s">
        <v>44</v>
      </c>
      <c r="G4812" t="s">
        <v>45</v>
      </c>
      <c r="AH4812" t="s">
        <v>42</v>
      </c>
      <c r="AI4812" t="str">
        <f>"66298948888115"</f>
        <v>66298948888115</v>
      </c>
      <c r="AJ4812" t="str">
        <f>"TC-WY"</f>
        <v>TC-WY</v>
      </c>
      <c r="AK4812" t="s">
        <v>46</v>
      </c>
      <c r="AL4812" s="1">
        <v>44816.563518518517</v>
      </c>
      <c r="AM4812" t="s">
        <v>44</v>
      </c>
    </row>
    <row r="4813" spans="1:39" x14ac:dyDescent="0.2">
      <c r="A4813" t="s">
        <v>4529</v>
      </c>
      <c r="B4813" t="s">
        <v>40</v>
      </c>
      <c r="C4813" t="s">
        <v>129</v>
      </c>
      <c r="D4813" t="s">
        <v>42</v>
      </c>
      <c r="E4813" t="s">
        <v>43</v>
      </c>
      <c r="F4813" t="s">
        <v>44</v>
      </c>
      <c r="G4813" t="s">
        <v>45</v>
      </c>
      <c r="AH4813" t="s">
        <v>42</v>
      </c>
      <c r="AI4813" t="str">
        <f>"66298948929867"</f>
        <v>66298948929867</v>
      </c>
      <c r="AJ4813" t="str">
        <f>"QBA001"</f>
        <v>QBA001</v>
      </c>
      <c r="AK4813" t="s">
        <v>46</v>
      </c>
      <c r="AL4813" s="1">
        <v>44816.563530092593</v>
      </c>
      <c r="AM4813" t="s">
        <v>44</v>
      </c>
    </row>
    <row r="4814" spans="1:39" x14ac:dyDescent="0.2">
      <c r="A4814" t="s">
        <v>4530</v>
      </c>
      <c r="B4814" t="s">
        <v>40</v>
      </c>
      <c r="C4814" t="s">
        <v>129</v>
      </c>
      <c r="D4814" t="s">
        <v>42</v>
      </c>
      <c r="E4814" t="s">
        <v>43</v>
      </c>
      <c r="F4814" t="s">
        <v>44</v>
      </c>
      <c r="G4814" t="s">
        <v>45</v>
      </c>
      <c r="AH4814" t="s">
        <v>42</v>
      </c>
      <c r="AI4814" t="str">
        <f>"66298948971427"</f>
        <v>66298948971427</v>
      </c>
      <c r="AJ4814" t="str">
        <f>"ZZC004"</f>
        <v>ZZC004</v>
      </c>
      <c r="AK4814" t="s">
        <v>46</v>
      </c>
      <c r="AL4814" s="1">
        <v>44816.563530092593</v>
      </c>
      <c r="AM4814" t="s">
        <v>44</v>
      </c>
    </row>
    <row r="4815" spans="1:39" x14ac:dyDescent="0.2">
      <c r="A4815" t="s">
        <v>4531</v>
      </c>
      <c r="B4815" t="s">
        <v>40</v>
      </c>
      <c r="C4815" t="s">
        <v>129</v>
      </c>
      <c r="D4815" t="s">
        <v>42</v>
      </c>
      <c r="E4815" t="s">
        <v>43</v>
      </c>
      <c r="F4815" t="s">
        <v>44</v>
      </c>
      <c r="G4815" t="s">
        <v>45</v>
      </c>
      <c r="AH4815" t="s">
        <v>42</v>
      </c>
      <c r="AI4815" t="str">
        <f>"66298949014318"</f>
        <v>66298949014318</v>
      </c>
      <c r="AJ4815" t="str">
        <f>"ZZC003"</f>
        <v>ZZC003</v>
      </c>
      <c r="AK4815" t="s">
        <v>46</v>
      </c>
      <c r="AL4815" s="1">
        <v>44816.56354166667</v>
      </c>
      <c r="AM4815" t="s">
        <v>44</v>
      </c>
    </row>
    <row r="4816" spans="1:39" x14ac:dyDescent="0.2">
      <c r="A4816" t="s">
        <v>4532</v>
      </c>
      <c r="B4816" t="s">
        <v>40</v>
      </c>
      <c r="C4816" t="s">
        <v>129</v>
      </c>
      <c r="D4816" t="s">
        <v>42</v>
      </c>
      <c r="E4816" t="s">
        <v>43</v>
      </c>
      <c r="F4816" t="s">
        <v>44</v>
      </c>
      <c r="G4816" t="s">
        <v>45</v>
      </c>
      <c r="AH4816" t="s">
        <v>42</v>
      </c>
      <c r="AI4816" t="str">
        <f>"66298949051614"</f>
        <v>66298949051614</v>
      </c>
      <c r="AJ4816" t="str">
        <f>"WJ013"</f>
        <v>WJ013</v>
      </c>
      <c r="AK4816" t="s">
        <v>46</v>
      </c>
      <c r="AL4816" s="1">
        <v>44816.56354166667</v>
      </c>
      <c r="AM4816" t="s">
        <v>44</v>
      </c>
    </row>
    <row r="4817" spans="1:39" x14ac:dyDescent="0.2">
      <c r="A4817" t="s">
        <v>4533</v>
      </c>
      <c r="B4817" t="s">
        <v>40</v>
      </c>
      <c r="C4817" t="s">
        <v>129</v>
      </c>
      <c r="D4817" t="s">
        <v>42</v>
      </c>
      <c r="E4817" t="s">
        <v>43</v>
      </c>
      <c r="F4817" t="s">
        <v>44</v>
      </c>
      <c r="G4817" t="s">
        <v>45</v>
      </c>
      <c r="AH4817" t="s">
        <v>42</v>
      </c>
      <c r="AI4817" t="str">
        <f>"66298949089756"</f>
        <v>66298949089756</v>
      </c>
      <c r="AJ4817" t="str">
        <f>"WJ015"</f>
        <v>WJ015</v>
      </c>
      <c r="AK4817" t="s">
        <v>46</v>
      </c>
      <c r="AL4817" s="1">
        <v>44816.56354166667</v>
      </c>
      <c r="AM4817" t="s">
        <v>44</v>
      </c>
    </row>
    <row r="4818" spans="1:39" x14ac:dyDescent="0.2">
      <c r="A4818" t="s">
        <v>4534</v>
      </c>
      <c r="B4818" t="s">
        <v>40</v>
      </c>
      <c r="C4818" t="s">
        <v>129</v>
      </c>
      <c r="D4818" t="s">
        <v>42</v>
      </c>
      <c r="E4818" t="s">
        <v>43</v>
      </c>
      <c r="F4818" t="s">
        <v>44</v>
      </c>
      <c r="G4818" t="s">
        <v>45</v>
      </c>
      <c r="AH4818" t="s">
        <v>42</v>
      </c>
      <c r="AI4818" t="str">
        <f>"66298949128800"</f>
        <v>66298949128800</v>
      </c>
      <c r="AJ4818" t="str">
        <f>"HK-Y-101H"</f>
        <v>HK-Y-101H</v>
      </c>
      <c r="AK4818" t="s">
        <v>46</v>
      </c>
      <c r="AL4818" s="1">
        <v>44816.56355324074</v>
      </c>
      <c r="AM4818" t="s">
        <v>44</v>
      </c>
    </row>
    <row r="4819" spans="1:39" x14ac:dyDescent="0.2">
      <c r="A4819" t="s">
        <v>4535</v>
      </c>
      <c r="B4819" t="s">
        <v>40</v>
      </c>
      <c r="C4819" t="s">
        <v>4536</v>
      </c>
      <c r="D4819" t="s">
        <v>42</v>
      </c>
      <c r="E4819" t="s">
        <v>43</v>
      </c>
      <c r="F4819" t="s">
        <v>44</v>
      </c>
      <c r="G4819" t="s">
        <v>45</v>
      </c>
      <c r="AH4819" t="s">
        <v>42</v>
      </c>
      <c r="AI4819" t="str">
        <f>"66298949171937"</f>
        <v>66298949171937</v>
      </c>
      <c r="AJ4819" t="str">
        <f>"Y078-ROJO"</f>
        <v>Y078-ROJO</v>
      </c>
      <c r="AK4819" t="s">
        <v>46</v>
      </c>
      <c r="AL4819" s="1">
        <v>44816.56355324074</v>
      </c>
      <c r="AM4819" t="s">
        <v>44</v>
      </c>
    </row>
    <row r="4820" spans="1:39" x14ac:dyDescent="0.2">
      <c r="A4820" t="s">
        <v>4537</v>
      </c>
      <c r="B4820" t="s">
        <v>40</v>
      </c>
      <c r="C4820" t="s">
        <v>4536</v>
      </c>
      <c r="D4820" t="s">
        <v>42</v>
      </c>
      <c r="E4820" t="s">
        <v>43</v>
      </c>
      <c r="F4820" t="s">
        <v>44</v>
      </c>
      <c r="G4820" t="s">
        <v>45</v>
      </c>
      <c r="H4820" t="s">
        <v>1114</v>
      </c>
      <c r="AH4820" t="s">
        <v>42</v>
      </c>
      <c r="AI4820" t="str">
        <f>"Y011-AZUL"</f>
        <v>Y011-AZUL</v>
      </c>
      <c r="AJ4820" t="str">
        <f>"Y011-AZUL"</f>
        <v>Y011-AZUL</v>
      </c>
      <c r="AK4820" t="s">
        <v>46</v>
      </c>
      <c r="AL4820" s="1">
        <v>44816.563564814816</v>
      </c>
      <c r="AM4820" t="s">
        <v>44</v>
      </c>
    </row>
    <row r="4821" spans="1:39" x14ac:dyDescent="0.2">
      <c r="A4821" t="s">
        <v>4537</v>
      </c>
      <c r="B4821" t="s">
        <v>40</v>
      </c>
      <c r="C4821" t="s">
        <v>4536</v>
      </c>
      <c r="D4821" t="s">
        <v>42</v>
      </c>
      <c r="E4821" t="s">
        <v>43</v>
      </c>
      <c r="F4821" t="s">
        <v>44</v>
      </c>
      <c r="G4821" t="s">
        <v>45</v>
      </c>
      <c r="H4821" t="s">
        <v>2037</v>
      </c>
      <c r="AH4821" t="s">
        <v>42</v>
      </c>
      <c r="AI4821" t="str">
        <f>"Y011-NEGRO"</f>
        <v>Y011-NEGRO</v>
      </c>
      <c r="AJ4821" t="str">
        <f>"Y011-NEGRO"</f>
        <v>Y011-NEGRO</v>
      </c>
      <c r="AK4821" t="s">
        <v>46</v>
      </c>
      <c r="AL4821" s="1">
        <v>44816.563564814816</v>
      </c>
      <c r="AM4821" t="s">
        <v>44</v>
      </c>
    </row>
    <row r="4822" spans="1:39" x14ac:dyDescent="0.2">
      <c r="A4822" t="s">
        <v>4537</v>
      </c>
      <c r="B4822" t="s">
        <v>40</v>
      </c>
      <c r="C4822" t="s">
        <v>4536</v>
      </c>
      <c r="D4822" t="s">
        <v>42</v>
      </c>
      <c r="E4822" t="s">
        <v>43</v>
      </c>
      <c r="F4822" t="s">
        <v>44</v>
      </c>
      <c r="G4822" t="s">
        <v>45</v>
      </c>
      <c r="H4822" t="s">
        <v>1123</v>
      </c>
      <c r="AH4822" t="s">
        <v>42</v>
      </c>
      <c r="AI4822" t="str">
        <f>"Y011-ROJO"</f>
        <v>Y011-ROJO</v>
      </c>
      <c r="AJ4822" t="str">
        <f>"Y011-ROJO"</f>
        <v>Y011-ROJO</v>
      </c>
      <c r="AK4822" t="s">
        <v>46</v>
      </c>
      <c r="AL4822" s="1">
        <v>44816.563715277778</v>
      </c>
      <c r="AM4822" t="s">
        <v>44</v>
      </c>
    </row>
    <row r="4823" spans="1:39" x14ac:dyDescent="0.2">
      <c r="A4823" t="s">
        <v>4538</v>
      </c>
      <c r="B4823" t="s">
        <v>40</v>
      </c>
      <c r="C4823" t="s">
        <v>4536</v>
      </c>
      <c r="D4823" t="s">
        <v>42</v>
      </c>
      <c r="E4823" t="s">
        <v>43</v>
      </c>
      <c r="F4823" t="s">
        <v>44</v>
      </c>
      <c r="G4823" t="s">
        <v>45</v>
      </c>
      <c r="AH4823" t="s">
        <v>42</v>
      </c>
      <c r="AI4823" t="str">
        <f>"66298950566649"</f>
        <v>66298950566649</v>
      </c>
      <c r="AJ4823" t="str">
        <f>"Y069-A"</f>
        <v>Y069-A</v>
      </c>
      <c r="AK4823" t="s">
        <v>46</v>
      </c>
      <c r="AL4823" s="1">
        <v>44816.563715277778</v>
      </c>
      <c r="AM4823" t="s">
        <v>44</v>
      </c>
    </row>
    <row r="4824" spans="1:39" x14ac:dyDescent="0.2">
      <c r="A4824" t="s">
        <v>4539</v>
      </c>
      <c r="B4824" t="s">
        <v>40</v>
      </c>
      <c r="C4824" t="s">
        <v>129</v>
      </c>
      <c r="D4824" t="s">
        <v>42</v>
      </c>
      <c r="E4824" t="s">
        <v>43</v>
      </c>
      <c r="F4824" t="s">
        <v>44</v>
      </c>
      <c r="G4824" t="s">
        <v>45</v>
      </c>
      <c r="AH4824" t="s">
        <v>42</v>
      </c>
      <c r="AI4824" t="str">
        <f>"31359"</f>
        <v>31359</v>
      </c>
      <c r="AJ4824" t="str">
        <f>"31359"</f>
        <v>31359</v>
      </c>
      <c r="AK4824" t="s">
        <v>46</v>
      </c>
      <c r="AL4824" s="1">
        <v>44935.666307870371</v>
      </c>
      <c r="AM4824" t="s">
        <v>44</v>
      </c>
    </row>
    <row r="4825" spans="1:39" x14ac:dyDescent="0.2">
      <c r="A4825" t="s">
        <v>4540</v>
      </c>
      <c r="B4825" t="s">
        <v>40</v>
      </c>
      <c r="C4825" t="s">
        <v>129</v>
      </c>
      <c r="D4825" t="s">
        <v>42</v>
      </c>
      <c r="E4825" t="s">
        <v>43</v>
      </c>
      <c r="F4825" t="s">
        <v>44</v>
      </c>
      <c r="G4825" t="s">
        <v>45</v>
      </c>
      <c r="AH4825" t="s">
        <v>42</v>
      </c>
      <c r="AI4825" t="str">
        <f>"31360"</f>
        <v>31360</v>
      </c>
      <c r="AJ4825" t="str">
        <f>"31360"</f>
        <v>31360</v>
      </c>
      <c r="AK4825" t="s">
        <v>46</v>
      </c>
      <c r="AL4825" s="1">
        <v>44935.667939814812</v>
      </c>
      <c r="AM4825" t="s">
        <v>44</v>
      </c>
    </row>
    <row r="4826" spans="1:39" x14ac:dyDescent="0.2">
      <c r="A4826" t="s">
        <v>4541</v>
      </c>
      <c r="B4826" t="s">
        <v>40</v>
      </c>
      <c r="C4826" t="s">
        <v>50</v>
      </c>
      <c r="D4826" t="s">
        <v>42</v>
      </c>
      <c r="E4826" t="s">
        <v>43</v>
      </c>
      <c r="F4826" t="s">
        <v>44</v>
      </c>
      <c r="G4826" t="s">
        <v>45</v>
      </c>
      <c r="AH4826" t="s">
        <v>42</v>
      </c>
      <c r="AI4826" t="str">
        <f>"66298950607315"</f>
        <v>66298950607315</v>
      </c>
      <c r="AJ4826" t="str">
        <f>"JC003-AMARILLO"</f>
        <v>JC003-AMARILLO</v>
      </c>
      <c r="AK4826" t="s">
        <v>46</v>
      </c>
      <c r="AL4826" s="1">
        <v>44816.563726851855</v>
      </c>
      <c r="AM4826" t="s">
        <v>44</v>
      </c>
    </row>
    <row r="4827" spans="1:39" x14ac:dyDescent="0.2">
      <c r="A4827" t="s">
        <v>4542</v>
      </c>
      <c r="B4827" t="s">
        <v>40</v>
      </c>
      <c r="C4827" t="s">
        <v>50</v>
      </c>
      <c r="D4827" t="s">
        <v>42</v>
      </c>
      <c r="E4827" t="s">
        <v>43</v>
      </c>
      <c r="F4827" t="s">
        <v>44</v>
      </c>
      <c r="G4827" t="s">
        <v>45</v>
      </c>
      <c r="AH4827" t="s">
        <v>42</v>
      </c>
      <c r="AI4827" t="str">
        <f>"66298950649523"</f>
        <v>66298950649523</v>
      </c>
      <c r="AJ4827" t="str">
        <f>"JC003-AZUL"</f>
        <v>JC003-AZUL</v>
      </c>
      <c r="AK4827" t="s">
        <v>46</v>
      </c>
      <c r="AL4827" s="1">
        <v>44816.563726851855</v>
      </c>
      <c r="AM4827" t="s">
        <v>44</v>
      </c>
    </row>
    <row r="4828" spans="1:39" x14ac:dyDescent="0.2">
      <c r="A4828" t="s">
        <v>4542</v>
      </c>
      <c r="B4828" t="s">
        <v>40</v>
      </c>
      <c r="C4828" t="s">
        <v>50</v>
      </c>
      <c r="D4828" t="s">
        <v>42</v>
      </c>
      <c r="E4828" t="s">
        <v>43</v>
      </c>
      <c r="F4828" t="s">
        <v>44</v>
      </c>
      <c r="G4828" t="s">
        <v>45</v>
      </c>
      <c r="H4828" t="s">
        <v>1114</v>
      </c>
      <c r="AH4828" t="s">
        <v>42</v>
      </c>
      <c r="AI4828" t="str">
        <f>"JC002-2-AZUL"</f>
        <v>JC002-2-AZUL</v>
      </c>
      <c r="AJ4828" t="str">
        <f>"JC002-2-AZUL"</f>
        <v>JC002-2-AZUL</v>
      </c>
      <c r="AK4828" t="s">
        <v>46</v>
      </c>
      <c r="AL4828" s="1">
        <v>45001.659432870372</v>
      </c>
      <c r="AM4828" t="s">
        <v>44</v>
      </c>
    </row>
    <row r="4829" spans="1:39" x14ac:dyDescent="0.2">
      <c r="A4829" t="s">
        <v>4543</v>
      </c>
      <c r="B4829" t="s">
        <v>40</v>
      </c>
      <c r="C4829" t="s">
        <v>50</v>
      </c>
      <c r="D4829" t="s">
        <v>42</v>
      </c>
      <c r="E4829" t="s">
        <v>43</v>
      </c>
      <c r="F4829" t="s">
        <v>44</v>
      </c>
      <c r="G4829" t="s">
        <v>45</v>
      </c>
      <c r="AH4829" t="s">
        <v>42</v>
      </c>
      <c r="AI4829" t="str">
        <f>"66298950692409"</f>
        <v>66298950692409</v>
      </c>
      <c r="AJ4829" t="str">
        <f>"JC003-BLANCO"</f>
        <v>JC003-BLANCO</v>
      </c>
      <c r="AK4829" t="s">
        <v>46</v>
      </c>
      <c r="AL4829" s="1">
        <v>44816.563726851855</v>
      </c>
      <c r="AM4829" t="s">
        <v>44</v>
      </c>
    </row>
    <row r="4830" spans="1:39" x14ac:dyDescent="0.2">
      <c r="A4830" t="s">
        <v>4544</v>
      </c>
      <c r="B4830" t="s">
        <v>40</v>
      </c>
      <c r="C4830" t="s">
        <v>50</v>
      </c>
      <c r="D4830" t="s">
        <v>42</v>
      </c>
      <c r="E4830" t="s">
        <v>43</v>
      </c>
      <c r="F4830" t="s">
        <v>44</v>
      </c>
      <c r="G4830" t="s">
        <v>45</v>
      </c>
      <c r="AH4830" t="s">
        <v>42</v>
      </c>
      <c r="AI4830" t="str">
        <f>"66298950733176"</f>
        <v>66298950733176</v>
      </c>
      <c r="AJ4830" t="str">
        <f>"JC003-NARANJA"</f>
        <v>JC003-NARANJA</v>
      </c>
      <c r="AK4830" t="s">
        <v>46</v>
      </c>
      <c r="AL4830" s="1">
        <v>44816.563738425924</v>
      </c>
      <c r="AM4830" t="s">
        <v>44</v>
      </c>
    </row>
    <row r="4831" spans="1:39" x14ac:dyDescent="0.2">
      <c r="A4831" t="s">
        <v>4545</v>
      </c>
      <c r="B4831" t="s">
        <v>40</v>
      </c>
      <c r="C4831" t="s">
        <v>50</v>
      </c>
      <c r="D4831" t="s">
        <v>42</v>
      </c>
      <c r="E4831" t="s">
        <v>43</v>
      </c>
      <c r="F4831" t="s">
        <v>44</v>
      </c>
      <c r="G4831" t="s">
        <v>45</v>
      </c>
      <c r="AH4831" t="s">
        <v>42</v>
      </c>
      <c r="AI4831" t="str">
        <f>"66298950778651"</f>
        <v>66298950778651</v>
      </c>
      <c r="AJ4831" t="str">
        <f>"JC008-B-NEGRO"</f>
        <v>JC008-B-NEGRO</v>
      </c>
      <c r="AK4831" t="s">
        <v>46</v>
      </c>
      <c r="AL4831" s="1">
        <v>44816.563738425924</v>
      </c>
      <c r="AM4831" t="s">
        <v>44</v>
      </c>
    </row>
    <row r="4832" spans="1:39" x14ac:dyDescent="0.2">
      <c r="A4832" t="s">
        <v>4545</v>
      </c>
      <c r="B4832" t="s">
        <v>40</v>
      </c>
      <c r="C4832" t="s">
        <v>50</v>
      </c>
      <c r="D4832" t="s">
        <v>42</v>
      </c>
      <c r="E4832" t="s">
        <v>43</v>
      </c>
      <c r="F4832" t="s">
        <v>44</v>
      </c>
      <c r="G4832" t="s">
        <v>45</v>
      </c>
      <c r="AH4832" t="s">
        <v>42</v>
      </c>
      <c r="AI4832" t="str">
        <f>"66298950829683"</f>
        <v>66298950829683</v>
      </c>
      <c r="AJ4832" t="str">
        <f>"JC003-NEGRO"</f>
        <v>JC003-NEGRO</v>
      </c>
      <c r="AK4832" t="s">
        <v>46</v>
      </c>
      <c r="AL4832" s="1">
        <v>44816.563750000001</v>
      </c>
      <c r="AM4832" t="s">
        <v>44</v>
      </c>
    </row>
    <row r="4833" spans="1:39" x14ac:dyDescent="0.2">
      <c r="A4833" t="s">
        <v>4545</v>
      </c>
      <c r="B4833" t="s">
        <v>40</v>
      </c>
      <c r="C4833" t="s">
        <v>50</v>
      </c>
      <c r="D4833" t="s">
        <v>42</v>
      </c>
      <c r="E4833" t="s">
        <v>43</v>
      </c>
      <c r="F4833" t="s">
        <v>44</v>
      </c>
      <c r="G4833" t="s">
        <v>45</v>
      </c>
      <c r="H4833" t="s">
        <v>2037</v>
      </c>
      <c r="AH4833" t="s">
        <v>42</v>
      </c>
      <c r="AI4833" t="str">
        <f>"122198-NEGRO"</f>
        <v>122198-NEGRO</v>
      </c>
      <c r="AJ4833" t="str">
        <f>"122198-NEGRO"</f>
        <v>122198-NEGRO</v>
      </c>
      <c r="AK4833" t="s">
        <v>46</v>
      </c>
      <c r="AL4833" s="1">
        <v>45134.704328703701</v>
      </c>
      <c r="AM4833" t="s">
        <v>44</v>
      </c>
    </row>
    <row r="4834" spans="1:39" x14ac:dyDescent="0.2">
      <c r="A4834" t="s">
        <v>4546</v>
      </c>
      <c r="B4834" t="s">
        <v>40</v>
      </c>
      <c r="C4834" t="s">
        <v>50</v>
      </c>
      <c r="D4834" t="s">
        <v>42</v>
      </c>
      <c r="E4834" t="s">
        <v>43</v>
      </c>
      <c r="F4834" t="s">
        <v>44</v>
      </c>
      <c r="G4834" t="s">
        <v>45</v>
      </c>
      <c r="H4834" t="s">
        <v>1114</v>
      </c>
      <c r="AH4834" t="s">
        <v>42</v>
      </c>
      <c r="AI4834" t="str">
        <f>"0690-AZUL"</f>
        <v>0690-AZUL</v>
      </c>
      <c r="AJ4834" t="str">
        <f>"0690-AZUL"</f>
        <v>0690-AZUL</v>
      </c>
      <c r="AK4834" t="s">
        <v>46</v>
      </c>
      <c r="AL4834" s="1">
        <v>44996.704282407409</v>
      </c>
      <c r="AM4834" t="s">
        <v>44</v>
      </c>
    </row>
    <row r="4835" spans="1:39" x14ac:dyDescent="0.2">
      <c r="A4835" t="s">
        <v>4546</v>
      </c>
      <c r="B4835" t="s">
        <v>40</v>
      </c>
      <c r="C4835" t="s">
        <v>50</v>
      </c>
      <c r="D4835" t="s">
        <v>42</v>
      </c>
      <c r="E4835" t="s">
        <v>43</v>
      </c>
      <c r="F4835" t="s">
        <v>44</v>
      </c>
      <c r="G4835" t="s">
        <v>45</v>
      </c>
      <c r="H4835" t="s">
        <v>2340</v>
      </c>
      <c r="AH4835" t="s">
        <v>42</v>
      </c>
      <c r="AI4835" t="str">
        <f>"0690-DORADO"</f>
        <v>0690-DORADO</v>
      </c>
      <c r="AJ4835" t="str">
        <f>"0690-DORADO"</f>
        <v>0690-DORADO</v>
      </c>
      <c r="AK4835" t="s">
        <v>46</v>
      </c>
      <c r="AL4835" s="1">
        <v>44996.704687500001</v>
      </c>
      <c r="AM4835" t="s">
        <v>44</v>
      </c>
    </row>
    <row r="4836" spans="1:39" x14ac:dyDescent="0.2">
      <c r="A4836" t="s">
        <v>4546</v>
      </c>
      <c r="B4836" t="s">
        <v>40</v>
      </c>
      <c r="C4836" t="s">
        <v>50</v>
      </c>
      <c r="D4836" t="s">
        <v>42</v>
      </c>
      <c r="E4836" t="s">
        <v>43</v>
      </c>
      <c r="F4836" t="s">
        <v>44</v>
      </c>
      <c r="G4836" t="s">
        <v>45</v>
      </c>
      <c r="H4836" t="s">
        <v>4547</v>
      </c>
      <c r="AH4836" t="s">
        <v>42</v>
      </c>
      <c r="AI4836" t="str">
        <f>"0690-MORADO"</f>
        <v>0690-MORADO</v>
      </c>
      <c r="AJ4836" t="str">
        <f>"0690-MORADO"</f>
        <v>0690-MORADO</v>
      </c>
      <c r="AK4836" t="s">
        <v>46</v>
      </c>
      <c r="AL4836" s="1">
        <v>44996.704884259256</v>
      </c>
      <c r="AM4836" t="s">
        <v>44</v>
      </c>
    </row>
    <row r="4837" spans="1:39" x14ac:dyDescent="0.2">
      <c r="A4837" t="s">
        <v>4546</v>
      </c>
      <c r="B4837" t="s">
        <v>40</v>
      </c>
      <c r="C4837" t="s">
        <v>50</v>
      </c>
      <c r="D4837" t="s">
        <v>42</v>
      </c>
      <c r="E4837" t="s">
        <v>43</v>
      </c>
      <c r="F4837" t="s">
        <v>44</v>
      </c>
      <c r="G4837" t="s">
        <v>45</v>
      </c>
      <c r="H4837" t="s">
        <v>2037</v>
      </c>
      <c r="AH4837" t="s">
        <v>42</v>
      </c>
      <c r="AI4837" t="str">
        <f>"0690-NEGRO"</f>
        <v>0690-NEGRO</v>
      </c>
      <c r="AJ4837" t="str">
        <f>"0690-NEGRO"</f>
        <v>0690-NEGRO</v>
      </c>
      <c r="AK4837" t="s">
        <v>46</v>
      </c>
      <c r="AL4837" s="1">
        <v>44996.70449074074</v>
      </c>
      <c r="AM4837" t="s">
        <v>44</v>
      </c>
    </row>
    <row r="4838" spans="1:39" x14ac:dyDescent="0.2">
      <c r="A4838" t="s">
        <v>4546</v>
      </c>
      <c r="B4838" t="s">
        <v>40</v>
      </c>
      <c r="C4838" t="s">
        <v>50</v>
      </c>
      <c r="D4838" t="s">
        <v>42</v>
      </c>
      <c r="E4838" t="s">
        <v>43</v>
      </c>
      <c r="F4838" t="s">
        <v>44</v>
      </c>
      <c r="G4838" t="s">
        <v>45</v>
      </c>
      <c r="H4838" t="s">
        <v>2037</v>
      </c>
      <c r="AH4838" t="s">
        <v>42</v>
      </c>
      <c r="AI4838" t="str">
        <f>"126268-NEGRO"</f>
        <v>126268-NEGRO</v>
      </c>
      <c r="AJ4838" t="str">
        <f>"126268-NEGRO"</f>
        <v>126268-NEGRO</v>
      </c>
      <c r="AK4838" t="s">
        <v>46</v>
      </c>
      <c r="AL4838" s="1">
        <v>45134.706064814818</v>
      </c>
      <c r="AM4838" t="s">
        <v>44</v>
      </c>
    </row>
    <row r="4839" spans="1:39" x14ac:dyDescent="0.2">
      <c r="A4839" t="s">
        <v>4546</v>
      </c>
      <c r="B4839" t="s">
        <v>40</v>
      </c>
      <c r="C4839" t="s">
        <v>50</v>
      </c>
      <c r="D4839" t="s">
        <v>42</v>
      </c>
      <c r="E4839" t="s">
        <v>43</v>
      </c>
      <c r="F4839" t="s">
        <v>44</v>
      </c>
      <c r="G4839" t="s">
        <v>45</v>
      </c>
      <c r="H4839" t="s">
        <v>2341</v>
      </c>
      <c r="AH4839" t="s">
        <v>42</v>
      </c>
      <c r="AI4839" t="str">
        <f>"0690-PLATEADO"</f>
        <v>0690-PLATEADO</v>
      </c>
      <c r="AJ4839" t="str">
        <f>"0690-PLATEADO"</f>
        <v>0690-PLATEADO</v>
      </c>
      <c r="AK4839" t="s">
        <v>46</v>
      </c>
      <c r="AL4839" s="1">
        <v>44996.705196759256</v>
      </c>
      <c r="AM4839" t="s">
        <v>44</v>
      </c>
    </row>
    <row r="4840" spans="1:39" x14ac:dyDescent="0.2">
      <c r="A4840" t="s">
        <v>4546</v>
      </c>
      <c r="B4840" t="s">
        <v>40</v>
      </c>
      <c r="C4840" t="s">
        <v>50</v>
      </c>
      <c r="D4840" t="s">
        <v>42</v>
      </c>
      <c r="E4840" t="s">
        <v>43</v>
      </c>
      <c r="F4840" t="s">
        <v>44</v>
      </c>
      <c r="G4840" t="s">
        <v>45</v>
      </c>
      <c r="H4840" t="s">
        <v>1123</v>
      </c>
      <c r="AH4840" t="s">
        <v>42</v>
      </c>
      <c r="AI4840" t="str">
        <f>"0690-ROJO"</f>
        <v>0690-ROJO</v>
      </c>
      <c r="AJ4840" t="str">
        <f>"0690-ROJO"</f>
        <v>0690-ROJO</v>
      </c>
      <c r="AK4840" t="s">
        <v>46</v>
      </c>
      <c r="AL4840" s="1">
        <v>44996.705034722225</v>
      </c>
      <c r="AM4840" t="s">
        <v>44</v>
      </c>
    </row>
    <row r="4841" spans="1:39" x14ac:dyDescent="0.2">
      <c r="A4841" t="s">
        <v>4548</v>
      </c>
      <c r="B4841" t="s">
        <v>40</v>
      </c>
      <c r="C4841" t="s">
        <v>50</v>
      </c>
      <c r="D4841" t="s">
        <v>42</v>
      </c>
      <c r="E4841" t="s">
        <v>43</v>
      </c>
      <c r="F4841" t="s">
        <v>44</v>
      </c>
      <c r="G4841" t="s">
        <v>45</v>
      </c>
      <c r="H4841" t="s">
        <v>2037</v>
      </c>
      <c r="AH4841" t="s">
        <v>42</v>
      </c>
      <c r="AI4841" t="str">
        <f>"126246-NEGRO"</f>
        <v>126246-NEGRO</v>
      </c>
      <c r="AJ4841" t="str">
        <f>"126246-NEGRO"</f>
        <v>126246-NEGRO</v>
      </c>
      <c r="AK4841" t="s">
        <v>46</v>
      </c>
      <c r="AL4841" s="1">
        <v>45134.701192129629</v>
      </c>
      <c r="AM4841" t="s">
        <v>44</v>
      </c>
    </row>
    <row r="4842" spans="1:39" x14ac:dyDescent="0.2">
      <c r="A4842" t="s">
        <v>4549</v>
      </c>
      <c r="B4842" t="s">
        <v>40</v>
      </c>
      <c r="C4842" t="s">
        <v>3655</v>
      </c>
      <c r="D4842" t="s">
        <v>42</v>
      </c>
      <c r="E4842" t="s">
        <v>43</v>
      </c>
      <c r="F4842" t="s">
        <v>44</v>
      </c>
      <c r="G4842" t="s">
        <v>45</v>
      </c>
      <c r="H4842" t="s">
        <v>2037</v>
      </c>
      <c r="AH4842" t="s">
        <v>42</v>
      </c>
      <c r="AI4842" t="str">
        <f>"H-2228"</f>
        <v>H-2228</v>
      </c>
      <c r="AJ4842" t="str">
        <f>"H-2228"</f>
        <v>H-2228</v>
      </c>
      <c r="AK4842" t="s">
        <v>46</v>
      </c>
      <c r="AL4842" s="1">
        <v>44908.827013888891</v>
      </c>
      <c r="AM4842" t="s">
        <v>44</v>
      </c>
    </row>
    <row r="4843" spans="1:39" x14ac:dyDescent="0.2">
      <c r="A4843" t="s">
        <v>4550</v>
      </c>
      <c r="B4843" t="s">
        <v>40</v>
      </c>
      <c r="C4843" t="s">
        <v>3655</v>
      </c>
      <c r="D4843" t="s">
        <v>42</v>
      </c>
      <c r="E4843" t="s">
        <v>43</v>
      </c>
      <c r="F4843" t="s">
        <v>44</v>
      </c>
      <c r="G4843" t="s">
        <v>45</v>
      </c>
      <c r="AH4843" t="s">
        <v>42</v>
      </c>
      <c r="AI4843" t="str">
        <f>"66298950868368"</f>
        <v>66298950868368</v>
      </c>
      <c r="AJ4843" t="str">
        <f>"H148"</f>
        <v>H148</v>
      </c>
      <c r="AK4843" t="s">
        <v>46</v>
      </c>
      <c r="AL4843" s="1">
        <v>44816.563750000001</v>
      </c>
      <c r="AM4843" t="s">
        <v>44</v>
      </c>
    </row>
    <row r="4844" spans="1:39" x14ac:dyDescent="0.2">
      <c r="A4844" t="s">
        <v>4551</v>
      </c>
      <c r="B4844" t="s">
        <v>40</v>
      </c>
      <c r="C4844" t="s">
        <v>129</v>
      </c>
      <c r="D4844" t="s">
        <v>42</v>
      </c>
      <c r="E4844" t="s">
        <v>43</v>
      </c>
      <c r="F4844" t="s">
        <v>44</v>
      </c>
      <c r="G4844" t="s">
        <v>45</v>
      </c>
      <c r="AH4844" t="s">
        <v>42</v>
      </c>
      <c r="AI4844" t="str">
        <f>"7781"</f>
        <v>7781</v>
      </c>
      <c r="AJ4844" t="str">
        <f>"7781"</f>
        <v>7781</v>
      </c>
      <c r="AK4844" t="s">
        <v>46</v>
      </c>
      <c r="AL4844" s="1">
        <v>44925.590416666666</v>
      </c>
      <c r="AM4844" t="s">
        <v>44</v>
      </c>
    </row>
    <row r="4845" spans="1:39" x14ac:dyDescent="0.2">
      <c r="A4845" t="s">
        <v>4552</v>
      </c>
      <c r="B4845" t="s">
        <v>40</v>
      </c>
      <c r="C4845" t="s">
        <v>129</v>
      </c>
      <c r="D4845" t="s">
        <v>42</v>
      </c>
      <c r="E4845" t="s">
        <v>43</v>
      </c>
      <c r="F4845" t="s">
        <v>44</v>
      </c>
      <c r="G4845" t="s">
        <v>45</v>
      </c>
      <c r="AH4845" t="s">
        <v>42</v>
      </c>
      <c r="AI4845" t="str">
        <f>"66298950907208"</f>
        <v>66298950907208</v>
      </c>
      <c r="AJ4845" t="str">
        <f>"WYT40-F3-9"</f>
        <v>WYT40-F3-9</v>
      </c>
      <c r="AK4845" t="s">
        <v>46</v>
      </c>
      <c r="AL4845" s="1">
        <v>44816.563761574071</v>
      </c>
      <c r="AM4845" t="s">
        <v>44</v>
      </c>
    </row>
    <row r="4846" spans="1:39" x14ac:dyDescent="0.2">
      <c r="A4846" t="s">
        <v>4553</v>
      </c>
      <c r="B4846" t="s">
        <v>40</v>
      </c>
      <c r="C4846" t="s">
        <v>129</v>
      </c>
      <c r="D4846" t="s">
        <v>42</v>
      </c>
      <c r="E4846" t="s">
        <v>43</v>
      </c>
      <c r="F4846" t="s">
        <v>44</v>
      </c>
      <c r="G4846" t="s">
        <v>45</v>
      </c>
      <c r="AH4846" t="s">
        <v>42</v>
      </c>
      <c r="AI4846" t="str">
        <f>"66298950951050"</f>
        <v>66298950951050</v>
      </c>
      <c r="AJ4846" t="str">
        <f>"84886"</f>
        <v>84886</v>
      </c>
      <c r="AK4846" t="s">
        <v>46</v>
      </c>
      <c r="AL4846" s="1">
        <v>44816.563761574071</v>
      </c>
      <c r="AM4846" t="s">
        <v>44</v>
      </c>
    </row>
    <row r="4847" spans="1:39" x14ac:dyDescent="0.2">
      <c r="A4847" t="s">
        <v>4554</v>
      </c>
      <c r="B4847" t="s">
        <v>40</v>
      </c>
      <c r="C4847" t="s">
        <v>1677</v>
      </c>
      <c r="D4847" t="s">
        <v>42</v>
      </c>
      <c r="E4847" t="s">
        <v>43</v>
      </c>
      <c r="F4847" t="s">
        <v>44</v>
      </c>
      <c r="G4847" t="s">
        <v>45</v>
      </c>
      <c r="H4847" t="s">
        <v>4555</v>
      </c>
      <c r="AH4847" t="s">
        <v>42</v>
      </c>
      <c r="AI4847" t="str">
        <f>"RO-3178"</f>
        <v>RO-3178</v>
      </c>
      <c r="AJ4847" t="str">
        <f>"RO-3178"</f>
        <v>RO-3178</v>
      </c>
      <c r="AK4847" t="s">
        <v>46</v>
      </c>
      <c r="AL4847" s="1">
        <v>44846.861145833333</v>
      </c>
      <c r="AM4847" t="s">
        <v>44</v>
      </c>
    </row>
    <row r="4848" spans="1:39" x14ac:dyDescent="0.2">
      <c r="A4848" t="s">
        <v>4556</v>
      </c>
      <c r="B4848" t="s">
        <v>40</v>
      </c>
      <c r="C4848" t="s">
        <v>50</v>
      </c>
      <c r="D4848" t="s">
        <v>42</v>
      </c>
      <c r="E4848" t="s">
        <v>43</v>
      </c>
      <c r="F4848" t="s">
        <v>44</v>
      </c>
      <c r="G4848" t="s">
        <v>45</v>
      </c>
      <c r="AH4848" t="s">
        <v>42</v>
      </c>
      <c r="AI4848" t="str">
        <f>"TRAJE-L"</f>
        <v>TRAJE-L</v>
      </c>
      <c r="AJ4848" t="str">
        <f>"TRAJE-L"</f>
        <v>TRAJE-L</v>
      </c>
      <c r="AK4848" t="s">
        <v>46</v>
      </c>
      <c r="AL4848" s="1">
        <v>45071.644606481481</v>
      </c>
      <c r="AM4848" t="s">
        <v>44</v>
      </c>
    </row>
    <row r="4849" spans="1:39" x14ac:dyDescent="0.2">
      <c r="A4849" t="s">
        <v>4557</v>
      </c>
      <c r="B4849" t="s">
        <v>40</v>
      </c>
      <c r="C4849" t="s">
        <v>50</v>
      </c>
      <c r="D4849" t="s">
        <v>42</v>
      </c>
      <c r="E4849" t="s">
        <v>43</v>
      </c>
      <c r="F4849" t="s">
        <v>44</v>
      </c>
      <c r="G4849" t="s">
        <v>45</v>
      </c>
      <c r="AH4849" t="s">
        <v>42</v>
      </c>
      <c r="AI4849" t="str">
        <f>"66298950993140"</f>
        <v>66298950993140</v>
      </c>
      <c r="AJ4849" t="str">
        <f>"TRAJE-XL"</f>
        <v>TRAJE-XL</v>
      </c>
      <c r="AK4849" t="s">
        <v>46</v>
      </c>
      <c r="AL4849" s="1">
        <v>44816.563761574071</v>
      </c>
      <c r="AM4849" t="s">
        <v>44</v>
      </c>
    </row>
    <row r="4850" spans="1:39" x14ac:dyDescent="0.2">
      <c r="A4850" t="s">
        <v>4558</v>
      </c>
      <c r="B4850" t="s">
        <v>40</v>
      </c>
      <c r="C4850" t="s">
        <v>50</v>
      </c>
      <c r="D4850" t="s">
        <v>42</v>
      </c>
      <c r="E4850" t="s">
        <v>43</v>
      </c>
      <c r="F4850" t="s">
        <v>44</v>
      </c>
      <c r="G4850" t="s">
        <v>45</v>
      </c>
      <c r="AH4850" t="s">
        <v>42</v>
      </c>
      <c r="AI4850" t="str">
        <f>"9950036"</f>
        <v>9950036</v>
      </c>
      <c r="AJ4850" t="str">
        <f>"9950036"</f>
        <v>9950036</v>
      </c>
      <c r="AK4850" t="s">
        <v>46</v>
      </c>
      <c r="AL4850" s="1">
        <v>45131.651620370372</v>
      </c>
      <c r="AM4850" t="s">
        <v>44</v>
      </c>
    </row>
    <row r="4851" spans="1:39" x14ac:dyDescent="0.2">
      <c r="A4851" t="s">
        <v>4559</v>
      </c>
      <c r="B4851" t="s">
        <v>40</v>
      </c>
      <c r="C4851" t="s">
        <v>50</v>
      </c>
      <c r="D4851" t="s">
        <v>42</v>
      </c>
      <c r="E4851" t="s">
        <v>43</v>
      </c>
      <c r="F4851" t="s">
        <v>44</v>
      </c>
      <c r="G4851" t="s">
        <v>45</v>
      </c>
      <c r="AH4851" t="s">
        <v>42</v>
      </c>
      <c r="AI4851" t="str">
        <f>"9950037"</f>
        <v>9950037</v>
      </c>
      <c r="AJ4851" t="str">
        <f>"9950037"</f>
        <v>9950037</v>
      </c>
      <c r="AK4851" t="s">
        <v>46</v>
      </c>
      <c r="AL4851" s="1">
        <v>45131.652083333334</v>
      </c>
      <c r="AM4851" t="s">
        <v>44</v>
      </c>
    </row>
    <row r="4852" spans="1:39" x14ac:dyDescent="0.2">
      <c r="A4852" t="s">
        <v>4560</v>
      </c>
      <c r="B4852" t="s">
        <v>48</v>
      </c>
      <c r="C4852" t="s">
        <v>1067</v>
      </c>
      <c r="D4852" t="s">
        <v>42</v>
      </c>
      <c r="E4852" t="s">
        <v>42</v>
      </c>
      <c r="F4852" t="s">
        <v>44</v>
      </c>
      <c r="G4852" t="s">
        <v>45</v>
      </c>
      <c r="AH4852" t="s">
        <v>42</v>
      </c>
      <c r="AI4852" t="str">
        <f>"ST-TRAS"</f>
        <v>ST-TRAS</v>
      </c>
      <c r="AJ4852" t="str">
        <f>"ST-TRAS"</f>
        <v>ST-TRAS</v>
      </c>
      <c r="AK4852" t="s">
        <v>46</v>
      </c>
      <c r="AL4852" s="1">
        <v>45167.809861111113</v>
      </c>
      <c r="AM4852" t="s">
        <v>44</v>
      </c>
    </row>
    <row r="4853" spans="1:39" x14ac:dyDescent="0.2">
      <c r="A4853" t="s">
        <v>4561</v>
      </c>
      <c r="B4853" t="s">
        <v>40</v>
      </c>
      <c r="C4853" t="s">
        <v>129</v>
      </c>
      <c r="D4853" t="s">
        <v>42</v>
      </c>
      <c r="E4853" t="s">
        <v>43</v>
      </c>
      <c r="F4853" t="s">
        <v>44</v>
      </c>
      <c r="G4853" t="s">
        <v>45</v>
      </c>
      <c r="AH4853" t="s">
        <v>42</v>
      </c>
      <c r="AI4853" t="str">
        <f>"66298951038093"</f>
        <v>66298951038093</v>
      </c>
      <c r="AJ4853" t="str">
        <f>"JC012"</f>
        <v>JC012</v>
      </c>
      <c r="AK4853" t="s">
        <v>46</v>
      </c>
      <c r="AL4853" s="1">
        <v>44816.563773148147</v>
      </c>
      <c r="AM4853" t="s">
        <v>44</v>
      </c>
    </row>
    <row r="4854" spans="1:39" x14ac:dyDescent="0.2">
      <c r="A4854" t="s">
        <v>4562</v>
      </c>
      <c r="B4854" t="s">
        <v>40</v>
      </c>
      <c r="C4854" t="s">
        <v>129</v>
      </c>
      <c r="D4854" t="s">
        <v>42</v>
      </c>
      <c r="E4854" t="s">
        <v>43</v>
      </c>
      <c r="F4854" t="s">
        <v>44</v>
      </c>
      <c r="G4854" t="s">
        <v>45</v>
      </c>
      <c r="AH4854" t="s">
        <v>42</v>
      </c>
      <c r="AI4854" t="str">
        <f>"66298951174574"</f>
        <v>66298951174574</v>
      </c>
      <c r="AJ4854" t="str">
        <f>"400446"</f>
        <v>400446</v>
      </c>
      <c r="AK4854" t="s">
        <v>46</v>
      </c>
      <c r="AL4854" s="1">
        <v>44816.563784722224</v>
      </c>
      <c r="AM4854" t="s">
        <v>44</v>
      </c>
    </row>
    <row r="4855" spans="1:39" x14ac:dyDescent="0.2">
      <c r="A4855" t="s">
        <v>4563</v>
      </c>
      <c r="B4855" t="s">
        <v>40</v>
      </c>
      <c r="C4855" t="s">
        <v>129</v>
      </c>
      <c r="D4855" t="s">
        <v>42</v>
      </c>
      <c r="E4855" t="s">
        <v>43</v>
      </c>
      <c r="F4855" t="s">
        <v>44</v>
      </c>
      <c r="G4855" t="s">
        <v>45</v>
      </c>
      <c r="AH4855" t="s">
        <v>42</v>
      </c>
      <c r="AI4855" t="str">
        <f>"66298951127641"</f>
        <v>66298951127641</v>
      </c>
      <c r="AJ4855" t="str">
        <f>"JC030-AZUL"</f>
        <v>JC030-AZUL</v>
      </c>
      <c r="AK4855" t="s">
        <v>46</v>
      </c>
      <c r="AL4855" s="1">
        <v>44816.563784722224</v>
      </c>
      <c r="AM4855" t="s">
        <v>44</v>
      </c>
    </row>
    <row r="4856" spans="1:39" x14ac:dyDescent="0.2">
      <c r="A4856" t="s">
        <v>4564</v>
      </c>
      <c r="B4856" t="s">
        <v>40</v>
      </c>
      <c r="C4856" t="s">
        <v>129</v>
      </c>
      <c r="D4856" t="s">
        <v>42</v>
      </c>
      <c r="E4856" t="s">
        <v>43</v>
      </c>
      <c r="F4856" t="s">
        <v>44</v>
      </c>
      <c r="G4856" t="s">
        <v>45</v>
      </c>
      <c r="AH4856" t="s">
        <v>42</v>
      </c>
      <c r="AI4856" t="str">
        <f>"66298951213346"</f>
        <v>66298951213346</v>
      </c>
      <c r="AJ4856" t="str">
        <f>"JC030-DORADO"</f>
        <v>JC030-DORADO</v>
      </c>
      <c r="AK4856" t="s">
        <v>46</v>
      </c>
      <c r="AL4856" s="1">
        <v>44816.563796296294</v>
      </c>
      <c r="AM4856" t="s">
        <v>44</v>
      </c>
    </row>
    <row r="4857" spans="1:39" x14ac:dyDescent="0.2">
      <c r="A4857" t="s">
        <v>4565</v>
      </c>
      <c r="B4857" t="s">
        <v>40</v>
      </c>
      <c r="C4857" t="s">
        <v>129</v>
      </c>
      <c r="D4857" t="s">
        <v>42</v>
      </c>
      <c r="E4857" t="s">
        <v>43</v>
      </c>
      <c r="F4857" t="s">
        <v>44</v>
      </c>
      <c r="G4857" t="s">
        <v>45</v>
      </c>
      <c r="AH4857" t="s">
        <v>42</v>
      </c>
      <c r="AI4857" t="str">
        <f>"66298951255045"</f>
        <v>66298951255045</v>
      </c>
      <c r="AJ4857" t="str">
        <f>"400449"</f>
        <v>400449</v>
      </c>
      <c r="AK4857" t="s">
        <v>46</v>
      </c>
      <c r="AL4857" s="1">
        <v>44816.563796296294</v>
      </c>
      <c r="AM4857" t="s">
        <v>44</v>
      </c>
    </row>
    <row r="4858" spans="1:39" x14ac:dyDescent="0.2">
      <c r="A4858" t="s">
        <v>4566</v>
      </c>
      <c r="B4858" t="s">
        <v>40</v>
      </c>
      <c r="C4858" t="s">
        <v>129</v>
      </c>
      <c r="D4858" t="s">
        <v>42</v>
      </c>
      <c r="E4858" t="s">
        <v>43</v>
      </c>
      <c r="F4858" t="s">
        <v>44</v>
      </c>
      <c r="G4858" t="s">
        <v>45</v>
      </c>
      <c r="AH4858" t="s">
        <v>42</v>
      </c>
      <c r="AI4858" t="str">
        <f>"66298951297211"</f>
        <v>66298951297211</v>
      </c>
      <c r="AJ4858" t="str">
        <f>"JC030-NARANJO"</f>
        <v>JC030-NARANJO</v>
      </c>
      <c r="AK4858" t="s">
        <v>46</v>
      </c>
      <c r="AL4858" s="1">
        <v>44816.563796296294</v>
      </c>
      <c r="AM4858" t="s">
        <v>44</v>
      </c>
    </row>
    <row r="4859" spans="1:39" x14ac:dyDescent="0.2">
      <c r="A4859" t="s">
        <v>4567</v>
      </c>
      <c r="B4859" t="s">
        <v>40</v>
      </c>
      <c r="C4859" t="s">
        <v>129</v>
      </c>
      <c r="D4859" t="s">
        <v>42</v>
      </c>
      <c r="E4859" t="s">
        <v>43</v>
      </c>
      <c r="F4859" t="s">
        <v>44</v>
      </c>
      <c r="G4859" t="s">
        <v>45</v>
      </c>
      <c r="AH4859" t="s">
        <v>42</v>
      </c>
      <c r="AI4859" t="str">
        <f>"66298951339558"</f>
        <v>66298951339558</v>
      </c>
      <c r="AJ4859" t="str">
        <f>"400447"</f>
        <v>400447</v>
      </c>
      <c r="AK4859" t="s">
        <v>46</v>
      </c>
      <c r="AL4859" s="1">
        <v>44816.563807870371</v>
      </c>
      <c r="AM4859" t="s">
        <v>44</v>
      </c>
    </row>
    <row r="4860" spans="1:39" x14ac:dyDescent="0.2">
      <c r="A4860" t="s">
        <v>4568</v>
      </c>
      <c r="B4860" t="s">
        <v>40</v>
      </c>
      <c r="C4860" t="s">
        <v>129</v>
      </c>
      <c r="D4860" t="s">
        <v>42</v>
      </c>
      <c r="E4860" t="s">
        <v>43</v>
      </c>
      <c r="F4860" t="s">
        <v>44</v>
      </c>
      <c r="G4860" t="s">
        <v>45</v>
      </c>
      <c r="AH4860" t="s">
        <v>42</v>
      </c>
      <c r="AI4860" t="str">
        <f>"66298951426588"</f>
        <v>66298951426588</v>
      </c>
      <c r="AJ4860" t="str">
        <f>"400448"</f>
        <v>400448</v>
      </c>
      <c r="AK4860" t="s">
        <v>46</v>
      </c>
      <c r="AL4860" s="1">
        <v>44816.563819444447</v>
      </c>
      <c r="AM4860" t="s">
        <v>44</v>
      </c>
    </row>
    <row r="4861" spans="1:39" x14ac:dyDescent="0.2">
      <c r="A4861" t="s">
        <v>4569</v>
      </c>
      <c r="B4861" t="s">
        <v>40</v>
      </c>
      <c r="C4861" t="s">
        <v>129</v>
      </c>
      <c r="D4861" t="s">
        <v>42</v>
      </c>
      <c r="E4861" t="s">
        <v>43</v>
      </c>
      <c r="F4861" t="s">
        <v>44</v>
      </c>
      <c r="G4861" t="s">
        <v>45</v>
      </c>
      <c r="AH4861" t="s">
        <v>42</v>
      </c>
      <c r="AI4861" t="str">
        <f>"66298951384337"</f>
        <v>66298951384337</v>
      </c>
      <c r="AJ4861" t="str">
        <f>"JC030-ROJO"</f>
        <v>JC030-ROJO</v>
      </c>
      <c r="AK4861" t="s">
        <v>46</v>
      </c>
      <c r="AL4861" s="1">
        <v>44816.563807870371</v>
      </c>
      <c r="AM4861" t="s">
        <v>44</v>
      </c>
    </row>
    <row r="4862" spans="1:39" x14ac:dyDescent="0.2">
      <c r="A4862" t="s">
        <v>4570</v>
      </c>
      <c r="B4862" t="s">
        <v>40</v>
      </c>
      <c r="C4862" t="s">
        <v>129</v>
      </c>
      <c r="D4862" t="s">
        <v>42</v>
      </c>
      <c r="E4862" t="s">
        <v>43</v>
      </c>
      <c r="F4862" t="s">
        <v>44</v>
      </c>
      <c r="G4862" t="s">
        <v>45</v>
      </c>
      <c r="AH4862" t="s">
        <v>42</v>
      </c>
      <c r="AI4862" t="str">
        <f>"66298951080185"</f>
        <v>66298951080185</v>
      </c>
      <c r="AJ4862" t="str">
        <f>"JC107"</f>
        <v>JC107</v>
      </c>
      <c r="AK4862" t="s">
        <v>46</v>
      </c>
      <c r="AL4862" s="1">
        <v>44816.563773148147</v>
      </c>
      <c r="AM4862" t="s">
        <v>44</v>
      </c>
    </row>
    <row r="4863" spans="1:39" x14ac:dyDescent="0.2">
      <c r="A4863" t="s">
        <v>4571</v>
      </c>
      <c r="B4863" t="s">
        <v>40</v>
      </c>
      <c r="C4863" t="s">
        <v>129</v>
      </c>
      <c r="D4863" t="s">
        <v>42</v>
      </c>
      <c r="E4863" t="s">
        <v>43</v>
      </c>
      <c r="F4863" t="s">
        <v>44</v>
      </c>
      <c r="G4863" t="s">
        <v>45</v>
      </c>
      <c r="AH4863" t="s">
        <v>42</v>
      </c>
      <c r="AI4863" t="str">
        <f>"66298951468118"</f>
        <v>66298951468118</v>
      </c>
      <c r="AJ4863" t="str">
        <f>"4722"</f>
        <v>4722</v>
      </c>
      <c r="AK4863" t="s">
        <v>46</v>
      </c>
      <c r="AL4863" s="1">
        <v>44816.563819444447</v>
      </c>
      <c r="AM4863" t="s">
        <v>44</v>
      </c>
    </row>
    <row r="4864" spans="1:39" x14ac:dyDescent="0.2">
      <c r="A4864" t="s">
        <v>4572</v>
      </c>
      <c r="B4864" t="s">
        <v>40</v>
      </c>
      <c r="C4864" t="s">
        <v>129</v>
      </c>
      <c r="D4864" t="s">
        <v>42</v>
      </c>
      <c r="E4864" t="s">
        <v>43</v>
      </c>
      <c r="F4864" t="s">
        <v>44</v>
      </c>
      <c r="G4864" t="s">
        <v>45</v>
      </c>
      <c r="AH4864" t="s">
        <v>42</v>
      </c>
      <c r="AI4864" t="str">
        <f>"66298951513566"</f>
        <v>66298951513566</v>
      </c>
      <c r="AJ4864" t="str">
        <f>"H1113"</f>
        <v>H1113</v>
      </c>
      <c r="AK4864" t="s">
        <v>46</v>
      </c>
      <c r="AL4864" s="1">
        <v>44816.563831018517</v>
      </c>
      <c r="AM4864" t="s">
        <v>44</v>
      </c>
    </row>
    <row r="4865" spans="1:39" x14ac:dyDescent="0.2">
      <c r="A4865" t="s">
        <v>4573</v>
      </c>
      <c r="B4865" t="s">
        <v>40</v>
      </c>
      <c r="C4865" t="s">
        <v>129</v>
      </c>
      <c r="D4865" t="s">
        <v>42</v>
      </c>
      <c r="E4865" t="s">
        <v>43</v>
      </c>
      <c r="F4865" t="s">
        <v>44</v>
      </c>
      <c r="G4865" t="s">
        <v>45</v>
      </c>
      <c r="AH4865" t="s">
        <v>42</v>
      </c>
      <c r="AI4865" t="str">
        <f>"66298951554606"</f>
        <v>66298951554606</v>
      </c>
      <c r="AJ4865" t="str">
        <f>"25031BR"</f>
        <v>25031BR</v>
      </c>
      <c r="AK4865" t="s">
        <v>46</v>
      </c>
      <c r="AL4865" s="1">
        <v>44816.563831018517</v>
      </c>
      <c r="AM4865" t="s">
        <v>44</v>
      </c>
    </row>
    <row r="4866" spans="1:39" x14ac:dyDescent="0.2">
      <c r="A4866" t="s">
        <v>4574</v>
      </c>
      <c r="B4866" t="s">
        <v>40</v>
      </c>
      <c r="C4866" t="s">
        <v>4575</v>
      </c>
      <c r="D4866" t="s">
        <v>42</v>
      </c>
      <c r="E4866" t="s">
        <v>43</v>
      </c>
      <c r="F4866" t="s">
        <v>44</v>
      </c>
      <c r="G4866" t="s">
        <v>45</v>
      </c>
      <c r="AH4866" t="s">
        <v>42</v>
      </c>
      <c r="AI4866" t="str">
        <f>"66298951594116"</f>
        <v>66298951594116</v>
      </c>
      <c r="AJ4866" t="str">
        <f>"11556"</f>
        <v>11556</v>
      </c>
      <c r="AK4866" t="s">
        <v>46</v>
      </c>
      <c r="AL4866" s="1">
        <v>44816.563831018517</v>
      </c>
      <c r="AM4866" t="s">
        <v>44</v>
      </c>
    </row>
    <row r="4867" spans="1:39" x14ac:dyDescent="0.2">
      <c r="A4867" t="s">
        <v>4576</v>
      </c>
      <c r="B4867" t="s">
        <v>40</v>
      </c>
      <c r="C4867" t="s">
        <v>4575</v>
      </c>
      <c r="D4867" t="s">
        <v>42</v>
      </c>
      <c r="E4867" t="s">
        <v>43</v>
      </c>
      <c r="F4867" t="s">
        <v>44</v>
      </c>
      <c r="G4867" t="s">
        <v>45</v>
      </c>
      <c r="AH4867" t="s">
        <v>42</v>
      </c>
      <c r="AI4867" t="str">
        <f>"66298951634810"</f>
        <v>66298951634810</v>
      </c>
      <c r="AJ4867" t="str">
        <f>"4C6-E2111-00"</f>
        <v>4C6-E2111-00</v>
      </c>
      <c r="AK4867" t="s">
        <v>46</v>
      </c>
      <c r="AL4867" s="1">
        <v>44816.563842592594</v>
      </c>
      <c r="AM4867" t="s">
        <v>44</v>
      </c>
    </row>
    <row r="4868" spans="1:39" x14ac:dyDescent="0.2">
      <c r="A4868" t="s">
        <v>4577</v>
      </c>
      <c r="B4868" t="s">
        <v>40</v>
      </c>
      <c r="C4868" t="s">
        <v>4578</v>
      </c>
      <c r="D4868" t="s">
        <v>42</v>
      </c>
      <c r="E4868" t="s">
        <v>43</v>
      </c>
      <c r="F4868" t="s">
        <v>44</v>
      </c>
      <c r="G4868" t="s">
        <v>45</v>
      </c>
      <c r="AH4868" t="s">
        <v>42</v>
      </c>
      <c r="AI4868" t="str">
        <f>"YH0430A"</f>
        <v>YH0430A</v>
      </c>
      <c r="AJ4868" t="str">
        <f>"YH0430A"</f>
        <v>YH0430A</v>
      </c>
      <c r="AK4868" t="s">
        <v>46</v>
      </c>
      <c r="AL4868" s="1">
        <v>45020.924247685187</v>
      </c>
      <c r="AM4868" t="s">
        <v>44</v>
      </c>
    </row>
    <row r="4869" spans="1:39" x14ac:dyDescent="0.2">
      <c r="A4869" t="s">
        <v>4579</v>
      </c>
      <c r="B4869" t="s">
        <v>40</v>
      </c>
      <c r="C4869" t="s">
        <v>4575</v>
      </c>
      <c r="D4869" t="s">
        <v>42</v>
      </c>
      <c r="E4869" t="s">
        <v>43</v>
      </c>
      <c r="F4869" t="s">
        <v>44</v>
      </c>
      <c r="G4869" t="s">
        <v>45</v>
      </c>
      <c r="AH4869" t="s">
        <v>42</v>
      </c>
      <c r="AI4869" t="str">
        <f>"66298951678416"</f>
        <v>66298951678416</v>
      </c>
      <c r="AJ4869" t="str">
        <f>"14711-KTE-910"</f>
        <v>14711-KTE-910</v>
      </c>
      <c r="AK4869" t="s">
        <v>46</v>
      </c>
      <c r="AL4869" s="1">
        <v>44816.563842592594</v>
      </c>
      <c r="AM4869" t="s">
        <v>44</v>
      </c>
    </row>
    <row r="4870" spans="1:39" x14ac:dyDescent="0.2">
      <c r="A4870" t="s">
        <v>4580</v>
      </c>
      <c r="B4870" t="s">
        <v>40</v>
      </c>
      <c r="C4870" t="s">
        <v>4575</v>
      </c>
      <c r="D4870" t="s">
        <v>42</v>
      </c>
      <c r="E4870" t="s">
        <v>43</v>
      </c>
      <c r="F4870" t="s">
        <v>44</v>
      </c>
      <c r="G4870" t="s">
        <v>45</v>
      </c>
      <c r="AH4870" t="s">
        <v>42</v>
      </c>
      <c r="AI4870" t="str">
        <f>"66298951724883"</f>
        <v>66298951724883</v>
      </c>
      <c r="AJ4870" t="str">
        <f>"PP-30107-000"</f>
        <v>PP-30107-000</v>
      </c>
      <c r="AK4870" t="s">
        <v>46</v>
      </c>
      <c r="AL4870" s="1">
        <v>44816.563854166663</v>
      </c>
      <c r="AM4870" t="s">
        <v>44</v>
      </c>
    </row>
    <row r="4871" spans="1:39" x14ac:dyDescent="0.2">
      <c r="A4871" t="s">
        <v>4581</v>
      </c>
      <c r="B4871" t="s">
        <v>40</v>
      </c>
      <c r="C4871" t="s">
        <v>4575</v>
      </c>
      <c r="D4871" t="s">
        <v>42</v>
      </c>
      <c r="E4871" t="s">
        <v>43</v>
      </c>
      <c r="F4871" t="s">
        <v>44</v>
      </c>
      <c r="G4871" t="s">
        <v>45</v>
      </c>
      <c r="AH4871" t="s">
        <v>42</v>
      </c>
      <c r="AI4871" t="str">
        <f>"66298951766899"</f>
        <v>66298951766899</v>
      </c>
      <c r="AJ4871" t="str">
        <f>"4ST-E2111-00"</f>
        <v>4ST-E2111-00</v>
      </c>
      <c r="AK4871" t="s">
        <v>46</v>
      </c>
      <c r="AL4871" s="1">
        <v>44816.563854166663</v>
      </c>
      <c r="AM4871" t="s">
        <v>44</v>
      </c>
    </row>
    <row r="4872" spans="1:39" x14ac:dyDescent="0.2">
      <c r="A4872" t="s">
        <v>4582</v>
      </c>
      <c r="B4872" t="s">
        <v>40</v>
      </c>
      <c r="C4872" t="s">
        <v>4575</v>
      </c>
      <c r="D4872" t="s">
        <v>42</v>
      </c>
      <c r="E4872" t="s">
        <v>43</v>
      </c>
      <c r="F4872" t="s">
        <v>44</v>
      </c>
      <c r="G4872" t="s">
        <v>45</v>
      </c>
      <c r="AH4872" t="s">
        <v>42</v>
      </c>
      <c r="AI4872" t="str">
        <f>"66298951807794"</f>
        <v>66298951807794</v>
      </c>
      <c r="AJ4872" t="str">
        <f>"21C-E2111-01JP"</f>
        <v>21C-E2111-01JP</v>
      </c>
      <c r="AK4872" t="s">
        <v>46</v>
      </c>
      <c r="AL4872" s="1">
        <v>44816.56386574074</v>
      </c>
      <c r="AM4872" t="s">
        <v>44</v>
      </c>
    </row>
    <row r="4873" spans="1:39" x14ac:dyDescent="0.2">
      <c r="A4873" t="s">
        <v>4583</v>
      </c>
      <c r="B4873" t="s">
        <v>40</v>
      </c>
      <c r="C4873" t="s">
        <v>4575</v>
      </c>
      <c r="D4873" t="s">
        <v>42</v>
      </c>
      <c r="E4873" t="s">
        <v>43</v>
      </c>
      <c r="F4873" t="s">
        <v>44</v>
      </c>
      <c r="G4873" t="s">
        <v>45</v>
      </c>
      <c r="AH4873" t="s">
        <v>42</v>
      </c>
      <c r="AI4873" t="str">
        <f>"66298951848180"</f>
        <v>66298951848180</v>
      </c>
      <c r="AJ4873" t="str">
        <f>"12911-09G00-000"</f>
        <v>12911-09G00-000</v>
      </c>
      <c r="AK4873" t="s">
        <v>46</v>
      </c>
      <c r="AL4873" s="1">
        <v>44816.56386574074</v>
      </c>
      <c r="AM4873" t="s">
        <v>44</v>
      </c>
    </row>
    <row r="4874" spans="1:39" x14ac:dyDescent="0.2">
      <c r="A4874" t="s">
        <v>4584</v>
      </c>
      <c r="B4874" t="s">
        <v>40</v>
      </c>
      <c r="C4874" t="s">
        <v>4575</v>
      </c>
      <c r="D4874" t="s">
        <v>42</v>
      </c>
      <c r="E4874" t="s">
        <v>43</v>
      </c>
      <c r="F4874" t="s">
        <v>44</v>
      </c>
      <c r="G4874" t="s">
        <v>45</v>
      </c>
      <c r="AH4874" t="s">
        <v>42</v>
      </c>
      <c r="AI4874" t="str">
        <f>"66298951894959"</f>
        <v>66298951894959</v>
      </c>
      <c r="AJ4874" t="str">
        <f>"12911-12F50"</f>
        <v>12911-12F50</v>
      </c>
      <c r="AK4874" t="s">
        <v>46</v>
      </c>
      <c r="AL4874" s="1">
        <v>44816.56386574074</v>
      </c>
      <c r="AM4874" t="s">
        <v>44</v>
      </c>
    </row>
    <row r="4875" spans="1:39" x14ac:dyDescent="0.2">
      <c r="A4875" t="s">
        <v>4585</v>
      </c>
      <c r="B4875" t="s">
        <v>40</v>
      </c>
      <c r="C4875" t="s">
        <v>4575</v>
      </c>
      <c r="D4875" t="s">
        <v>42</v>
      </c>
      <c r="E4875" t="s">
        <v>43</v>
      </c>
      <c r="F4875" t="s">
        <v>44</v>
      </c>
      <c r="G4875" t="s">
        <v>45</v>
      </c>
      <c r="AH4875" t="s">
        <v>42</v>
      </c>
      <c r="AI4875" t="str">
        <f>"66298951936133"</f>
        <v>66298951936133</v>
      </c>
      <c r="AJ4875" t="str">
        <f>"12911-25H01-00GS"</f>
        <v>12911-25H01-00GS</v>
      </c>
      <c r="AK4875" t="s">
        <v>46</v>
      </c>
      <c r="AL4875" s="1">
        <v>44816.563877314817</v>
      </c>
      <c r="AM4875" t="s">
        <v>44</v>
      </c>
    </row>
    <row r="4876" spans="1:39" x14ac:dyDescent="0.2">
      <c r="A4876" t="s">
        <v>4586</v>
      </c>
      <c r="B4876" t="s">
        <v>40</v>
      </c>
      <c r="C4876" t="s">
        <v>4575</v>
      </c>
      <c r="D4876" t="s">
        <v>42</v>
      </c>
      <c r="E4876" t="s">
        <v>43</v>
      </c>
      <c r="F4876" t="s">
        <v>44</v>
      </c>
      <c r="G4876" t="s">
        <v>45</v>
      </c>
      <c r="AH4876" t="s">
        <v>42</v>
      </c>
      <c r="AI4876" t="str">
        <f>"66298952029109"</f>
        <v>66298952029109</v>
      </c>
      <c r="AJ4876" t="str">
        <f>"XN-30107-000"</f>
        <v>XN-30107-000</v>
      </c>
      <c r="AK4876" t="s">
        <v>46</v>
      </c>
      <c r="AL4876" s="1">
        <v>44816.563888888886</v>
      </c>
      <c r="AM4876" t="s">
        <v>44</v>
      </c>
    </row>
    <row r="4877" spans="1:39" x14ac:dyDescent="0.2">
      <c r="A4877" t="s">
        <v>4587</v>
      </c>
      <c r="B4877" t="s">
        <v>40</v>
      </c>
      <c r="C4877" t="s">
        <v>4575</v>
      </c>
      <c r="D4877" t="s">
        <v>42</v>
      </c>
      <c r="E4877" t="s">
        <v>43</v>
      </c>
      <c r="F4877" t="s">
        <v>44</v>
      </c>
      <c r="G4877" t="s">
        <v>45</v>
      </c>
      <c r="AH4877" t="s">
        <v>42</v>
      </c>
      <c r="AI4877" t="str">
        <f>"66298951980518"</f>
        <v>66298951980518</v>
      </c>
      <c r="AJ4877" t="str">
        <f>"14711-LBA8-C00"</f>
        <v>14711-LBA8-C00</v>
      </c>
      <c r="AK4877" t="s">
        <v>46</v>
      </c>
      <c r="AL4877" s="1">
        <v>44816.563877314817</v>
      </c>
      <c r="AM4877" t="s">
        <v>44</v>
      </c>
    </row>
    <row r="4878" spans="1:39" x14ac:dyDescent="0.2">
      <c r="A4878" t="s">
        <v>4588</v>
      </c>
      <c r="B4878" t="s">
        <v>40</v>
      </c>
      <c r="C4878" t="s">
        <v>4575</v>
      </c>
      <c r="D4878" t="s">
        <v>42</v>
      </c>
      <c r="E4878" t="s">
        <v>43</v>
      </c>
      <c r="F4878" t="s">
        <v>44</v>
      </c>
      <c r="G4878" t="s">
        <v>45</v>
      </c>
      <c r="AH4878" t="s">
        <v>42</v>
      </c>
      <c r="AI4878" t="str">
        <f>"66298952068109"</f>
        <v>66298952068109</v>
      </c>
      <c r="AJ4878" t="str">
        <f>"FL-30107-000"</f>
        <v>FL-30107-000</v>
      </c>
      <c r="AK4878" t="s">
        <v>46</v>
      </c>
      <c r="AL4878" s="1">
        <v>44816.563888888886</v>
      </c>
      <c r="AM4878" t="s">
        <v>44</v>
      </c>
    </row>
    <row r="4879" spans="1:39" x14ac:dyDescent="0.2">
      <c r="A4879" t="s">
        <v>4589</v>
      </c>
      <c r="B4879" t="s">
        <v>40</v>
      </c>
      <c r="C4879" t="s">
        <v>4575</v>
      </c>
      <c r="D4879" t="s">
        <v>42</v>
      </c>
      <c r="E4879" t="s">
        <v>43</v>
      </c>
      <c r="F4879" t="s">
        <v>44</v>
      </c>
      <c r="G4879" t="s">
        <v>45</v>
      </c>
      <c r="AH4879" t="s">
        <v>42</v>
      </c>
      <c r="AI4879" t="str">
        <f>"66298952105157"</f>
        <v>66298952105157</v>
      </c>
      <c r="AJ4879" t="str">
        <f>"12911H3J010H000"</f>
        <v>12911H3J010H000</v>
      </c>
      <c r="AK4879" t="s">
        <v>46</v>
      </c>
      <c r="AL4879" s="1">
        <v>44816.563900462963</v>
      </c>
      <c r="AM4879" t="s">
        <v>44</v>
      </c>
    </row>
    <row r="4880" spans="1:39" x14ac:dyDescent="0.2">
      <c r="A4880" t="s">
        <v>4590</v>
      </c>
      <c r="B4880" t="s">
        <v>40</v>
      </c>
      <c r="C4880" t="s">
        <v>4575</v>
      </c>
      <c r="D4880" t="s">
        <v>42</v>
      </c>
      <c r="E4880" t="s">
        <v>43</v>
      </c>
      <c r="F4880" t="s">
        <v>44</v>
      </c>
      <c r="G4880" t="s">
        <v>45</v>
      </c>
      <c r="AH4880" t="s">
        <v>42</v>
      </c>
      <c r="AI4880" t="str">
        <f>"66298952149614"</f>
        <v>66298952149614</v>
      </c>
      <c r="AJ4880" t="str">
        <f>"JD-5112-01"</f>
        <v>JD-5112-01</v>
      </c>
      <c r="AK4880" t="s">
        <v>46</v>
      </c>
      <c r="AL4880" s="1">
        <v>44816.563900462963</v>
      </c>
      <c r="AM4880" t="s">
        <v>44</v>
      </c>
    </row>
    <row r="4881" spans="1:39" x14ac:dyDescent="0.2">
      <c r="A4881" t="s">
        <v>4591</v>
      </c>
      <c r="B4881" t="s">
        <v>40</v>
      </c>
      <c r="C4881" t="s">
        <v>4575</v>
      </c>
      <c r="D4881" t="s">
        <v>42</v>
      </c>
      <c r="E4881" t="s">
        <v>43</v>
      </c>
      <c r="F4881" t="s">
        <v>44</v>
      </c>
      <c r="G4881" t="s">
        <v>45</v>
      </c>
      <c r="AH4881" t="s">
        <v>42</v>
      </c>
      <c r="AI4881" t="str">
        <f>"66298952194095"</f>
        <v>66298952194095</v>
      </c>
      <c r="AJ4881" t="str">
        <f>"DJ-1011-24"</f>
        <v>DJ-1011-24</v>
      </c>
      <c r="AK4881" t="s">
        <v>46</v>
      </c>
      <c r="AL4881" s="1">
        <v>44816.563900462963</v>
      </c>
      <c r="AM4881" t="s">
        <v>44</v>
      </c>
    </row>
    <row r="4882" spans="1:39" x14ac:dyDescent="0.2">
      <c r="A4882" t="s">
        <v>4592</v>
      </c>
      <c r="B4882" t="s">
        <v>40</v>
      </c>
      <c r="C4882" t="s">
        <v>4575</v>
      </c>
      <c r="D4882" t="s">
        <v>42</v>
      </c>
      <c r="E4882" t="s">
        <v>43</v>
      </c>
      <c r="F4882" t="s">
        <v>44</v>
      </c>
      <c r="G4882" t="s">
        <v>45</v>
      </c>
      <c r="AH4882" t="s">
        <v>42</v>
      </c>
      <c r="AI4882" t="str">
        <f>"66298952242761"</f>
        <v>66298952242761</v>
      </c>
      <c r="AJ4882" t="str">
        <f>"DK-1010-52"</f>
        <v>DK-1010-52</v>
      </c>
      <c r="AK4882" t="s">
        <v>46</v>
      </c>
      <c r="AL4882" s="1">
        <v>44816.56391203704</v>
      </c>
      <c r="AM4882" t="s">
        <v>44</v>
      </c>
    </row>
    <row r="4883" spans="1:39" x14ac:dyDescent="0.2">
      <c r="A4883" t="s">
        <v>4592</v>
      </c>
      <c r="B4883" t="s">
        <v>40</v>
      </c>
      <c r="C4883" t="s">
        <v>4575</v>
      </c>
      <c r="D4883" t="s">
        <v>42</v>
      </c>
      <c r="E4883" t="s">
        <v>43</v>
      </c>
      <c r="F4883" t="s">
        <v>44</v>
      </c>
      <c r="G4883" t="s">
        <v>45</v>
      </c>
      <c r="AH4883" t="s">
        <v>42</v>
      </c>
      <c r="AI4883" t="str">
        <f>"66298952248540"</f>
        <v>66298952248540</v>
      </c>
      <c r="AJ4883" t="str">
        <f>"JL-5110-10"</f>
        <v>JL-5110-10</v>
      </c>
      <c r="AK4883" t="s">
        <v>46</v>
      </c>
      <c r="AL4883" s="1">
        <v>44816.56391203704</v>
      </c>
      <c r="AM4883" t="s">
        <v>44</v>
      </c>
    </row>
    <row r="4884" spans="1:39" x14ac:dyDescent="0.2">
      <c r="A4884" t="s">
        <v>4593</v>
      </c>
      <c r="B4884" t="s">
        <v>40</v>
      </c>
      <c r="C4884" t="s">
        <v>4575</v>
      </c>
      <c r="D4884" t="s">
        <v>42</v>
      </c>
      <c r="E4884" t="s">
        <v>43</v>
      </c>
      <c r="F4884" t="s">
        <v>44</v>
      </c>
      <c r="G4884" t="s">
        <v>45</v>
      </c>
      <c r="AH4884" t="s">
        <v>42</v>
      </c>
      <c r="AI4884" t="str">
        <f>"66298952306462"</f>
        <v>66298952306462</v>
      </c>
      <c r="AJ4884" t="str">
        <f>"14711-437-000JP"</f>
        <v>14711-437-000JP</v>
      </c>
      <c r="AK4884" t="s">
        <v>46</v>
      </c>
      <c r="AL4884" s="1">
        <v>44816.563923611109</v>
      </c>
      <c r="AM4884" t="s">
        <v>44</v>
      </c>
    </row>
    <row r="4885" spans="1:39" x14ac:dyDescent="0.2">
      <c r="A4885" t="s">
        <v>4594</v>
      </c>
      <c r="B4885" t="s">
        <v>40</v>
      </c>
      <c r="C4885" t="s">
        <v>4575</v>
      </c>
      <c r="D4885" t="s">
        <v>42</v>
      </c>
      <c r="E4885" t="s">
        <v>43</v>
      </c>
      <c r="F4885" t="s">
        <v>44</v>
      </c>
      <c r="G4885" t="s">
        <v>45</v>
      </c>
      <c r="AH4885" t="s">
        <v>42</v>
      </c>
      <c r="AI4885" t="str">
        <f>"66298952346644"</f>
        <v>66298952346644</v>
      </c>
      <c r="AJ4885" t="str">
        <f>"14711-KGA-B00JP"</f>
        <v>14711-KGA-B00JP</v>
      </c>
      <c r="AK4885" t="s">
        <v>46</v>
      </c>
      <c r="AL4885" s="1">
        <v>44816.563923611109</v>
      </c>
      <c r="AM4885" t="s">
        <v>44</v>
      </c>
    </row>
    <row r="4886" spans="1:39" x14ac:dyDescent="0.2">
      <c r="A4886" t="s">
        <v>4595</v>
      </c>
      <c r="B4886" t="s">
        <v>40</v>
      </c>
      <c r="C4886" t="s">
        <v>4575</v>
      </c>
      <c r="D4886" t="s">
        <v>42</v>
      </c>
      <c r="E4886" t="s">
        <v>43</v>
      </c>
      <c r="F4886" t="s">
        <v>44</v>
      </c>
      <c r="G4886" t="s">
        <v>45</v>
      </c>
      <c r="AH4886" t="s">
        <v>42</v>
      </c>
      <c r="AI4886" t="str">
        <f>"66298952395840"</f>
        <v>66298952395840</v>
      </c>
      <c r="AJ4886" t="str">
        <f>"14711-KBB-900"</f>
        <v>14711-KBB-900</v>
      </c>
      <c r="AK4886" t="s">
        <v>46</v>
      </c>
      <c r="AL4886" s="1">
        <v>44816.563923611109</v>
      </c>
      <c r="AM4886" t="s">
        <v>44</v>
      </c>
    </row>
    <row r="4887" spans="1:39" x14ac:dyDescent="0.2">
      <c r="A4887" t="s">
        <v>4596</v>
      </c>
      <c r="B4887" t="s">
        <v>40</v>
      </c>
      <c r="C4887" t="s">
        <v>4575</v>
      </c>
      <c r="D4887" t="s">
        <v>42</v>
      </c>
      <c r="E4887" t="s">
        <v>43</v>
      </c>
      <c r="F4887" t="s">
        <v>44</v>
      </c>
      <c r="G4887" t="s">
        <v>45</v>
      </c>
      <c r="AH4887" t="s">
        <v>42</v>
      </c>
      <c r="AI4887" t="str">
        <f>"66298952438830"</f>
        <v>66298952438830</v>
      </c>
      <c r="AJ4887" t="str">
        <f>"14711-KPF-900"</f>
        <v>14711-KPF-900</v>
      </c>
      <c r="AK4887" t="s">
        <v>46</v>
      </c>
      <c r="AL4887" s="1">
        <v>44816.563935185186</v>
      </c>
      <c r="AM4887" t="s">
        <v>44</v>
      </c>
    </row>
    <row r="4888" spans="1:39" x14ac:dyDescent="0.2">
      <c r="A4888" t="s">
        <v>4597</v>
      </c>
      <c r="B4888" t="s">
        <v>40</v>
      </c>
      <c r="C4888" t="s">
        <v>4575</v>
      </c>
      <c r="D4888" t="s">
        <v>42</v>
      </c>
      <c r="E4888" t="s">
        <v>43</v>
      </c>
      <c r="F4888" t="s">
        <v>44</v>
      </c>
      <c r="G4888" t="s">
        <v>45</v>
      </c>
      <c r="AH4888" t="s">
        <v>42</v>
      </c>
      <c r="AI4888" t="str">
        <f>"66298952484474"</f>
        <v>66298952484474</v>
      </c>
      <c r="AJ4888" t="str">
        <f>"5YP-E2111-00"</f>
        <v>5YP-E2111-00</v>
      </c>
      <c r="AK4888" t="s">
        <v>46</v>
      </c>
      <c r="AL4888" s="1">
        <v>44816.563935185186</v>
      </c>
      <c r="AM4888" t="s">
        <v>44</v>
      </c>
    </row>
    <row r="4889" spans="1:39" x14ac:dyDescent="0.2">
      <c r="A4889" t="s">
        <v>4597</v>
      </c>
      <c r="B4889" t="s">
        <v>40</v>
      </c>
      <c r="C4889" t="s">
        <v>4575</v>
      </c>
      <c r="D4889" t="s">
        <v>42</v>
      </c>
      <c r="E4889" t="s">
        <v>43</v>
      </c>
      <c r="F4889" t="s">
        <v>44</v>
      </c>
      <c r="G4889" t="s">
        <v>45</v>
      </c>
      <c r="AH4889" t="s">
        <v>42</v>
      </c>
      <c r="AI4889" t="str">
        <f>"5YP-E2111-00JP"</f>
        <v>5YP-E2111-00JP</v>
      </c>
      <c r="AJ4889" t="str">
        <f>"5YP-E2111-00JP"</f>
        <v>5YP-E2111-00JP</v>
      </c>
      <c r="AK4889" t="s">
        <v>46</v>
      </c>
      <c r="AL4889" s="1">
        <v>45150.646365740744</v>
      </c>
      <c r="AM4889" t="s">
        <v>44</v>
      </c>
    </row>
    <row r="4890" spans="1:39" x14ac:dyDescent="0.2">
      <c r="A4890" t="s">
        <v>4598</v>
      </c>
      <c r="B4890" t="s">
        <v>40</v>
      </c>
      <c r="C4890" t="s">
        <v>4575</v>
      </c>
      <c r="D4890" t="s">
        <v>42</v>
      </c>
      <c r="E4890" t="s">
        <v>43</v>
      </c>
      <c r="F4890" t="s">
        <v>44</v>
      </c>
      <c r="G4890" t="s">
        <v>45</v>
      </c>
      <c r="AH4890" t="s">
        <v>42</v>
      </c>
      <c r="AI4890" t="str">
        <f>"66298952529900"</f>
        <v>66298952529900</v>
      </c>
      <c r="AJ4890" t="str">
        <f>"11557"</f>
        <v>11557</v>
      </c>
      <c r="AK4890" t="s">
        <v>46</v>
      </c>
      <c r="AL4890" s="1">
        <v>44816.563946759263</v>
      </c>
      <c r="AM4890" t="s">
        <v>44</v>
      </c>
    </row>
    <row r="4891" spans="1:39" x14ac:dyDescent="0.2">
      <c r="A4891" t="s">
        <v>4599</v>
      </c>
      <c r="B4891" t="s">
        <v>40</v>
      </c>
      <c r="C4891" t="s">
        <v>4575</v>
      </c>
      <c r="D4891" t="s">
        <v>42</v>
      </c>
      <c r="E4891" t="s">
        <v>43</v>
      </c>
      <c r="F4891" t="s">
        <v>44</v>
      </c>
      <c r="G4891" t="s">
        <v>45</v>
      </c>
      <c r="AH4891" t="s">
        <v>42</v>
      </c>
      <c r="AI4891" t="str">
        <f>"66298952572453"</f>
        <v>66298952572453</v>
      </c>
      <c r="AJ4891" t="str">
        <f>"14721-GF6-010"</f>
        <v>14721-GF6-010</v>
      </c>
      <c r="AK4891" t="s">
        <v>46</v>
      </c>
      <c r="AL4891" s="1">
        <v>44816.563946759263</v>
      </c>
      <c r="AM4891" t="s">
        <v>44</v>
      </c>
    </row>
    <row r="4892" spans="1:39" x14ac:dyDescent="0.2">
      <c r="A4892" t="s">
        <v>4600</v>
      </c>
      <c r="B4892" t="s">
        <v>40</v>
      </c>
      <c r="C4892" t="s">
        <v>4578</v>
      </c>
      <c r="D4892" t="s">
        <v>42</v>
      </c>
      <c r="E4892" t="s">
        <v>43</v>
      </c>
      <c r="F4892" t="s">
        <v>44</v>
      </c>
      <c r="G4892" t="s">
        <v>45</v>
      </c>
      <c r="AH4892" t="s">
        <v>42</v>
      </c>
      <c r="AI4892" t="str">
        <f>"YH1430A"</f>
        <v>YH1430A</v>
      </c>
      <c r="AJ4892" t="str">
        <f>"YH1430A"</f>
        <v>YH1430A</v>
      </c>
      <c r="AK4892" t="s">
        <v>46</v>
      </c>
      <c r="AL4892" s="1">
        <v>45020.924525462964</v>
      </c>
      <c r="AM4892" t="s">
        <v>44</v>
      </c>
    </row>
    <row r="4893" spans="1:39" x14ac:dyDescent="0.2">
      <c r="A4893" t="s">
        <v>4601</v>
      </c>
      <c r="B4893" t="s">
        <v>40</v>
      </c>
      <c r="C4893" t="s">
        <v>4575</v>
      </c>
      <c r="D4893" t="s">
        <v>42</v>
      </c>
      <c r="E4893" t="s">
        <v>43</v>
      </c>
      <c r="F4893" t="s">
        <v>44</v>
      </c>
      <c r="G4893" t="s">
        <v>45</v>
      </c>
      <c r="AH4893" t="s">
        <v>42</v>
      </c>
      <c r="AI4893" t="str">
        <f>"66298952616461"</f>
        <v>66298952616461</v>
      </c>
      <c r="AJ4893" t="str">
        <f>"14721-KWF-900"</f>
        <v>14721-KWF-900</v>
      </c>
      <c r="AK4893" t="s">
        <v>46</v>
      </c>
      <c r="AL4893" s="1">
        <v>44816.563958333332</v>
      </c>
      <c r="AM4893" t="s">
        <v>44</v>
      </c>
    </row>
    <row r="4894" spans="1:39" x14ac:dyDescent="0.2">
      <c r="A4894" t="s">
        <v>4602</v>
      </c>
      <c r="B4894" t="s">
        <v>40</v>
      </c>
      <c r="C4894" t="s">
        <v>4575</v>
      </c>
      <c r="D4894" t="s">
        <v>42</v>
      </c>
      <c r="E4894" t="s">
        <v>43</v>
      </c>
      <c r="F4894" t="s">
        <v>44</v>
      </c>
      <c r="G4894" t="s">
        <v>45</v>
      </c>
      <c r="AH4894" t="s">
        <v>42</v>
      </c>
      <c r="AI4894" t="str">
        <f>"66298952656025"</f>
        <v>66298952656025</v>
      </c>
      <c r="AJ4894" t="str">
        <f>"EV-30108-000"</f>
        <v>EV-30108-000</v>
      </c>
      <c r="AK4894" t="s">
        <v>46</v>
      </c>
      <c r="AL4894" s="1">
        <v>44816.563958333332</v>
      </c>
      <c r="AM4894" t="s">
        <v>44</v>
      </c>
    </row>
    <row r="4895" spans="1:39" x14ac:dyDescent="0.2">
      <c r="A4895" t="s">
        <v>4603</v>
      </c>
      <c r="B4895" t="s">
        <v>40</v>
      </c>
      <c r="C4895" t="s">
        <v>4575</v>
      </c>
      <c r="D4895" t="s">
        <v>42</v>
      </c>
      <c r="E4895" t="s">
        <v>43</v>
      </c>
      <c r="F4895" t="s">
        <v>44</v>
      </c>
      <c r="G4895" t="s">
        <v>45</v>
      </c>
      <c r="AH4895" t="s">
        <v>42</v>
      </c>
      <c r="AI4895" t="str">
        <f>"66298952693855"</f>
        <v>66298952693855</v>
      </c>
      <c r="AJ4895" t="str">
        <f>"14721-KRM-840JP"</f>
        <v>14721-KRM-840JP</v>
      </c>
      <c r="AK4895" t="s">
        <v>46</v>
      </c>
      <c r="AL4895" s="1">
        <v>44816.563958333332</v>
      </c>
      <c r="AM4895" t="s">
        <v>44</v>
      </c>
    </row>
    <row r="4896" spans="1:39" x14ac:dyDescent="0.2">
      <c r="A4896" t="s">
        <v>4604</v>
      </c>
      <c r="B4896" t="s">
        <v>40</v>
      </c>
      <c r="C4896" t="s">
        <v>4575</v>
      </c>
      <c r="D4896" t="s">
        <v>42</v>
      </c>
      <c r="E4896" t="s">
        <v>43</v>
      </c>
      <c r="F4896" t="s">
        <v>44</v>
      </c>
      <c r="G4896" t="s">
        <v>45</v>
      </c>
      <c r="AH4896" t="s">
        <v>42</v>
      </c>
      <c r="AI4896" t="str">
        <f>"66298952735541"</f>
        <v>66298952735541</v>
      </c>
      <c r="AJ4896" t="str">
        <f>"12912-12F50"</f>
        <v>12912-12F50</v>
      </c>
      <c r="AK4896" t="s">
        <v>46</v>
      </c>
      <c r="AL4896" s="1">
        <v>44816.563969907409</v>
      </c>
      <c r="AM4896" t="s">
        <v>44</v>
      </c>
    </row>
    <row r="4897" spans="1:39" x14ac:dyDescent="0.2">
      <c r="A4897" t="s">
        <v>4605</v>
      </c>
      <c r="B4897" t="s">
        <v>40</v>
      </c>
      <c r="C4897" t="s">
        <v>4575</v>
      </c>
      <c r="D4897" t="s">
        <v>42</v>
      </c>
      <c r="E4897" t="s">
        <v>43</v>
      </c>
      <c r="F4897" t="s">
        <v>44</v>
      </c>
      <c r="G4897" t="s">
        <v>45</v>
      </c>
      <c r="AH4897" t="s">
        <v>42</v>
      </c>
      <c r="AI4897" t="str">
        <f>"66298952781342"</f>
        <v>66298952781342</v>
      </c>
      <c r="AJ4897" t="str">
        <f>"PP-30108-000"</f>
        <v>PP-30108-000</v>
      </c>
      <c r="AK4897" t="s">
        <v>46</v>
      </c>
      <c r="AL4897" s="1">
        <v>44816.563969907409</v>
      </c>
      <c r="AM4897" t="s">
        <v>44</v>
      </c>
    </row>
    <row r="4898" spans="1:39" x14ac:dyDescent="0.2">
      <c r="A4898" t="s">
        <v>4606</v>
      </c>
      <c r="B4898" t="s">
        <v>40</v>
      </c>
      <c r="C4898" t="s">
        <v>4575</v>
      </c>
      <c r="D4898" t="s">
        <v>42</v>
      </c>
      <c r="E4898" t="s">
        <v>43</v>
      </c>
      <c r="F4898" t="s">
        <v>44</v>
      </c>
      <c r="G4898" t="s">
        <v>45</v>
      </c>
      <c r="AH4898" t="s">
        <v>42</v>
      </c>
      <c r="AI4898" t="str">
        <f>"66298952820261"</f>
        <v>66298952820261</v>
      </c>
      <c r="AJ4898" t="str">
        <f>"12912H3E002H000"</f>
        <v>12912H3E002H000</v>
      </c>
      <c r="AK4898" t="s">
        <v>46</v>
      </c>
      <c r="AL4898" s="1">
        <v>44816.563981481479</v>
      </c>
      <c r="AM4898" t="s">
        <v>44</v>
      </c>
    </row>
    <row r="4899" spans="1:39" x14ac:dyDescent="0.2">
      <c r="A4899" t="s">
        <v>4607</v>
      </c>
      <c r="B4899" t="s">
        <v>40</v>
      </c>
      <c r="C4899" t="s">
        <v>4575</v>
      </c>
      <c r="D4899" t="s">
        <v>42</v>
      </c>
      <c r="E4899" t="s">
        <v>43</v>
      </c>
      <c r="F4899" t="s">
        <v>44</v>
      </c>
      <c r="G4899" t="s">
        <v>45</v>
      </c>
      <c r="AH4899" t="s">
        <v>42</v>
      </c>
      <c r="AI4899" t="str">
        <f>"66298952858085"</f>
        <v>66298952858085</v>
      </c>
      <c r="AJ4899" t="str">
        <f>"JD-5112-02"</f>
        <v>JD-5112-02</v>
      </c>
      <c r="AK4899" t="s">
        <v>46</v>
      </c>
      <c r="AL4899" s="1">
        <v>44816.563981481479</v>
      </c>
      <c r="AM4899" t="s">
        <v>44</v>
      </c>
    </row>
    <row r="4900" spans="1:39" x14ac:dyDescent="0.2">
      <c r="A4900" t="s">
        <v>4608</v>
      </c>
      <c r="B4900" t="s">
        <v>40</v>
      </c>
      <c r="C4900" t="s">
        <v>4575</v>
      </c>
      <c r="D4900" t="s">
        <v>42</v>
      </c>
      <c r="E4900" t="s">
        <v>43</v>
      </c>
      <c r="F4900" t="s">
        <v>44</v>
      </c>
      <c r="G4900" t="s">
        <v>45</v>
      </c>
      <c r="AH4900" t="s">
        <v>42</v>
      </c>
      <c r="AI4900" t="str">
        <f>"66298952902191"</f>
        <v>66298952902191</v>
      </c>
      <c r="AJ4900" t="str">
        <f>"DJ-1011-25"</f>
        <v>DJ-1011-25</v>
      </c>
      <c r="AK4900" t="s">
        <v>46</v>
      </c>
      <c r="AL4900" s="1">
        <v>44816.563993055555</v>
      </c>
      <c r="AM4900" t="s">
        <v>44</v>
      </c>
    </row>
    <row r="4901" spans="1:39" x14ac:dyDescent="0.2">
      <c r="A4901" t="s">
        <v>4609</v>
      </c>
      <c r="B4901" t="s">
        <v>40</v>
      </c>
      <c r="C4901" t="s">
        <v>4575</v>
      </c>
      <c r="D4901" t="s">
        <v>42</v>
      </c>
      <c r="E4901" t="s">
        <v>43</v>
      </c>
      <c r="F4901" t="s">
        <v>44</v>
      </c>
      <c r="G4901" t="s">
        <v>45</v>
      </c>
      <c r="AH4901" t="s">
        <v>42</v>
      </c>
      <c r="AI4901" t="str">
        <f>"66298952947260"</f>
        <v>66298952947260</v>
      </c>
      <c r="AJ4901" t="str">
        <f>"DK-1010-11"</f>
        <v>DK-1010-11</v>
      </c>
      <c r="AK4901" t="s">
        <v>46</v>
      </c>
      <c r="AL4901" s="1">
        <v>44816.563993055555</v>
      </c>
      <c r="AM4901" t="s">
        <v>44</v>
      </c>
    </row>
    <row r="4902" spans="1:39" x14ac:dyDescent="0.2">
      <c r="A4902" t="s">
        <v>4610</v>
      </c>
      <c r="B4902" t="s">
        <v>40</v>
      </c>
      <c r="C4902" t="s">
        <v>4575</v>
      </c>
      <c r="D4902" t="s">
        <v>42</v>
      </c>
      <c r="E4902" t="s">
        <v>43</v>
      </c>
      <c r="F4902" t="s">
        <v>44</v>
      </c>
      <c r="G4902" t="s">
        <v>45</v>
      </c>
      <c r="AH4902" t="s">
        <v>42</v>
      </c>
      <c r="AI4902" t="str">
        <f>"66298952985602"</f>
        <v>66298952985602</v>
      </c>
      <c r="AJ4902" t="str">
        <f>"14721-KUDU-C00"</f>
        <v>14721-KUDU-C00</v>
      </c>
      <c r="AK4902" t="s">
        <v>46</v>
      </c>
      <c r="AL4902" s="1">
        <v>44816.563993055555</v>
      </c>
      <c r="AM4902" t="s">
        <v>44</v>
      </c>
    </row>
    <row r="4903" spans="1:39" x14ac:dyDescent="0.2">
      <c r="A4903" t="s">
        <v>4611</v>
      </c>
      <c r="B4903" t="s">
        <v>40</v>
      </c>
      <c r="C4903" t="s">
        <v>4575</v>
      </c>
      <c r="D4903" t="s">
        <v>42</v>
      </c>
      <c r="E4903" t="s">
        <v>43</v>
      </c>
      <c r="F4903" t="s">
        <v>44</v>
      </c>
      <c r="G4903" t="s">
        <v>45</v>
      </c>
      <c r="AH4903" t="s">
        <v>42</v>
      </c>
      <c r="AI4903" t="str">
        <f>"66298953024882"</f>
        <v>66298953024882</v>
      </c>
      <c r="AJ4903" t="str">
        <f>"14721-KCC-950"</f>
        <v>14721-KCC-950</v>
      </c>
      <c r="AK4903" t="s">
        <v>46</v>
      </c>
      <c r="AL4903" s="1">
        <v>44816.564004629632</v>
      </c>
      <c r="AM4903" t="s">
        <v>44</v>
      </c>
    </row>
    <row r="4904" spans="1:39" x14ac:dyDescent="0.2">
      <c r="A4904" t="s">
        <v>4612</v>
      </c>
      <c r="B4904" t="s">
        <v>40</v>
      </c>
      <c r="C4904" t="s">
        <v>4575</v>
      </c>
      <c r="D4904" t="s">
        <v>42</v>
      </c>
      <c r="E4904" t="s">
        <v>43</v>
      </c>
      <c r="F4904" t="s">
        <v>44</v>
      </c>
      <c r="G4904" t="s">
        <v>45</v>
      </c>
      <c r="AH4904" t="s">
        <v>42</v>
      </c>
      <c r="AI4904" t="str">
        <f>"66298953066393"</f>
        <v>66298953066393</v>
      </c>
      <c r="AJ4904" t="str">
        <f>"14721-437-000JP"</f>
        <v>14721-437-000JP</v>
      </c>
      <c r="AK4904" t="s">
        <v>46</v>
      </c>
      <c r="AL4904" s="1">
        <v>44816.564004629632</v>
      </c>
      <c r="AM4904" t="s">
        <v>44</v>
      </c>
    </row>
    <row r="4905" spans="1:39" x14ac:dyDescent="0.2">
      <c r="A4905" t="s">
        <v>4613</v>
      </c>
      <c r="B4905" t="s">
        <v>40</v>
      </c>
      <c r="C4905" t="s">
        <v>4575</v>
      </c>
      <c r="D4905" t="s">
        <v>42</v>
      </c>
      <c r="E4905" t="s">
        <v>43</v>
      </c>
      <c r="F4905" t="s">
        <v>44</v>
      </c>
      <c r="G4905" t="s">
        <v>45</v>
      </c>
      <c r="AH4905" t="s">
        <v>42</v>
      </c>
      <c r="AI4905" t="str">
        <f>"66298953104787"</f>
        <v>66298953104787</v>
      </c>
      <c r="AJ4905" t="str">
        <f>"14721-KGA-B00"</f>
        <v>14721-KGA-B00</v>
      </c>
      <c r="AK4905" t="s">
        <v>46</v>
      </c>
      <c r="AL4905" s="1">
        <v>44816.564016203702</v>
      </c>
      <c r="AM4905" t="s">
        <v>44</v>
      </c>
    </row>
    <row r="4906" spans="1:39" x14ac:dyDescent="0.2">
      <c r="A4906" t="s">
        <v>4614</v>
      </c>
      <c r="B4906" t="s">
        <v>40</v>
      </c>
      <c r="C4906" t="s">
        <v>4575</v>
      </c>
      <c r="D4906" t="s">
        <v>42</v>
      </c>
      <c r="E4906" t="s">
        <v>43</v>
      </c>
      <c r="F4906" t="s">
        <v>44</v>
      </c>
      <c r="G4906" t="s">
        <v>45</v>
      </c>
      <c r="AH4906" t="s">
        <v>42</v>
      </c>
      <c r="AI4906" t="str">
        <f>"66298953144526"</f>
        <v>66298953144526</v>
      </c>
      <c r="AJ4906" t="str">
        <f>"14721-KBB-900"</f>
        <v>14721-KBB-900</v>
      </c>
      <c r="AK4906" t="s">
        <v>46</v>
      </c>
      <c r="AL4906" s="1">
        <v>44816.564016203702</v>
      </c>
      <c r="AM4906" t="s">
        <v>44</v>
      </c>
    </row>
    <row r="4907" spans="1:39" x14ac:dyDescent="0.2">
      <c r="A4907" t="s">
        <v>4615</v>
      </c>
      <c r="B4907" t="s">
        <v>40</v>
      </c>
      <c r="C4907" t="s">
        <v>4575</v>
      </c>
      <c r="D4907" t="s">
        <v>42</v>
      </c>
      <c r="E4907" t="s">
        <v>43</v>
      </c>
      <c r="F4907" t="s">
        <v>44</v>
      </c>
      <c r="G4907" t="s">
        <v>45</v>
      </c>
      <c r="AH4907" t="s">
        <v>42</v>
      </c>
      <c r="AI4907" t="str">
        <f>"66298953217621"</f>
        <v>66298953217621</v>
      </c>
      <c r="AJ4907" t="str">
        <f>"14721-KPF-900"</f>
        <v>14721-KPF-900</v>
      </c>
      <c r="AK4907" t="s">
        <v>46</v>
      </c>
      <c r="AL4907" s="1">
        <v>44816.564027777778</v>
      </c>
      <c r="AM4907" t="s">
        <v>44</v>
      </c>
    </row>
    <row r="4908" spans="1:39" x14ac:dyDescent="0.2">
      <c r="A4908" t="s">
        <v>4616</v>
      </c>
      <c r="B4908" t="s">
        <v>40</v>
      </c>
      <c r="C4908" t="s">
        <v>4575</v>
      </c>
      <c r="D4908" t="s">
        <v>42</v>
      </c>
      <c r="E4908" t="s">
        <v>43</v>
      </c>
      <c r="F4908" t="s">
        <v>44</v>
      </c>
      <c r="G4908" t="s">
        <v>45</v>
      </c>
      <c r="AH4908" t="s">
        <v>42</v>
      </c>
      <c r="AI4908" t="str">
        <f>"66298953350867"</f>
        <v>66298953350867</v>
      </c>
      <c r="AJ4908" t="str">
        <f>"14721-KR6-000JPN"</f>
        <v>14721-KR6-000JPN</v>
      </c>
      <c r="AK4908" t="s">
        <v>46</v>
      </c>
      <c r="AL4908" s="1">
        <v>44816.564039351855</v>
      </c>
      <c r="AM4908" t="s">
        <v>44</v>
      </c>
    </row>
    <row r="4909" spans="1:39" x14ac:dyDescent="0.2">
      <c r="A4909" t="s">
        <v>4617</v>
      </c>
      <c r="B4909" t="s">
        <v>40</v>
      </c>
      <c r="C4909" t="s">
        <v>4575</v>
      </c>
      <c r="D4909" t="s">
        <v>42</v>
      </c>
      <c r="E4909" t="s">
        <v>43</v>
      </c>
      <c r="F4909" t="s">
        <v>44</v>
      </c>
      <c r="G4909" t="s">
        <v>45</v>
      </c>
      <c r="AH4909" t="s">
        <v>42</v>
      </c>
      <c r="AI4909" t="str">
        <f>"66298953267545"</f>
        <v>66298953267545</v>
      </c>
      <c r="AJ4909" t="str">
        <f>"14721-KR6-000JP"</f>
        <v>14721-KR6-000JP</v>
      </c>
      <c r="AK4909" t="s">
        <v>46</v>
      </c>
      <c r="AL4909" s="1">
        <v>44816.564027777778</v>
      </c>
      <c r="AM4909" t="s">
        <v>44</v>
      </c>
    </row>
    <row r="4910" spans="1:39" x14ac:dyDescent="0.2">
      <c r="A4910" t="s">
        <v>4617</v>
      </c>
      <c r="B4910" t="s">
        <v>40</v>
      </c>
      <c r="C4910" t="s">
        <v>4575</v>
      </c>
      <c r="D4910" t="s">
        <v>42</v>
      </c>
      <c r="E4910" t="s">
        <v>43</v>
      </c>
      <c r="F4910" t="s">
        <v>44</v>
      </c>
      <c r="G4910" t="s">
        <v>45</v>
      </c>
      <c r="AH4910" t="s">
        <v>42</v>
      </c>
      <c r="AI4910" t="str">
        <f>"66298953309404"</f>
        <v>66298953309404</v>
      </c>
      <c r="AJ4910" t="str">
        <f>"14721-KR6-000"</f>
        <v>14721-KR6-000</v>
      </c>
      <c r="AK4910" t="s">
        <v>46</v>
      </c>
      <c r="AL4910" s="1">
        <v>44816.564039351855</v>
      </c>
      <c r="AM4910" t="s">
        <v>44</v>
      </c>
    </row>
    <row r="4911" spans="1:39" x14ac:dyDescent="0.2">
      <c r="A4911" t="s">
        <v>4618</v>
      </c>
      <c r="B4911" t="s">
        <v>40</v>
      </c>
      <c r="C4911" t="s">
        <v>4575</v>
      </c>
      <c r="D4911" t="s">
        <v>42</v>
      </c>
      <c r="E4911" t="s">
        <v>43</v>
      </c>
      <c r="F4911" t="s">
        <v>44</v>
      </c>
      <c r="G4911" t="s">
        <v>45</v>
      </c>
      <c r="AH4911" t="s">
        <v>42</v>
      </c>
      <c r="AI4911" t="str">
        <f>"66298953390137"</f>
        <v>66298953390137</v>
      </c>
      <c r="AJ4911" t="str">
        <f>"5HH-E2121-00"</f>
        <v>5HH-E2121-00</v>
      </c>
      <c r="AK4911" t="s">
        <v>46</v>
      </c>
      <c r="AL4911" s="1">
        <v>44816.564039351855</v>
      </c>
      <c r="AM4911" t="s">
        <v>44</v>
      </c>
    </row>
    <row r="4912" spans="1:39" x14ac:dyDescent="0.2">
      <c r="A4912" t="s">
        <v>4619</v>
      </c>
      <c r="B4912" t="s">
        <v>40</v>
      </c>
      <c r="C4912" t="s">
        <v>4575</v>
      </c>
      <c r="D4912" t="s">
        <v>42</v>
      </c>
      <c r="E4912" t="s">
        <v>43</v>
      </c>
      <c r="F4912" t="s">
        <v>44</v>
      </c>
      <c r="G4912" t="s">
        <v>45</v>
      </c>
      <c r="AH4912" t="s">
        <v>42</v>
      </c>
      <c r="AI4912" t="str">
        <f>"66298953432973"</f>
        <v>66298953432973</v>
      </c>
      <c r="AJ4912" t="str">
        <f>"5KA-E2121-00"</f>
        <v>5KA-E2121-00</v>
      </c>
      <c r="AK4912" t="s">
        <v>46</v>
      </c>
      <c r="AL4912" s="1">
        <v>44816.564050925925</v>
      </c>
      <c r="AM4912" t="s">
        <v>44</v>
      </c>
    </row>
    <row r="4913" spans="1:39" x14ac:dyDescent="0.2">
      <c r="A4913" t="s">
        <v>4620</v>
      </c>
      <c r="B4913" t="s">
        <v>40</v>
      </c>
      <c r="C4913" t="s">
        <v>4575</v>
      </c>
      <c r="D4913" t="s">
        <v>42</v>
      </c>
      <c r="E4913" t="s">
        <v>43</v>
      </c>
      <c r="F4913" t="s">
        <v>44</v>
      </c>
      <c r="G4913" t="s">
        <v>45</v>
      </c>
      <c r="AH4913" t="s">
        <v>42</v>
      </c>
      <c r="AI4913" t="str">
        <f>"66298953471454"</f>
        <v>66298953471454</v>
      </c>
      <c r="AJ4913" t="str">
        <f>"4C6-E2121-00"</f>
        <v>4C6-E2121-00</v>
      </c>
      <c r="AK4913" t="s">
        <v>46</v>
      </c>
      <c r="AL4913" s="1">
        <v>44816.564050925925</v>
      </c>
      <c r="AM4913" t="s">
        <v>44</v>
      </c>
    </row>
    <row r="4914" spans="1:39" x14ac:dyDescent="0.2">
      <c r="A4914" t="s">
        <v>4621</v>
      </c>
      <c r="B4914" t="s">
        <v>40</v>
      </c>
      <c r="C4914" t="s">
        <v>4575</v>
      </c>
      <c r="D4914" t="s">
        <v>42</v>
      </c>
      <c r="E4914" t="s">
        <v>43</v>
      </c>
      <c r="F4914" t="s">
        <v>44</v>
      </c>
      <c r="G4914" t="s">
        <v>45</v>
      </c>
      <c r="AH4914" t="s">
        <v>42</v>
      </c>
      <c r="AI4914" t="str">
        <f>"66298953515180"</f>
        <v>66298953515180</v>
      </c>
      <c r="AJ4914" t="str">
        <f>"5YP-E2121-00"</f>
        <v>5YP-E2121-00</v>
      </c>
      <c r="AK4914" t="s">
        <v>46</v>
      </c>
      <c r="AL4914" s="1">
        <v>44816.564062500001</v>
      </c>
      <c r="AM4914" t="s">
        <v>44</v>
      </c>
    </row>
    <row r="4915" spans="1:39" x14ac:dyDescent="0.2">
      <c r="A4915" t="s">
        <v>4621</v>
      </c>
      <c r="B4915" t="s">
        <v>40</v>
      </c>
      <c r="C4915" t="s">
        <v>4575</v>
      </c>
      <c r="D4915" t="s">
        <v>42</v>
      </c>
      <c r="E4915" t="s">
        <v>43</v>
      </c>
      <c r="F4915" t="s">
        <v>44</v>
      </c>
      <c r="G4915" t="s">
        <v>45</v>
      </c>
      <c r="AH4915" t="s">
        <v>42</v>
      </c>
      <c r="AI4915" t="str">
        <f>"5YP-E2121-00JP"</f>
        <v>5YP-E2121-00JP</v>
      </c>
      <c r="AJ4915" t="str">
        <f>"5YP-E2121-00JP"</f>
        <v>5YP-E2121-00JP</v>
      </c>
      <c r="AK4915" t="s">
        <v>46</v>
      </c>
      <c r="AL4915" s="1">
        <v>45150.646666666667</v>
      </c>
      <c r="AM4915" t="s">
        <v>44</v>
      </c>
    </row>
    <row r="4916" spans="1:39" x14ac:dyDescent="0.2">
      <c r="A4916" t="s">
        <v>4622</v>
      </c>
      <c r="B4916" t="s">
        <v>40</v>
      </c>
      <c r="C4916" t="s">
        <v>129</v>
      </c>
      <c r="D4916" t="s">
        <v>42</v>
      </c>
      <c r="E4916" t="s">
        <v>43</v>
      </c>
      <c r="F4916" t="s">
        <v>44</v>
      </c>
      <c r="G4916" t="s">
        <v>45</v>
      </c>
      <c r="AH4916" t="s">
        <v>42</v>
      </c>
      <c r="AI4916" t="str">
        <f>"66298953560357"</f>
        <v>66298953560357</v>
      </c>
      <c r="AJ4916" t="str">
        <f>"H014"</f>
        <v>H014</v>
      </c>
      <c r="AK4916" t="s">
        <v>46</v>
      </c>
      <c r="AL4916" s="1">
        <v>44816.564062500001</v>
      </c>
      <c r="AM4916" t="s">
        <v>44</v>
      </c>
    </row>
    <row r="4917" spans="1:39" x14ac:dyDescent="0.2">
      <c r="A4917" t="s">
        <v>4622</v>
      </c>
      <c r="B4917" t="s">
        <v>40</v>
      </c>
      <c r="C4917" t="s">
        <v>4575</v>
      </c>
      <c r="D4917" t="s">
        <v>42</v>
      </c>
      <c r="E4917" t="s">
        <v>43</v>
      </c>
      <c r="F4917" t="s">
        <v>44</v>
      </c>
      <c r="G4917" t="s">
        <v>45</v>
      </c>
      <c r="AH4917" t="s">
        <v>42</v>
      </c>
      <c r="AI4917" t="str">
        <f>"H013"</f>
        <v>H013</v>
      </c>
      <c r="AJ4917" t="str">
        <f>"H013"</f>
        <v>H013</v>
      </c>
      <c r="AK4917" t="s">
        <v>46</v>
      </c>
      <c r="AL4917" s="1">
        <v>44946.797905092593</v>
      </c>
      <c r="AM4917" t="s">
        <v>44</v>
      </c>
    </row>
    <row r="4918" spans="1:39" x14ac:dyDescent="0.2">
      <c r="A4918" t="s">
        <v>4622</v>
      </c>
      <c r="B4918" t="s">
        <v>40</v>
      </c>
      <c r="C4918" t="s">
        <v>3168</v>
      </c>
      <c r="D4918" t="s">
        <v>42</v>
      </c>
      <c r="E4918" t="s">
        <v>43</v>
      </c>
      <c r="F4918" t="s">
        <v>44</v>
      </c>
      <c r="G4918" t="s">
        <v>45</v>
      </c>
      <c r="H4918" t="s">
        <v>4623</v>
      </c>
      <c r="AH4918" t="s">
        <v>42</v>
      </c>
      <c r="AI4918" t="str">
        <f>"VALV-CURVA"</f>
        <v>VALV-CURVA</v>
      </c>
      <c r="AJ4918" t="str">
        <f>"VALV-CURVA"</f>
        <v>VALV-CURVA</v>
      </c>
      <c r="AK4918" t="s">
        <v>46</v>
      </c>
      <c r="AL4918" s="1">
        <v>44999.865856481483</v>
      </c>
      <c r="AM4918" t="s">
        <v>44</v>
      </c>
    </row>
    <row r="4919" spans="1:39" x14ac:dyDescent="0.2">
      <c r="A4919" t="s">
        <v>4622</v>
      </c>
      <c r="B4919" t="s">
        <v>40</v>
      </c>
      <c r="C4919" t="s">
        <v>3168</v>
      </c>
      <c r="D4919" t="s">
        <v>42</v>
      </c>
      <c r="E4919" t="s">
        <v>43</v>
      </c>
      <c r="F4919" t="s">
        <v>44</v>
      </c>
      <c r="G4919" t="s">
        <v>45</v>
      </c>
      <c r="H4919" t="s">
        <v>4624</v>
      </c>
      <c r="AH4919" t="s">
        <v>42</v>
      </c>
      <c r="AI4919" t="str">
        <f>"VALV-RECTA"</f>
        <v>VALV-RECTA</v>
      </c>
      <c r="AJ4919" t="str">
        <f>"VALV-RECTA"</f>
        <v>VALV-RECTA</v>
      </c>
      <c r="AK4919" t="s">
        <v>46</v>
      </c>
      <c r="AL4919" s="1">
        <v>44999.865694444445</v>
      </c>
      <c r="AM4919" t="s">
        <v>44</v>
      </c>
    </row>
    <row r="4920" spans="1:39" x14ac:dyDescent="0.2">
      <c r="A4920" t="s">
        <v>4625</v>
      </c>
      <c r="B4920" t="s">
        <v>40</v>
      </c>
      <c r="C4920" t="s">
        <v>129</v>
      </c>
      <c r="D4920" t="s">
        <v>42</v>
      </c>
      <c r="E4920" t="s">
        <v>43</v>
      </c>
      <c r="F4920" t="s">
        <v>44</v>
      </c>
      <c r="G4920" t="s">
        <v>45</v>
      </c>
      <c r="AH4920" t="s">
        <v>42</v>
      </c>
      <c r="AI4920" t="str">
        <f>"66298953597421"</f>
        <v>66298953597421</v>
      </c>
      <c r="AJ4920" t="str">
        <f>"H015"</f>
        <v>H015</v>
      </c>
      <c r="AK4920" t="s">
        <v>46</v>
      </c>
      <c r="AL4920" s="1">
        <v>44816.564062500001</v>
      </c>
      <c r="AM4920" t="s">
        <v>44</v>
      </c>
    </row>
    <row r="4921" spans="1:39" x14ac:dyDescent="0.2">
      <c r="A4921" t="s">
        <v>4626</v>
      </c>
      <c r="B4921" t="s">
        <v>40</v>
      </c>
      <c r="C4921" t="s">
        <v>4575</v>
      </c>
      <c r="D4921" t="s">
        <v>42</v>
      </c>
      <c r="E4921" t="s">
        <v>43</v>
      </c>
      <c r="F4921" t="s">
        <v>44</v>
      </c>
      <c r="G4921" t="s">
        <v>45</v>
      </c>
      <c r="AH4921" t="s">
        <v>42</v>
      </c>
      <c r="AI4921" t="str">
        <f>"66298953639367"</f>
        <v>66298953639367</v>
      </c>
      <c r="AJ4921" t="str">
        <f>"82006"</f>
        <v>82006</v>
      </c>
      <c r="AK4921" t="s">
        <v>46</v>
      </c>
      <c r="AL4921" s="1">
        <v>44816.564074074071</v>
      </c>
      <c r="AM4921" t="s">
        <v>44</v>
      </c>
    </row>
    <row r="4922" spans="1:39" x14ac:dyDescent="0.2">
      <c r="A4922" t="s">
        <v>4627</v>
      </c>
      <c r="B4922" t="s">
        <v>40</v>
      </c>
      <c r="C4922" t="s">
        <v>4575</v>
      </c>
      <c r="D4922" t="s">
        <v>42</v>
      </c>
      <c r="E4922" t="s">
        <v>43</v>
      </c>
      <c r="F4922" t="s">
        <v>44</v>
      </c>
      <c r="G4922" t="s">
        <v>45</v>
      </c>
      <c r="AH4922" t="s">
        <v>42</v>
      </c>
      <c r="AI4922" t="str">
        <f>"11482"</f>
        <v>11482</v>
      </c>
      <c r="AJ4922" t="str">
        <f>"11482"</f>
        <v>11482</v>
      </c>
      <c r="AK4922" t="s">
        <v>46</v>
      </c>
      <c r="AL4922" s="1">
        <v>45006.886192129627</v>
      </c>
      <c r="AM4922" t="s">
        <v>44</v>
      </c>
    </row>
    <row r="4923" spans="1:39" x14ac:dyDescent="0.2">
      <c r="A4923" t="s">
        <v>4628</v>
      </c>
      <c r="B4923" t="s">
        <v>40</v>
      </c>
      <c r="C4923" t="s">
        <v>4575</v>
      </c>
      <c r="D4923" t="s">
        <v>42</v>
      </c>
      <c r="E4923" t="s">
        <v>43</v>
      </c>
      <c r="F4923" t="s">
        <v>44</v>
      </c>
      <c r="G4923" t="s">
        <v>45</v>
      </c>
      <c r="AH4923" t="s">
        <v>42</v>
      </c>
      <c r="AI4923" t="str">
        <f>"66298953729049"</f>
        <v>66298953729049</v>
      </c>
      <c r="AJ4923" t="str">
        <f>"11477"</f>
        <v>11477</v>
      </c>
      <c r="AK4923" t="s">
        <v>46</v>
      </c>
      <c r="AL4923" s="1">
        <v>44816.564085648148</v>
      </c>
      <c r="AM4923" t="s">
        <v>44</v>
      </c>
    </row>
    <row r="4924" spans="1:39" x14ac:dyDescent="0.2">
      <c r="A4924" t="s">
        <v>4629</v>
      </c>
      <c r="B4924" t="s">
        <v>40</v>
      </c>
      <c r="C4924" t="s">
        <v>4575</v>
      </c>
      <c r="D4924" t="s">
        <v>42</v>
      </c>
      <c r="E4924" t="s">
        <v>43</v>
      </c>
      <c r="F4924" t="s">
        <v>44</v>
      </c>
      <c r="G4924" t="s">
        <v>45</v>
      </c>
      <c r="AH4924" t="s">
        <v>42</v>
      </c>
      <c r="AI4924" t="str">
        <f>"66298953684217"</f>
        <v>66298953684217</v>
      </c>
      <c r="AJ4924" t="str">
        <f>"DC002"</f>
        <v>DC002</v>
      </c>
      <c r="AK4924" t="s">
        <v>46</v>
      </c>
      <c r="AL4924" s="1">
        <v>44816.564074074071</v>
      </c>
      <c r="AM4924" t="s">
        <v>44</v>
      </c>
    </row>
    <row r="4925" spans="1:39" x14ac:dyDescent="0.2">
      <c r="A4925" t="s">
        <v>4630</v>
      </c>
      <c r="B4925" t="s">
        <v>40</v>
      </c>
      <c r="C4925" t="s">
        <v>4575</v>
      </c>
      <c r="D4925" t="s">
        <v>42</v>
      </c>
      <c r="E4925" t="s">
        <v>43</v>
      </c>
      <c r="F4925" t="s">
        <v>44</v>
      </c>
      <c r="G4925" t="s">
        <v>45</v>
      </c>
      <c r="AH4925" t="s">
        <v>42</v>
      </c>
      <c r="AI4925" t="str">
        <f>"7847"</f>
        <v>7847</v>
      </c>
      <c r="AJ4925" t="str">
        <f>"7847"</f>
        <v>7847</v>
      </c>
      <c r="AK4925" t="s">
        <v>46</v>
      </c>
      <c r="AL4925" s="1">
        <v>45125.77847222222</v>
      </c>
      <c r="AM4925" t="s">
        <v>44</v>
      </c>
    </row>
    <row r="4926" spans="1:39" x14ac:dyDescent="0.2">
      <c r="A4926" t="s">
        <v>4631</v>
      </c>
      <c r="B4926" t="s">
        <v>40</v>
      </c>
      <c r="C4926" t="s">
        <v>4575</v>
      </c>
      <c r="D4926" t="s">
        <v>42</v>
      </c>
      <c r="E4926" t="s">
        <v>43</v>
      </c>
      <c r="F4926" t="s">
        <v>44</v>
      </c>
      <c r="G4926" t="s">
        <v>45</v>
      </c>
      <c r="AH4926" t="s">
        <v>42</v>
      </c>
      <c r="AI4926" t="str">
        <f>"66298953780749"</f>
        <v>66298953780749</v>
      </c>
      <c r="AJ4926" t="str">
        <f>"400084"</f>
        <v>400084</v>
      </c>
      <c r="AK4926" t="s">
        <v>46</v>
      </c>
      <c r="AL4926" s="1">
        <v>44816.564085648148</v>
      </c>
      <c r="AM4926" t="s">
        <v>44</v>
      </c>
    </row>
    <row r="4927" spans="1:39" x14ac:dyDescent="0.2">
      <c r="A4927" t="s">
        <v>4632</v>
      </c>
      <c r="B4927" t="s">
        <v>40</v>
      </c>
      <c r="C4927" t="s">
        <v>4575</v>
      </c>
      <c r="D4927" t="s">
        <v>42</v>
      </c>
      <c r="E4927" t="s">
        <v>43</v>
      </c>
      <c r="F4927" t="s">
        <v>44</v>
      </c>
      <c r="G4927" t="s">
        <v>45</v>
      </c>
      <c r="AH4927" t="s">
        <v>42</v>
      </c>
      <c r="AI4927" t="str">
        <f>"66298953824167"</f>
        <v>66298953824167</v>
      </c>
      <c r="AJ4927" t="str">
        <f>"400074"</f>
        <v>400074</v>
      </c>
      <c r="AK4927" t="s">
        <v>46</v>
      </c>
      <c r="AL4927" s="1">
        <v>44816.564097222225</v>
      </c>
      <c r="AM4927" t="s">
        <v>44</v>
      </c>
    </row>
    <row r="4928" spans="1:39" x14ac:dyDescent="0.2">
      <c r="A4928" t="s">
        <v>4633</v>
      </c>
      <c r="B4928" t="s">
        <v>40</v>
      </c>
      <c r="C4928" t="s">
        <v>4575</v>
      </c>
      <c r="D4928" t="s">
        <v>42</v>
      </c>
      <c r="E4928" t="s">
        <v>43</v>
      </c>
      <c r="F4928" t="s">
        <v>44</v>
      </c>
      <c r="G4928" t="s">
        <v>45</v>
      </c>
      <c r="AH4928" t="s">
        <v>42</v>
      </c>
      <c r="AI4928" t="str">
        <f>"66298953970946"</f>
        <v>66298953970946</v>
      </c>
      <c r="AJ4928" t="str">
        <f>"400075"</f>
        <v>400075</v>
      </c>
      <c r="AK4928" t="s">
        <v>46</v>
      </c>
      <c r="AL4928" s="1">
        <v>44816.564108796294</v>
      </c>
      <c r="AM4928" t="s">
        <v>44</v>
      </c>
    </row>
    <row r="4929" spans="1:39" x14ac:dyDescent="0.2">
      <c r="A4929" t="s">
        <v>4634</v>
      </c>
      <c r="B4929" t="s">
        <v>40</v>
      </c>
      <c r="C4929" t="s">
        <v>4575</v>
      </c>
      <c r="D4929" t="s">
        <v>42</v>
      </c>
      <c r="E4929" t="s">
        <v>43</v>
      </c>
      <c r="F4929" t="s">
        <v>44</v>
      </c>
      <c r="G4929" t="s">
        <v>45</v>
      </c>
      <c r="AH4929" t="s">
        <v>42</v>
      </c>
      <c r="AI4929" t="str">
        <f>"66298953866752"</f>
        <v>66298953866752</v>
      </c>
      <c r="AJ4929" t="str">
        <f>"2695"</f>
        <v>2695</v>
      </c>
      <c r="AK4929" t="s">
        <v>46</v>
      </c>
      <c r="AL4929" s="1">
        <v>44816.564097222225</v>
      </c>
      <c r="AM4929" t="s">
        <v>44</v>
      </c>
    </row>
    <row r="4930" spans="1:39" x14ac:dyDescent="0.2">
      <c r="A4930" t="s">
        <v>4634</v>
      </c>
      <c r="B4930" t="s">
        <v>40</v>
      </c>
      <c r="C4930" t="s">
        <v>4575</v>
      </c>
      <c r="D4930" t="s">
        <v>42</v>
      </c>
      <c r="E4930" t="s">
        <v>43</v>
      </c>
      <c r="F4930" t="s">
        <v>44</v>
      </c>
      <c r="G4930" t="s">
        <v>45</v>
      </c>
      <c r="AH4930" t="s">
        <v>42</v>
      </c>
      <c r="AI4930" t="str">
        <f>"66298953914263"</f>
        <v>66298953914263</v>
      </c>
      <c r="AJ4930" t="str">
        <f>"DM-V-00006"</f>
        <v>DM-V-00006</v>
      </c>
      <c r="AK4930" t="s">
        <v>46</v>
      </c>
      <c r="AL4930" s="1">
        <v>44816.564108796294</v>
      </c>
      <c r="AM4930" t="s">
        <v>44</v>
      </c>
    </row>
    <row r="4931" spans="1:39" x14ac:dyDescent="0.2">
      <c r="A4931" t="s">
        <v>4634</v>
      </c>
      <c r="B4931" t="s">
        <v>40</v>
      </c>
      <c r="C4931" t="s">
        <v>4575</v>
      </c>
      <c r="D4931" t="s">
        <v>42</v>
      </c>
      <c r="E4931" t="s">
        <v>43</v>
      </c>
      <c r="F4931" t="s">
        <v>44</v>
      </c>
      <c r="G4931" t="s">
        <v>45</v>
      </c>
      <c r="AH4931" t="s">
        <v>42</v>
      </c>
      <c r="AI4931" t="str">
        <f>"66298953919693"</f>
        <v>66298953919693</v>
      </c>
      <c r="AJ4931" t="str">
        <f>"DC007"</f>
        <v>DC007</v>
      </c>
      <c r="AK4931" t="s">
        <v>46</v>
      </c>
      <c r="AL4931" s="1">
        <v>44816.564108796294</v>
      </c>
      <c r="AM4931" t="s">
        <v>44</v>
      </c>
    </row>
    <row r="4932" spans="1:39" x14ac:dyDescent="0.2">
      <c r="A4932" t="s">
        <v>4635</v>
      </c>
      <c r="B4932" t="s">
        <v>40</v>
      </c>
      <c r="C4932" t="s">
        <v>4575</v>
      </c>
      <c r="D4932" t="s">
        <v>42</v>
      </c>
      <c r="E4932" t="s">
        <v>43</v>
      </c>
      <c r="F4932" t="s">
        <v>44</v>
      </c>
      <c r="G4932" t="s">
        <v>45</v>
      </c>
      <c r="AH4932" t="s">
        <v>42</v>
      </c>
      <c r="AI4932" t="str">
        <f>"66298954055132"</f>
        <v>66298954055132</v>
      </c>
      <c r="AJ4932" t="str">
        <f>"400076"</f>
        <v>400076</v>
      </c>
      <c r="AK4932" t="s">
        <v>46</v>
      </c>
      <c r="AL4932" s="1">
        <v>44816.564120370371</v>
      </c>
      <c r="AM4932" t="s">
        <v>44</v>
      </c>
    </row>
    <row r="4933" spans="1:39" x14ac:dyDescent="0.2">
      <c r="A4933" t="s">
        <v>4636</v>
      </c>
      <c r="B4933" t="s">
        <v>40</v>
      </c>
      <c r="C4933" t="s">
        <v>4575</v>
      </c>
      <c r="D4933" t="s">
        <v>42</v>
      </c>
      <c r="E4933" t="s">
        <v>43</v>
      </c>
      <c r="F4933" t="s">
        <v>44</v>
      </c>
      <c r="G4933" t="s">
        <v>45</v>
      </c>
      <c r="AH4933" t="s">
        <v>42</v>
      </c>
      <c r="AI4933" t="str">
        <f>"66298954012747"</f>
        <v>66298954012747</v>
      </c>
      <c r="AJ4933" t="str">
        <f>"808"</f>
        <v>808</v>
      </c>
      <c r="AK4933" t="s">
        <v>46</v>
      </c>
      <c r="AL4933" s="1">
        <v>44816.564120370371</v>
      </c>
      <c r="AM4933" t="s">
        <v>44</v>
      </c>
    </row>
    <row r="4934" spans="1:39" x14ac:dyDescent="0.2">
      <c r="A4934" t="s">
        <v>4637</v>
      </c>
      <c r="B4934" t="s">
        <v>40</v>
      </c>
      <c r="C4934" t="s">
        <v>4575</v>
      </c>
      <c r="D4934" t="s">
        <v>42</v>
      </c>
      <c r="E4934" t="s">
        <v>43</v>
      </c>
      <c r="F4934" t="s">
        <v>44</v>
      </c>
      <c r="G4934" t="s">
        <v>45</v>
      </c>
      <c r="AH4934" t="s">
        <v>42</v>
      </c>
      <c r="AI4934" t="str">
        <f>"66298954096629"</f>
        <v>66298954096629</v>
      </c>
      <c r="AJ4934" t="str">
        <f>"400077"</f>
        <v>400077</v>
      </c>
      <c r="AK4934" t="s">
        <v>46</v>
      </c>
      <c r="AL4934" s="1">
        <v>44816.564120370371</v>
      </c>
      <c r="AM4934" t="s">
        <v>44</v>
      </c>
    </row>
    <row r="4935" spans="1:39" x14ac:dyDescent="0.2">
      <c r="A4935" t="s">
        <v>4638</v>
      </c>
      <c r="B4935" t="s">
        <v>40</v>
      </c>
      <c r="C4935" t="s">
        <v>4575</v>
      </c>
      <c r="D4935" t="s">
        <v>42</v>
      </c>
      <c r="E4935" t="s">
        <v>43</v>
      </c>
      <c r="F4935" t="s">
        <v>44</v>
      </c>
      <c r="G4935" t="s">
        <v>45</v>
      </c>
      <c r="AH4935" t="s">
        <v>42</v>
      </c>
      <c r="AI4935" t="str">
        <f>"66298954189161"</f>
        <v>66298954189161</v>
      </c>
      <c r="AJ4935" t="str">
        <f>"400078"</f>
        <v>400078</v>
      </c>
      <c r="AK4935" t="s">
        <v>46</v>
      </c>
      <c r="AL4935" s="1">
        <v>44816.564131944448</v>
      </c>
      <c r="AM4935" t="s">
        <v>44</v>
      </c>
    </row>
    <row r="4936" spans="1:39" x14ac:dyDescent="0.2">
      <c r="A4936" t="s">
        <v>4639</v>
      </c>
      <c r="B4936" t="s">
        <v>40</v>
      </c>
      <c r="C4936" t="s">
        <v>4575</v>
      </c>
      <c r="D4936" t="s">
        <v>42</v>
      </c>
      <c r="E4936" t="s">
        <v>43</v>
      </c>
      <c r="F4936" t="s">
        <v>44</v>
      </c>
      <c r="G4936" t="s">
        <v>45</v>
      </c>
      <c r="AH4936" t="s">
        <v>42</v>
      </c>
      <c r="AI4936" t="str">
        <f>"66298954143524"</f>
        <v>66298954143524</v>
      </c>
      <c r="AJ4936" t="str">
        <f>"11476"</f>
        <v>11476</v>
      </c>
      <c r="AK4936" t="s">
        <v>46</v>
      </c>
      <c r="AL4936" s="1">
        <v>44816.564131944448</v>
      </c>
      <c r="AM4936" t="s">
        <v>44</v>
      </c>
    </row>
    <row r="4937" spans="1:39" x14ac:dyDescent="0.2">
      <c r="A4937" t="s">
        <v>4640</v>
      </c>
      <c r="B4937" t="s">
        <v>40</v>
      </c>
      <c r="C4937" t="s">
        <v>4575</v>
      </c>
      <c r="D4937" t="s">
        <v>42</v>
      </c>
      <c r="E4937" t="s">
        <v>43</v>
      </c>
      <c r="F4937" t="s">
        <v>44</v>
      </c>
      <c r="G4937" t="s">
        <v>45</v>
      </c>
      <c r="AH4937" t="s">
        <v>42</v>
      </c>
      <c r="AI4937" t="str">
        <f>"400079"</f>
        <v>400079</v>
      </c>
      <c r="AJ4937" t="str">
        <f>"400079"</f>
        <v>400079</v>
      </c>
      <c r="AK4937" t="s">
        <v>46</v>
      </c>
      <c r="AL4937" s="1">
        <v>44816.564143518517</v>
      </c>
      <c r="AM4937" t="s">
        <v>44</v>
      </c>
    </row>
    <row r="4938" spans="1:39" x14ac:dyDescent="0.2">
      <c r="A4938" t="s">
        <v>4641</v>
      </c>
      <c r="B4938" t="s">
        <v>40</v>
      </c>
      <c r="C4938" t="s">
        <v>4575</v>
      </c>
      <c r="D4938" t="s">
        <v>42</v>
      </c>
      <c r="E4938" t="s">
        <v>43</v>
      </c>
      <c r="F4938" t="s">
        <v>44</v>
      </c>
      <c r="G4938" t="s">
        <v>45</v>
      </c>
      <c r="AH4938" t="s">
        <v>42</v>
      </c>
      <c r="AI4938" t="str">
        <f>"KGY-FG-41"</f>
        <v>KGY-FG-41</v>
      </c>
      <c r="AJ4938" t="str">
        <f>"KGY-FG-41"</f>
        <v>KGY-FG-41</v>
      </c>
      <c r="AK4938" t="s">
        <v>46</v>
      </c>
      <c r="AL4938" s="1">
        <v>45071.831122685187</v>
      </c>
      <c r="AM4938" t="s">
        <v>44</v>
      </c>
    </row>
    <row r="4939" spans="1:39" x14ac:dyDescent="0.2">
      <c r="A4939" t="s">
        <v>4642</v>
      </c>
      <c r="B4939" t="s">
        <v>40</v>
      </c>
      <c r="C4939" t="s">
        <v>4575</v>
      </c>
      <c r="D4939" t="s">
        <v>42</v>
      </c>
      <c r="E4939" t="s">
        <v>43</v>
      </c>
      <c r="F4939" t="s">
        <v>44</v>
      </c>
      <c r="G4939" t="s">
        <v>45</v>
      </c>
      <c r="AH4939" t="s">
        <v>42</v>
      </c>
      <c r="AI4939" t="str">
        <f>"2277"</f>
        <v>2277</v>
      </c>
      <c r="AJ4939" t="str">
        <f>"2277"</f>
        <v>2277</v>
      </c>
      <c r="AK4939" t="s">
        <v>46</v>
      </c>
      <c r="AL4939" s="1">
        <v>45071.839386574073</v>
      </c>
      <c r="AM4939" t="s">
        <v>44</v>
      </c>
    </row>
    <row r="4940" spans="1:39" x14ac:dyDescent="0.2">
      <c r="A4940" t="s">
        <v>4643</v>
      </c>
      <c r="B4940" t="s">
        <v>40</v>
      </c>
      <c r="C4940" t="s">
        <v>4575</v>
      </c>
      <c r="D4940" t="s">
        <v>42</v>
      </c>
      <c r="E4940" t="s">
        <v>43</v>
      </c>
      <c r="F4940" t="s">
        <v>44</v>
      </c>
      <c r="G4940" t="s">
        <v>45</v>
      </c>
      <c r="H4940" t="s">
        <v>4644</v>
      </c>
      <c r="AH4940" t="s">
        <v>42</v>
      </c>
      <c r="AI4940" t="str">
        <f>"11707"</f>
        <v>11707</v>
      </c>
      <c r="AJ4940" t="str">
        <f>"11707"</f>
        <v>11707</v>
      </c>
      <c r="AK4940" t="s">
        <v>46</v>
      </c>
      <c r="AL4940" s="1">
        <v>45036.714537037034</v>
      </c>
      <c r="AM4940" t="s">
        <v>44</v>
      </c>
    </row>
    <row r="4941" spans="1:39" x14ac:dyDescent="0.2">
      <c r="A4941" t="s">
        <v>4645</v>
      </c>
      <c r="B4941" t="s">
        <v>40</v>
      </c>
      <c r="C4941" t="s">
        <v>4575</v>
      </c>
      <c r="D4941" t="s">
        <v>42</v>
      </c>
      <c r="E4941" t="s">
        <v>43</v>
      </c>
      <c r="F4941" t="s">
        <v>44</v>
      </c>
      <c r="G4941" t="s">
        <v>45</v>
      </c>
      <c r="AH4941" t="s">
        <v>42</v>
      </c>
      <c r="AI4941" t="str">
        <f>"66298954313640"</f>
        <v>66298954313640</v>
      </c>
      <c r="AJ4941" t="str">
        <f>"0810-5-5MM"</f>
        <v>0810-5-5MM</v>
      </c>
      <c r="AK4941" t="s">
        <v>46</v>
      </c>
      <c r="AL4941" s="1">
        <v>44816.564155092594</v>
      </c>
      <c r="AM4941" t="s">
        <v>44</v>
      </c>
    </row>
    <row r="4942" spans="1:39" x14ac:dyDescent="0.2">
      <c r="A4942" t="s">
        <v>4646</v>
      </c>
      <c r="B4942" t="s">
        <v>40</v>
      </c>
      <c r="C4942" t="s">
        <v>4575</v>
      </c>
      <c r="D4942" t="s">
        <v>42</v>
      </c>
      <c r="E4942" t="s">
        <v>43</v>
      </c>
      <c r="F4942" t="s">
        <v>44</v>
      </c>
      <c r="G4942" t="s">
        <v>45</v>
      </c>
      <c r="AH4942" t="s">
        <v>42</v>
      </c>
      <c r="AI4942" t="str">
        <f>"66298954270324"</f>
        <v>66298954270324</v>
      </c>
      <c r="AJ4942" t="str">
        <f>"0810"</f>
        <v>0810</v>
      </c>
      <c r="AK4942" t="s">
        <v>46</v>
      </c>
      <c r="AL4942" s="1">
        <v>44816.564143518517</v>
      </c>
      <c r="AM4942" t="s">
        <v>44</v>
      </c>
    </row>
    <row r="4943" spans="1:39" x14ac:dyDescent="0.2">
      <c r="A4943" t="s">
        <v>4647</v>
      </c>
      <c r="B4943" t="s">
        <v>40</v>
      </c>
      <c r="C4943" t="s">
        <v>4575</v>
      </c>
      <c r="D4943" t="s">
        <v>42</v>
      </c>
      <c r="E4943" t="s">
        <v>43</v>
      </c>
      <c r="F4943" t="s">
        <v>44</v>
      </c>
      <c r="G4943" t="s">
        <v>45</v>
      </c>
      <c r="AH4943" t="s">
        <v>42</v>
      </c>
      <c r="AI4943" t="str">
        <f>"1549"</f>
        <v>1549</v>
      </c>
      <c r="AJ4943" t="str">
        <f>"1549"</f>
        <v>1549</v>
      </c>
      <c r="AK4943" t="s">
        <v>46</v>
      </c>
      <c r="AL4943" s="1">
        <v>45115.696250000001</v>
      </c>
      <c r="AM4943" t="s">
        <v>44</v>
      </c>
    </row>
    <row r="4944" spans="1:39" x14ac:dyDescent="0.2">
      <c r="A4944" t="s">
        <v>4648</v>
      </c>
      <c r="B4944" t="s">
        <v>40</v>
      </c>
      <c r="C4944" t="s">
        <v>4575</v>
      </c>
      <c r="D4944" t="s">
        <v>42</v>
      </c>
      <c r="E4944" t="s">
        <v>43</v>
      </c>
      <c r="F4944" t="s">
        <v>44</v>
      </c>
      <c r="G4944" t="s">
        <v>45</v>
      </c>
      <c r="AH4944" t="s">
        <v>42</v>
      </c>
      <c r="AI4944" t="str">
        <f>"66298954355957"</f>
        <v>66298954355957</v>
      </c>
      <c r="AJ4944" t="str">
        <f>"DC003"</f>
        <v>DC003</v>
      </c>
      <c r="AK4944" t="s">
        <v>46</v>
      </c>
      <c r="AL4944" s="1">
        <v>44816.564155092594</v>
      </c>
      <c r="AM4944" t="s">
        <v>44</v>
      </c>
    </row>
    <row r="4945" spans="1:39" x14ac:dyDescent="0.2">
      <c r="A4945" t="s">
        <v>4649</v>
      </c>
      <c r="B4945" t="s">
        <v>40</v>
      </c>
      <c r="C4945" t="s">
        <v>4575</v>
      </c>
      <c r="D4945" t="s">
        <v>42</v>
      </c>
      <c r="E4945" t="s">
        <v>43</v>
      </c>
      <c r="F4945" t="s">
        <v>44</v>
      </c>
      <c r="G4945" t="s">
        <v>45</v>
      </c>
      <c r="AH4945" t="s">
        <v>42</v>
      </c>
      <c r="AI4945" t="str">
        <f>"66298954435267"</f>
        <v>66298954435267</v>
      </c>
      <c r="AJ4945" t="str">
        <f>"12042"</f>
        <v>12042</v>
      </c>
      <c r="AK4945" t="s">
        <v>46</v>
      </c>
      <c r="AL4945" s="1">
        <v>44816.564166666663</v>
      </c>
      <c r="AM4945" t="s">
        <v>44</v>
      </c>
    </row>
    <row r="4946" spans="1:39" x14ac:dyDescent="0.2">
      <c r="A4946" t="s">
        <v>4650</v>
      </c>
      <c r="B4946" t="s">
        <v>40</v>
      </c>
      <c r="C4946" t="s">
        <v>4575</v>
      </c>
      <c r="D4946" t="s">
        <v>42</v>
      </c>
      <c r="E4946" t="s">
        <v>43</v>
      </c>
      <c r="F4946" t="s">
        <v>44</v>
      </c>
      <c r="G4946" t="s">
        <v>45</v>
      </c>
      <c r="AH4946" t="s">
        <v>42</v>
      </c>
      <c r="AI4946" t="str">
        <f>"66298954395946"</f>
        <v>66298954395946</v>
      </c>
      <c r="AJ4946" t="str">
        <f>"DC012"</f>
        <v>DC012</v>
      </c>
      <c r="AK4946" t="s">
        <v>46</v>
      </c>
      <c r="AL4946" s="1">
        <v>44816.564155092594</v>
      </c>
      <c r="AM4946" t="s">
        <v>44</v>
      </c>
    </row>
    <row r="4947" spans="1:39" x14ac:dyDescent="0.2">
      <c r="A4947" t="s">
        <v>4651</v>
      </c>
      <c r="B4947" t="s">
        <v>40</v>
      </c>
      <c r="C4947" t="s">
        <v>4575</v>
      </c>
      <c r="D4947" t="s">
        <v>42</v>
      </c>
      <c r="E4947" t="s">
        <v>43</v>
      </c>
      <c r="F4947" t="s">
        <v>44</v>
      </c>
      <c r="G4947" t="s">
        <v>45</v>
      </c>
      <c r="AH4947" t="s">
        <v>42</v>
      </c>
      <c r="AI4947" t="str">
        <f>"83165"</f>
        <v>83165</v>
      </c>
      <c r="AJ4947" t="str">
        <f>"83165"</f>
        <v>83165</v>
      </c>
      <c r="AK4947" t="s">
        <v>4652</v>
      </c>
      <c r="AL4947" s="1">
        <v>44816.564166666663</v>
      </c>
      <c r="AM4947" t="s">
        <v>44</v>
      </c>
    </row>
    <row r="4948" spans="1:39" x14ac:dyDescent="0.2">
      <c r="A4948" t="s">
        <v>4653</v>
      </c>
      <c r="B4948" t="s">
        <v>40</v>
      </c>
      <c r="C4948" t="s">
        <v>4575</v>
      </c>
      <c r="D4948" t="s">
        <v>42</v>
      </c>
      <c r="E4948" t="s">
        <v>43</v>
      </c>
      <c r="F4948" t="s">
        <v>44</v>
      </c>
      <c r="G4948" t="s">
        <v>45</v>
      </c>
      <c r="AH4948" t="s">
        <v>42</v>
      </c>
      <c r="AI4948" t="str">
        <f>"66298954522500"</f>
        <v>66298954522500</v>
      </c>
      <c r="AJ4948" t="str">
        <f>"DC008"</f>
        <v>DC008</v>
      </c>
      <c r="AK4948" t="s">
        <v>46</v>
      </c>
      <c r="AL4948" s="1">
        <v>44816.56417824074</v>
      </c>
      <c r="AM4948" t="s">
        <v>44</v>
      </c>
    </row>
    <row r="4949" spans="1:39" x14ac:dyDescent="0.2">
      <c r="A4949" t="s">
        <v>4654</v>
      </c>
      <c r="B4949" t="s">
        <v>40</v>
      </c>
      <c r="C4949" t="s">
        <v>4575</v>
      </c>
      <c r="D4949" t="s">
        <v>42</v>
      </c>
      <c r="E4949" t="s">
        <v>43</v>
      </c>
      <c r="F4949" t="s">
        <v>44</v>
      </c>
      <c r="G4949" t="s">
        <v>45</v>
      </c>
      <c r="AH4949" t="s">
        <v>42</v>
      </c>
      <c r="AI4949" t="str">
        <f>"11474"</f>
        <v>11474</v>
      </c>
      <c r="AJ4949" t="str">
        <f>"11474"</f>
        <v>11474</v>
      </c>
      <c r="AK4949" t="s">
        <v>46</v>
      </c>
      <c r="AL4949" s="1">
        <v>45113.919120370374</v>
      </c>
      <c r="AM4949" t="s">
        <v>44</v>
      </c>
    </row>
    <row r="4950" spans="1:39" x14ac:dyDescent="0.2">
      <c r="A4950" t="s">
        <v>4655</v>
      </c>
      <c r="B4950" t="s">
        <v>40</v>
      </c>
      <c r="C4950" t="s">
        <v>4575</v>
      </c>
      <c r="D4950" t="s">
        <v>42</v>
      </c>
      <c r="E4950" t="s">
        <v>43</v>
      </c>
      <c r="F4950" t="s">
        <v>44</v>
      </c>
      <c r="G4950" t="s">
        <v>45</v>
      </c>
      <c r="AH4950" t="s">
        <v>42</v>
      </c>
      <c r="AI4950" t="str">
        <f>"66298954558929"</f>
        <v>66298954558929</v>
      </c>
      <c r="AJ4950" t="str">
        <f>"DC005"</f>
        <v>DC005</v>
      </c>
      <c r="AK4950" t="s">
        <v>46</v>
      </c>
      <c r="AL4950" s="1">
        <v>44816.56417824074</v>
      </c>
      <c r="AM4950" t="s">
        <v>44</v>
      </c>
    </row>
    <row r="4951" spans="1:39" x14ac:dyDescent="0.2">
      <c r="A4951" t="s">
        <v>4656</v>
      </c>
      <c r="B4951" t="s">
        <v>40</v>
      </c>
      <c r="C4951" t="s">
        <v>4575</v>
      </c>
      <c r="D4951" t="s">
        <v>42</v>
      </c>
      <c r="E4951" t="s">
        <v>43</v>
      </c>
      <c r="F4951" t="s">
        <v>44</v>
      </c>
      <c r="G4951" t="s">
        <v>45</v>
      </c>
      <c r="AH4951" t="s">
        <v>42</v>
      </c>
      <c r="AI4951" t="str">
        <f>"66298954645171"</f>
        <v>66298954645171</v>
      </c>
      <c r="AJ4951" t="str">
        <f>"400082"</f>
        <v>400082</v>
      </c>
      <c r="AK4951" t="s">
        <v>46</v>
      </c>
      <c r="AL4951" s="1">
        <v>44816.564189814817</v>
      </c>
      <c r="AM4951" t="s">
        <v>44</v>
      </c>
    </row>
    <row r="4952" spans="1:39" x14ac:dyDescent="0.2">
      <c r="A4952" t="s">
        <v>4657</v>
      </c>
      <c r="B4952" t="s">
        <v>40</v>
      </c>
      <c r="C4952" t="s">
        <v>4575</v>
      </c>
      <c r="D4952" t="s">
        <v>42</v>
      </c>
      <c r="E4952" t="s">
        <v>43</v>
      </c>
      <c r="F4952" t="s">
        <v>44</v>
      </c>
      <c r="G4952" t="s">
        <v>45</v>
      </c>
      <c r="AH4952" t="s">
        <v>42</v>
      </c>
      <c r="AI4952" t="str">
        <f>"66298954599272"</f>
        <v>66298954599272</v>
      </c>
      <c r="AJ4952" t="str">
        <f>"ENT005"</f>
        <v>ENT005</v>
      </c>
      <c r="AK4952" t="s">
        <v>46</v>
      </c>
      <c r="AL4952" s="1">
        <v>44816.56417824074</v>
      </c>
      <c r="AM4952" t="s">
        <v>44</v>
      </c>
    </row>
    <row r="4953" spans="1:39" x14ac:dyDescent="0.2">
      <c r="A4953" t="s">
        <v>4658</v>
      </c>
      <c r="B4953" t="s">
        <v>40</v>
      </c>
      <c r="C4953" t="s">
        <v>4575</v>
      </c>
      <c r="D4953" t="s">
        <v>42</v>
      </c>
      <c r="E4953" t="s">
        <v>43</v>
      </c>
      <c r="F4953" t="s">
        <v>44</v>
      </c>
      <c r="G4953" t="s">
        <v>45</v>
      </c>
      <c r="AH4953" t="s">
        <v>42</v>
      </c>
      <c r="AI4953" t="str">
        <f>"66298954688694"</f>
        <v>66298954688694</v>
      </c>
      <c r="AJ4953" t="str">
        <f>"400073"</f>
        <v>400073</v>
      </c>
      <c r="AK4953" t="s">
        <v>46</v>
      </c>
      <c r="AL4953" s="1">
        <v>44816.564189814817</v>
      </c>
      <c r="AM4953" t="s">
        <v>44</v>
      </c>
    </row>
    <row r="4954" spans="1:39" x14ac:dyDescent="0.2">
      <c r="A4954" t="s">
        <v>4659</v>
      </c>
      <c r="B4954" t="s">
        <v>40</v>
      </c>
      <c r="C4954" t="s">
        <v>4575</v>
      </c>
      <c r="D4954" t="s">
        <v>42</v>
      </c>
      <c r="E4954" t="s">
        <v>43</v>
      </c>
      <c r="F4954" t="s">
        <v>44</v>
      </c>
      <c r="G4954" t="s">
        <v>45</v>
      </c>
      <c r="AH4954" t="s">
        <v>42</v>
      </c>
      <c r="AI4954" t="str">
        <f>"66298954731126"</f>
        <v>66298954731126</v>
      </c>
      <c r="AJ4954" t="str">
        <f>"400087"</f>
        <v>400087</v>
      </c>
      <c r="AK4954" t="s">
        <v>46</v>
      </c>
      <c r="AL4954" s="1">
        <v>44816.564201388886</v>
      </c>
      <c r="AM4954" t="s">
        <v>44</v>
      </c>
    </row>
    <row r="4955" spans="1:39" x14ac:dyDescent="0.2">
      <c r="A4955" t="s">
        <v>4660</v>
      </c>
      <c r="B4955" t="s">
        <v>40</v>
      </c>
      <c r="C4955" t="s">
        <v>4575</v>
      </c>
      <c r="D4955" t="s">
        <v>42</v>
      </c>
      <c r="E4955" t="s">
        <v>43</v>
      </c>
      <c r="F4955" t="s">
        <v>44</v>
      </c>
      <c r="G4955" t="s">
        <v>45</v>
      </c>
      <c r="AH4955" t="s">
        <v>42</v>
      </c>
      <c r="AI4955" t="str">
        <f>"66298954818187"</f>
        <v>66298954818187</v>
      </c>
      <c r="AJ4955" t="str">
        <f>"400088"</f>
        <v>400088</v>
      </c>
      <c r="AK4955" t="s">
        <v>46</v>
      </c>
      <c r="AL4955" s="1">
        <v>44816.564212962963</v>
      </c>
      <c r="AM4955" t="s">
        <v>44</v>
      </c>
    </row>
    <row r="4956" spans="1:39" x14ac:dyDescent="0.2">
      <c r="A4956" t="s">
        <v>4661</v>
      </c>
      <c r="B4956" t="s">
        <v>40</v>
      </c>
      <c r="C4956" t="s">
        <v>4575</v>
      </c>
      <c r="D4956" t="s">
        <v>42</v>
      </c>
      <c r="E4956" t="s">
        <v>43</v>
      </c>
      <c r="F4956" t="s">
        <v>44</v>
      </c>
      <c r="G4956" t="s">
        <v>45</v>
      </c>
      <c r="AH4956" t="s">
        <v>42</v>
      </c>
      <c r="AI4956" t="str">
        <f>"66298954776377"</f>
        <v>66298954776377</v>
      </c>
      <c r="AJ4956" t="str">
        <f>"2401-VALVULAS"</f>
        <v>2401-VALVULAS</v>
      </c>
      <c r="AK4956" t="s">
        <v>46</v>
      </c>
      <c r="AL4956" s="1">
        <v>44816.564201388886</v>
      </c>
      <c r="AM4956" t="s">
        <v>44</v>
      </c>
    </row>
    <row r="4957" spans="1:39" x14ac:dyDescent="0.2">
      <c r="A4957" t="s">
        <v>4662</v>
      </c>
      <c r="B4957" t="s">
        <v>40</v>
      </c>
      <c r="C4957" t="s">
        <v>4663</v>
      </c>
      <c r="D4957" t="s">
        <v>42</v>
      </c>
      <c r="E4957" t="s">
        <v>43</v>
      </c>
      <c r="F4957" t="s">
        <v>44</v>
      </c>
      <c r="G4957" t="s">
        <v>45</v>
      </c>
      <c r="AH4957" t="s">
        <v>42</v>
      </c>
      <c r="AI4957" t="str">
        <f>"2364"</f>
        <v>2364</v>
      </c>
      <c r="AJ4957" t="str">
        <f>"2364"</f>
        <v>2364</v>
      </c>
      <c r="AK4957" t="s">
        <v>46</v>
      </c>
      <c r="AL4957" s="1">
        <v>44952.582025462965</v>
      </c>
      <c r="AM4957" t="s">
        <v>44</v>
      </c>
    </row>
    <row r="4958" spans="1:39" x14ac:dyDescent="0.2">
      <c r="A4958" t="s">
        <v>4664</v>
      </c>
      <c r="B4958" t="s">
        <v>40</v>
      </c>
      <c r="C4958" t="s">
        <v>4663</v>
      </c>
      <c r="D4958" t="s">
        <v>42</v>
      </c>
      <c r="E4958" t="s">
        <v>43</v>
      </c>
      <c r="F4958" t="s">
        <v>44</v>
      </c>
      <c r="G4958" t="s">
        <v>45</v>
      </c>
      <c r="AH4958" t="s">
        <v>42</v>
      </c>
      <c r="AI4958" t="str">
        <f>"12677"</f>
        <v>12677</v>
      </c>
      <c r="AJ4958" t="str">
        <f>"12677"</f>
        <v>12677</v>
      </c>
      <c r="AK4958" t="s">
        <v>46</v>
      </c>
      <c r="AL4958" s="1">
        <v>45112.694212962961</v>
      </c>
      <c r="AM4958" t="s">
        <v>44</v>
      </c>
    </row>
    <row r="4959" spans="1:39" x14ac:dyDescent="0.2">
      <c r="A4959" t="s">
        <v>4665</v>
      </c>
      <c r="B4959" t="s">
        <v>40</v>
      </c>
      <c r="C4959" t="s">
        <v>4663</v>
      </c>
      <c r="D4959" t="s">
        <v>42</v>
      </c>
      <c r="E4959" t="s">
        <v>43</v>
      </c>
      <c r="F4959" t="s">
        <v>44</v>
      </c>
      <c r="G4959" t="s">
        <v>45</v>
      </c>
      <c r="AH4959" t="s">
        <v>42</v>
      </c>
      <c r="AI4959" t="str">
        <f>"66298954860124"</f>
        <v>66298954860124</v>
      </c>
      <c r="AJ4959" t="str">
        <f>"400032"</f>
        <v>400032</v>
      </c>
      <c r="AK4959" t="s">
        <v>46</v>
      </c>
      <c r="AL4959" s="1">
        <v>44816.564212962963</v>
      </c>
      <c r="AM4959" t="s">
        <v>44</v>
      </c>
    </row>
    <row r="4960" spans="1:39" x14ac:dyDescent="0.2">
      <c r="A4960" t="s">
        <v>4666</v>
      </c>
      <c r="B4960" t="s">
        <v>40</v>
      </c>
      <c r="C4960" t="s">
        <v>4663</v>
      </c>
      <c r="D4960" t="s">
        <v>42</v>
      </c>
      <c r="E4960" t="s">
        <v>43</v>
      </c>
      <c r="F4960" t="s">
        <v>44</v>
      </c>
      <c r="G4960" t="s">
        <v>45</v>
      </c>
      <c r="AH4960" t="s">
        <v>42</v>
      </c>
      <c r="AI4960" t="str">
        <f>"CA001"</f>
        <v>CA001</v>
      </c>
      <c r="AJ4960" t="str">
        <f>"CA001"</f>
        <v>CA001</v>
      </c>
      <c r="AK4960" t="s">
        <v>46</v>
      </c>
      <c r="AL4960" s="1">
        <v>45093.920694444445</v>
      </c>
      <c r="AM4960" t="s">
        <v>44</v>
      </c>
    </row>
    <row r="4961" spans="1:39" x14ac:dyDescent="0.2">
      <c r="A4961" t="s">
        <v>4667</v>
      </c>
      <c r="B4961" t="s">
        <v>40</v>
      </c>
      <c r="C4961" t="s">
        <v>4663</v>
      </c>
      <c r="D4961" t="s">
        <v>42</v>
      </c>
      <c r="E4961" t="s">
        <v>43</v>
      </c>
      <c r="F4961" t="s">
        <v>44</v>
      </c>
      <c r="G4961" t="s">
        <v>45</v>
      </c>
      <c r="AH4961" t="s">
        <v>42</v>
      </c>
      <c r="AI4961" t="str">
        <f>"66298954901999"</f>
        <v>66298954901999</v>
      </c>
      <c r="AJ4961" t="str">
        <f>"400757"</f>
        <v>400757</v>
      </c>
      <c r="AK4961" t="s">
        <v>46</v>
      </c>
      <c r="AL4961" s="1">
        <v>44816.56422453704</v>
      </c>
      <c r="AM4961" t="s">
        <v>44</v>
      </c>
    </row>
    <row r="4962" spans="1:39" x14ac:dyDescent="0.2">
      <c r="A4962" t="s">
        <v>4668</v>
      </c>
      <c r="B4962" t="s">
        <v>40</v>
      </c>
      <c r="C4962" t="s">
        <v>4663</v>
      </c>
      <c r="D4962" t="s">
        <v>42</v>
      </c>
      <c r="E4962" t="s">
        <v>43</v>
      </c>
      <c r="F4962" t="s">
        <v>44</v>
      </c>
      <c r="G4962" t="s">
        <v>45</v>
      </c>
      <c r="AH4962" t="s">
        <v>42</v>
      </c>
      <c r="AI4962" t="str">
        <f>"66298954990331"</f>
        <v>66298954990331</v>
      </c>
      <c r="AJ4962" t="str">
        <f>"400758"</f>
        <v>400758</v>
      </c>
      <c r="AK4962" t="s">
        <v>46</v>
      </c>
      <c r="AL4962" s="1">
        <v>44816.56422453704</v>
      </c>
      <c r="AM4962" t="s">
        <v>44</v>
      </c>
    </row>
    <row r="4963" spans="1:39" x14ac:dyDescent="0.2">
      <c r="A4963" t="s">
        <v>4669</v>
      </c>
      <c r="B4963" t="s">
        <v>40</v>
      </c>
      <c r="C4963" t="s">
        <v>4663</v>
      </c>
      <c r="D4963" t="s">
        <v>42</v>
      </c>
      <c r="E4963" t="s">
        <v>43</v>
      </c>
      <c r="F4963" t="s">
        <v>44</v>
      </c>
      <c r="G4963" t="s">
        <v>45</v>
      </c>
      <c r="AH4963" t="s">
        <v>42</v>
      </c>
      <c r="AI4963" t="str">
        <f>"66298954944934"</f>
        <v>66298954944934</v>
      </c>
      <c r="AJ4963" t="str">
        <f>"CA005"</f>
        <v>CA005</v>
      </c>
      <c r="AK4963" t="s">
        <v>46</v>
      </c>
      <c r="AL4963" s="1">
        <v>44816.56422453704</v>
      </c>
      <c r="AM4963" t="s">
        <v>44</v>
      </c>
    </row>
    <row r="4964" spans="1:39" x14ac:dyDescent="0.2">
      <c r="A4964" t="s">
        <v>4670</v>
      </c>
      <c r="B4964" t="s">
        <v>40</v>
      </c>
      <c r="C4964" t="s">
        <v>4663</v>
      </c>
      <c r="D4964" t="s">
        <v>42</v>
      </c>
      <c r="E4964" t="s">
        <v>43</v>
      </c>
      <c r="F4964" t="s">
        <v>44</v>
      </c>
      <c r="G4964" t="s">
        <v>45</v>
      </c>
      <c r="AH4964" t="s">
        <v>42</v>
      </c>
      <c r="AI4964" t="str">
        <f>"66298955069993"</f>
        <v>66298955069993</v>
      </c>
      <c r="AJ4964" t="str">
        <f>"400759"</f>
        <v>400759</v>
      </c>
      <c r="AK4964" t="s">
        <v>46</v>
      </c>
      <c r="AL4964" s="1">
        <v>44816.564236111109</v>
      </c>
      <c r="AM4964" t="s">
        <v>44</v>
      </c>
    </row>
    <row r="4965" spans="1:39" x14ac:dyDescent="0.2">
      <c r="A4965" t="s">
        <v>4671</v>
      </c>
      <c r="B4965" t="s">
        <v>40</v>
      </c>
      <c r="C4965" t="s">
        <v>4663</v>
      </c>
      <c r="D4965" t="s">
        <v>42</v>
      </c>
      <c r="E4965" t="s">
        <v>43</v>
      </c>
      <c r="F4965" t="s">
        <v>44</v>
      </c>
      <c r="G4965" t="s">
        <v>45</v>
      </c>
      <c r="AH4965" t="s">
        <v>42</v>
      </c>
      <c r="AI4965" t="str">
        <f>"66298955026544"</f>
        <v>66298955026544</v>
      </c>
      <c r="AJ4965" t="str">
        <f>"CA006"</f>
        <v>CA006</v>
      </c>
      <c r="AK4965" t="s">
        <v>46</v>
      </c>
      <c r="AL4965" s="1">
        <v>44816.564236111109</v>
      </c>
      <c r="AM4965" t="s">
        <v>44</v>
      </c>
    </row>
    <row r="4966" spans="1:39" x14ac:dyDescent="0.2">
      <c r="A4966" t="s">
        <v>4672</v>
      </c>
      <c r="B4966" t="s">
        <v>40</v>
      </c>
      <c r="C4966" t="s">
        <v>4673</v>
      </c>
      <c r="D4966" t="s">
        <v>42</v>
      </c>
      <c r="E4966" t="s">
        <v>43</v>
      </c>
      <c r="F4966" t="s">
        <v>44</v>
      </c>
      <c r="G4966" t="s">
        <v>45</v>
      </c>
      <c r="AH4966" t="s">
        <v>42</v>
      </c>
      <c r="AI4966" t="str">
        <f>"66298955110759"</f>
        <v>66298955110759</v>
      </c>
      <c r="AJ4966" t="str">
        <f>"PP-32108-000JP"</f>
        <v>PP-32108-000JP</v>
      </c>
      <c r="AK4966" t="s">
        <v>46</v>
      </c>
      <c r="AL4966" s="1">
        <v>44816.564247685186</v>
      </c>
      <c r="AM4966" t="s">
        <v>44</v>
      </c>
    </row>
    <row r="4967" spans="1:39" x14ac:dyDescent="0.2">
      <c r="A4967" t="s">
        <v>4674</v>
      </c>
      <c r="B4967" t="s">
        <v>40</v>
      </c>
      <c r="C4967" t="s">
        <v>4675</v>
      </c>
      <c r="D4967" t="s">
        <v>42</v>
      </c>
      <c r="E4967" t="s">
        <v>43</v>
      </c>
      <c r="F4967" t="s">
        <v>44</v>
      </c>
      <c r="G4967" t="s">
        <v>45</v>
      </c>
      <c r="AH4967" t="s">
        <v>42</v>
      </c>
      <c r="AI4967" t="str">
        <f>"GJ007"</f>
        <v>GJ007</v>
      </c>
      <c r="AJ4967" t="str">
        <f>"GJ007"</f>
        <v>GJ007</v>
      </c>
      <c r="AK4967" t="s">
        <v>46</v>
      </c>
      <c r="AL4967" s="1">
        <v>44916.685717592591</v>
      </c>
      <c r="AM4967" t="s">
        <v>44</v>
      </c>
    </row>
    <row r="4968" spans="1:39" x14ac:dyDescent="0.2">
      <c r="A4968" t="s">
        <v>4676</v>
      </c>
      <c r="B4968" t="s">
        <v>40</v>
      </c>
      <c r="C4968" t="s">
        <v>4675</v>
      </c>
      <c r="D4968" t="s">
        <v>42</v>
      </c>
      <c r="E4968" t="s">
        <v>43</v>
      </c>
      <c r="F4968" t="s">
        <v>44</v>
      </c>
      <c r="G4968" t="s">
        <v>45</v>
      </c>
      <c r="AH4968" t="s">
        <v>42</v>
      </c>
      <c r="AI4968" t="str">
        <f>"Y545"</f>
        <v>Y545</v>
      </c>
      <c r="AJ4968" t="str">
        <f>"Y545"</f>
        <v>Y545</v>
      </c>
      <c r="AK4968" t="s">
        <v>46</v>
      </c>
      <c r="AL4968" s="1">
        <v>44816.564247685186</v>
      </c>
      <c r="AM4968" t="s">
        <v>44</v>
      </c>
    </row>
    <row r="4969" spans="1:39" x14ac:dyDescent="0.2">
      <c r="A4969" t="s">
        <v>4677</v>
      </c>
      <c r="B4969" t="s">
        <v>40</v>
      </c>
      <c r="C4969" t="s">
        <v>4675</v>
      </c>
      <c r="D4969" t="s">
        <v>42</v>
      </c>
      <c r="E4969" t="s">
        <v>43</v>
      </c>
      <c r="F4969" t="s">
        <v>44</v>
      </c>
      <c r="G4969" t="s">
        <v>45</v>
      </c>
      <c r="AH4969" t="s">
        <v>42</v>
      </c>
      <c r="AI4969" t="str">
        <f>"Y546"</f>
        <v>Y546</v>
      </c>
      <c r="AJ4969" t="str">
        <f>"Y546"</f>
        <v>Y546</v>
      </c>
      <c r="AK4969" t="s">
        <v>46</v>
      </c>
      <c r="AL4969" s="1">
        <v>45112.745925925927</v>
      </c>
      <c r="AM4969" t="s">
        <v>44</v>
      </c>
    </row>
    <row r="4970" spans="1:39" x14ac:dyDescent="0.2">
      <c r="A4970" t="s">
        <v>4678</v>
      </c>
      <c r="B4970" t="s">
        <v>40</v>
      </c>
      <c r="C4970" t="s">
        <v>4673</v>
      </c>
      <c r="D4970" t="s">
        <v>42</v>
      </c>
      <c r="E4970" t="s">
        <v>43</v>
      </c>
      <c r="F4970" t="s">
        <v>44</v>
      </c>
      <c r="G4970" t="s">
        <v>45</v>
      </c>
      <c r="AH4970" t="s">
        <v>42</v>
      </c>
      <c r="AI4970" t="str">
        <f>"66298955194150"</f>
        <v>66298955194150</v>
      </c>
      <c r="AJ4970" t="str">
        <f>"401024"</f>
        <v>401024</v>
      </c>
      <c r="AK4970" t="s">
        <v>46</v>
      </c>
      <c r="AL4970" s="1">
        <v>44816.564247685186</v>
      </c>
      <c r="AM4970" t="s">
        <v>44</v>
      </c>
    </row>
    <row r="4971" spans="1:39" x14ac:dyDescent="0.2">
      <c r="A4971" t="s">
        <v>4679</v>
      </c>
      <c r="B4971" t="s">
        <v>40</v>
      </c>
      <c r="C4971" t="s">
        <v>4673</v>
      </c>
      <c r="D4971" t="s">
        <v>42</v>
      </c>
      <c r="E4971" t="s">
        <v>43</v>
      </c>
      <c r="F4971" t="s">
        <v>44</v>
      </c>
      <c r="G4971" t="s">
        <v>45</v>
      </c>
      <c r="AH4971" t="s">
        <v>42</v>
      </c>
      <c r="AI4971" t="str">
        <f>"DD001"</f>
        <v>DD001</v>
      </c>
      <c r="AJ4971" t="str">
        <f>"DD001"</f>
        <v>DD001</v>
      </c>
      <c r="AK4971" t="s">
        <v>46</v>
      </c>
      <c r="AL4971" s="1">
        <v>45093.921435185184</v>
      </c>
      <c r="AM4971" t="s">
        <v>44</v>
      </c>
    </row>
    <row r="4972" spans="1:39" x14ac:dyDescent="0.2">
      <c r="A4972" t="s">
        <v>4680</v>
      </c>
      <c r="B4972" t="s">
        <v>40</v>
      </c>
      <c r="C4972" t="s">
        <v>4673</v>
      </c>
      <c r="D4972" t="s">
        <v>42</v>
      </c>
      <c r="E4972" t="s">
        <v>43</v>
      </c>
      <c r="F4972" t="s">
        <v>44</v>
      </c>
      <c r="G4972" t="s">
        <v>45</v>
      </c>
      <c r="AH4972" t="s">
        <v>42</v>
      </c>
      <c r="AI4972" t="str">
        <f>"DD002"</f>
        <v>DD002</v>
      </c>
      <c r="AJ4972" t="str">
        <f>"DD002"</f>
        <v>DD002</v>
      </c>
      <c r="AK4972" t="s">
        <v>46</v>
      </c>
      <c r="AL4972" s="1">
        <v>45093.921932870369</v>
      </c>
      <c r="AM4972" t="s">
        <v>44</v>
      </c>
    </row>
    <row r="4973" spans="1:39" x14ac:dyDescent="0.2">
      <c r="A4973" t="s">
        <v>4681</v>
      </c>
      <c r="B4973" t="s">
        <v>40</v>
      </c>
      <c r="C4973" t="s">
        <v>4673</v>
      </c>
      <c r="D4973" t="s">
        <v>42</v>
      </c>
      <c r="E4973" t="s">
        <v>43</v>
      </c>
      <c r="F4973" t="s">
        <v>44</v>
      </c>
      <c r="G4973" t="s">
        <v>45</v>
      </c>
      <c r="AH4973" t="s">
        <v>42</v>
      </c>
      <c r="AI4973" t="str">
        <f>"66298955231932"</f>
        <v>66298955231932</v>
      </c>
      <c r="AJ4973" t="str">
        <f>"401025"</f>
        <v>401025</v>
      </c>
      <c r="AK4973" t="s">
        <v>46</v>
      </c>
      <c r="AL4973" s="1">
        <v>44816.564259259256</v>
      </c>
      <c r="AM4973" t="s">
        <v>44</v>
      </c>
    </row>
    <row r="4974" spans="1:39" x14ac:dyDescent="0.2">
      <c r="A4974" t="s">
        <v>4682</v>
      </c>
      <c r="B4974" t="s">
        <v>40</v>
      </c>
      <c r="C4974" t="s">
        <v>4673</v>
      </c>
      <c r="D4974" t="s">
        <v>42</v>
      </c>
      <c r="E4974" t="s">
        <v>43</v>
      </c>
      <c r="F4974" t="s">
        <v>44</v>
      </c>
      <c r="G4974" t="s">
        <v>45</v>
      </c>
      <c r="AH4974" t="s">
        <v>42</v>
      </c>
      <c r="AI4974" t="str">
        <f>"DD003"</f>
        <v>DD003</v>
      </c>
      <c r="AJ4974" t="str">
        <f>"DD003"</f>
        <v>DD003</v>
      </c>
      <c r="AK4974" t="s">
        <v>46</v>
      </c>
      <c r="AL4974" s="1">
        <v>45093.922500000001</v>
      </c>
      <c r="AM4974" t="s">
        <v>44</v>
      </c>
    </row>
    <row r="4975" spans="1:39" x14ac:dyDescent="0.2">
      <c r="A4975" t="s">
        <v>4683</v>
      </c>
      <c r="B4975" t="s">
        <v>40</v>
      </c>
      <c r="C4975" t="s">
        <v>4684</v>
      </c>
      <c r="D4975" t="s">
        <v>42</v>
      </c>
      <c r="E4975" t="s">
        <v>43</v>
      </c>
      <c r="F4975" t="s">
        <v>44</v>
      </c>
      <c r="G4975" t="s">
        <v>45</v>
      </c>
      <c r="AH4975" t="s">
        <v>42</v>
      </c>
      <c r="AI4975" t="str">
        <f>"66298955275686"</f>
        <v>66298955275686</v>
      </c>
      <c r="AJ4975" t="str">
        <f>"61301-K70-600GIM"</f>
        <v>61301-K70-600GIM</v>
      </c>
      <c r="AK4975" t="s">
        <v>46</v>
      </c>
      <c r="AL4975" s="1">
        <v>44816.564259259256</v>
      </c>
      <c r="AM4975" t="s">
        <v>44</v>
      </c>
    </row>
    <row r="4976" spans="1:39" x14ac:dyDescent="0.2">
      <c r="A4976" t="s">
        <v>4685</v>
      </c>
      <c r="B4976" t="s">
        <v>40</v>
      </c>
      <c r="C4976" t="s">
        <v>4684</v>
      </c>
      <c r="D4976" t="s">
        <v>42</v>
      </c>
      <c r="E4976" t="s">
        <v>43</v>
      </c>
      <c r="F4976" t="s">
        <v>44</v>
      </c>
      <c r="G4976" t="s">
        <v>45</v>
      </c>
      <c r="AH4976" t="s">
        <v>42</v>
      </c>
      <c r="AI4976" t="str">
        <f>"66298955318818"</f>
        <v>66298955318818</v>
      </c>
      <c r="AJ4976" t="str">
        <f>"Y125"</f>
        <v>Y125</v>
      </c>
      <c r="AK4976" t="s">
        <v>46</v>
      </c>
      <c r="AL4976" s="1">
        <v>44816.564270833333</v>
      </c>
      <c r="AM4976" t="s">
        <v>44</v>
      </c>
    </row>
    <row r="4977" spans="1:39" x14ac:dyDescent="0.2">
      <c r="A4977" t="s">
        <v>4686</v>
      </c>
      <c r="B4977" t="s">
        <v>40</v>
      </c>
      <c r="C4977" t="s">
        <v>4684</v>
      </c>
      <c r="D4977" t="s">
        <v>42</v>
      </c>
      <c r="E4977" t="s">
        <v>43</v>
      </c>
      <c r="F4977" t="s">
        <v>44</v>
      </c>
      <c r="G4977" t="s">
        <v>45</v>
      </c>
      <c r="AH4977" t="s">
        <v>42</v>
      </c>
      <c r="AI4977" t="str">
        <f>"66298955396169"</f>
        <v>66298955396169</v>
      </c>
      <c r="AJ4977" t="str">
        <f>"Y173"</f>
        <v>Y173</v>
      </c>
      <c r="AK4977" t="s">
        <v>46</v>
      </c>
      <c r="AL4977" s="1">
        <v>44816.564270833333</v>
      </c>
      <c r="AM4977" t="s">
        <v>44</v>
      </c>
    </row>
    <row r="4978" spans="1:39" x14ac:dyDescent="0.2">
      <c r="A4978" t="s">
        <v>4687</v>
      </c>
      <c r="B4978" t="s">
        <v>40</v>
      </c>
      <c r="C4978" t="s">
        <v>4684</v>
      </c>
      <c r="D4978" t="s">
        <v>42</v>
      </c>
      <c r="E4978" t="s">
        <v>43</v>
      </c>
      <c r="F4978" t="s">
        <v>44</v>
      </c>
      <c r="G4978" t="s">
        <v>45</v>
      </c>
      <c r="AH4978" t="s">
        <v>42</v>
      </c>
      <c r="AI4978" t="str">
        <f>"66298955354624"</f>
        <v>66298955354624</v>
      </c>
      <c r="AJ4978" t="str">
        <f>"Y172"</f>
        <v>Y172</v>
      </c>
      <c r="AK4978" t="s">
        <v>46</v>
      </c>
      <c r="AL4978" s="1">
        <v>44816.564270833333</v>
      </c>
      <c r="AM4978" t="s">
        <v>44</v>
      </c>
    </row>
    <row r="4979" spans="1:39" x14ac:dyDescent="0.2">
      <c r="A4979" t="s">
        <v>4688</v>
      </c>
      <c r="B4979" t="s">
        <v>40</v>
      </c>
      <c r="C4979" t="s">
        <v>129</v>
      </c>
      <c r="D4979" t="s">
        <v>42</v>
      </c>
      <c r="E4979" t="s">
        <v>43</v>
      </c>
      <c r="F4979" t="s">
        <v>44</v>
      </c>
      <c r="G4979" t="s">
        <v>45</v>
      </c>
      <c r="AH4979" t="s">
        <v>42</v>
      </c>
      <c r="AI4979" t="str">
        <f>"66298955441670"</f>
        <v>66298955441670</v>
      </c>
      <c r="AJ4979" t="str">
        <f>"FB034"</f>
        <v>FB034</v>
      </c>
      <c r="AK4979" t="s">
        <v>46</v>
      </c>
      <c r="AL4979" s="1">
        <v>44816.564282407409</v>
      </c>
      <c r="AM4979" t="s">
        <v>44</v>
      </c>
    </row>
    <row r="4980" spans="1:39" x14ac:dyDescent="0.2">
      <c r="A4980" t="s">
        <v>4689</v>
      </c>
      <c r="B4980" t="s">
        <v>40</v>
      </c>
      <c r="C4980" t="s">
        <v>1677</v>
      </c>
      <c r="D4980" t="s">
        <v>42</v>
      </c>
      <c r="E4980" t="s">
        <v>43</v>
      </c>
      <c r="F4980" t="s">
        <v>44</v>
      </c>
      <c r="G4980" t="s">
        <v>45</v>
      </c>
      <c r="H4980" t="s">
        <v>4690</v>
      </c>
      <c r="AH4980" t="s">
        <v>42</v>
      </c>
      <c r="AI4980" t="str">
        <f>"RO-3154"</f>
        <v>RO-3154</v>
      </c>
      <c r="AJ4980" t="str">
        <f>"RO-3154"</f>
        <v>RO-3154</v>
      </c>
      <c r="AK4980" t="s">
        <v>46</v>
      </c>
      <c r="AL4980" s="1">
        <v>44846.84820601852</v>
      </c>
      <c r="AM4980" t="s">
        <v>44</v>
      </c>
    </row>
    <row r="4981" spans="1:39" x14ac:dyDescent="0.2">
      <c r="A4981" t="s">
        <v>4689</v>
      </c>
      <c r="B4981" t="s">
        <v>40</v>
      </c>
      <c r="C4981" t="s">
        <v>1677</v>
      </c>
      <c r="D4981" t="s">
        <v>42</v>
      </c>
      <c r="E4981" t="s">
        <v>43</v>
      </c>
      <c r="F4981" t="s">
        <v>44</v>
      </c>
      <c r="G4981" t="s">
        <v>45</v>
      </c>
      <c r="H4981" t="s">
        <v>4691</v>
      </c>
      <c r="AH4981" t="s">
        <v>42</v>
      </c>
      <c r="AI4981" t="str">
        <f>"RO-3153"</f>
        <v>RO-3153</v>
      </c>
      <c r="AJ4981" t="str">
        <f>"RO-3153"</f>
        <v>RO-3153</v>
      </c>
      <c r="AK4981" t="s">
        <v>46</v>
      </c>
      <c r="AL4981" s="1">
        <v>44846.845729166664</v>
      </c>
      <c r="AM4981" t="s"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73154-product-report-2023-09-06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Tombolini</dc:creator>
  <cp:lastModifiedBy>Maximiliano Tombolini</cp:lastModifiedBy>
  <dcterms:created xsi:type="dcterms:W3CDTF">2023-09-06T13:20:36Z</dcterms:created>
  <dcterms:modified xsi:type="dcterms:W3CDTF">2023-09-06T13:20:36Z</dcterms:modified>
</cp:coreProperties>
</file>